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omments6.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0.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ministryforenvironment-my.sharepoint.com/personal/phillip_mellor_mfe_govt_nz/Documents/Market Model Published Version/"/>
    </mc:Choice>
  </mc:AlternateContent>
  <xr:revisionPtr revIDLastSave="4905" documentId="8_{11EEFBCA-5DDA-4572-80CA-A61213F6B5C3}" xr6:coauthVersionLast="47" xr6:coauthVersionMax="47" xr10:uidLastSave="{7C3CC499-08A1-4068-8597-DF042A447791}"/>
  <bookViews>
    <workbookView xWindow="-120" yWindow="-120" windowWidth="29040" windowHeight="15720" tabRatio="814" activeTab="3" xr2:uid="{00000000-000D-0000-FFFF-FFFF00000000}"/>
  </bookViews>
  <sheets>
    <sheet name="Cover sheet" sheetId="42" r:id="rId1"/>
    <sheet name="Dashboard" sheetId="41" r:id="rId2"/>
    <sheet name="S&amp;D Chart" sheetId="33" r:id="rId3"/>
    <sheet name="Model" sheetId="11" r:id="rId4"/>
    <sheet name="Results" sheetId="32" r:id="rId5"/>
    <sheet name="Prices" sheetId="28" r:id="rId6"/>
    <sheet name="Industrial Allocation" sheetId="21" r:id="rId7"/>
    <sheet name="Govt supply" sheetId="20" r:id="rId8"/>
    <sheet name="Afforestation" sheetId="25" r:id="rId9"/>
    <sheet name="New Forest Abs" sheetId="23" r:id="rId10"/>
    <sheet name="Removals" sheetId="22" r:id="rId11"/>
    <sheet name="Manley" sheetId="12" r:id="rId12"/>
    <sheet name="Yield" sheetId="24" r:id="rId13"/>
    <sheet name="Historical" sheetId="16" state="hidden" r:id="rId14"/>
    <sheet name="Old CCC projections data" sheetId="7" state="hidden" r:id="rId15"/>
  </sheets>
  <definedNames>
    <definedName name="_ftn1" localSheetId="7">'Govt supply'!#REF!</definedName>
    <definedName name="_ftnref1" localSheetId="7">'Govt supply'!#REF!</definedName>
    <definedName name="_xleta.ROWS" hidden="1" xlm="1">#NAME?</definedName>
    <definedName name="Btu">#REF!</definedName>
    <definedName name="calorie">#REF!</definedName>
    <definedName name="day">#REF!</definedName>
    <definedName name="Gross_1990">#REF!</definedName>
    <definedName name="Gross_2005">#REF!</definedName>
    <definedName name="hour">#REF!</definedName>
    <definedName name="joule">#REF!</definedName>
    <definedName name="kg">#REF!</definedName>
    <definedName name="kilometre">#REF!</definedName>
    <definedName name="metre">#REF!</definedName>
    <definedName name="minute">#REF!</definedName>
    <definedName name="_xlnm.Print_Area" localSheetId="1">Dashboard!$A$1:$AB$34</definedName>
    <definedName name="second">#REF!</definedName>
    <definedName name="solver_adj" localSheetId="3" hidden="1">Model!$B$19:$B$20</definedName>
    <definedName name="solver_cvg" localSheetId="3" hidden="1">0.0001</definedName>
    <definedName name="solver_drv" localSheetId="3" hidden="1">1</definedName>
    <definedName name="solver_eng" localSheetId="3" hidden="1">1</definedName>
    <definedName name="solver_eng" localSheetId="5" hidden="1">1</definedName>
    <definedName name="solver_est" localSheetId="3" hidden="1">1</definedName>
    <definedName name="solver_itr" localSheetId="3" hidden="1">2147483647</definedName>
    <definedName name="solver_lhs1" localSheetId="3" hidden="1">Model!$C$19</definedName>
    <definedName name="solver_lhs2" localSheetId="3" hidden="1">Model!$B$20</definedName>
    <definedName name="solver_lhs3" localSheetId="3" hidden="1">Model!$C$19</definedName>
    <definedName name="solver_lhs4" localSheetId="3" hidden="1">Model!$C$19</definedName>
    <definedName name="solver_lhs5" localSheetId="3" hidden="1">Model!$C$19</definedName>
    <definedName name="solver_lhs6" localSheetId="3" hidden="1">Model!$C$19</definedName>
    <definedName name="solver_lhs7" localSheetId="3" hidden="1">Model!$C$19</definedName>
    <definedName name="solver_lhs8" localSheetId="3" hidden="1">Model!$C$19</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2</definedName>
    <definedName name="solver_neg" localSheetId="5" hidden="1">1</definedName>
    <definedName name="solver_nod" localSheetId="3" hidden="1">2147483647</definedName>
    <definedName name="solver_num" localSheetId="3" hidden="1">2</definedName>
    <definedName name="solver_num" localSheetId="5" hidden="1">0</definedName>
    <definedName name="solver_nwt" localSheetId="3" hidden="1">1</definedName>
    <definedName name="solver_opt" localSheetId="3" hidden="1">Model!$B$21</definedName>
    <definedName name="solver_opt" localSheetId="5" hidden="1">Prices!#REF!</definedName>
    <definedName name="solver_pre" localSheetId="3" hidden="1">0.000001</definedName>
    <definedName name="solver_rbv" localSheetId="3" hidden="1">1</definedName>
    <definedName name="solver_rel1" localSheetId="3" hidden="1">1</definedName>
    <definedName name="solver_rel2" localSheetId="3" hidden="1">3</definedName>
    <definedName name="solver_rel3" localSheetId="3" hidden="1">1</definedName>
    <definedName name="solver_rel4" localSheetId="3" hidden="1">1</definedName>
    <definedName name="solver_rel5" localSheetId="3" hidden="1">1</definedName>
    <definedName name="solver_rel6" localSheetId="3" hidden="1">1</definedName>
    <definedName name="solver_rel7" localSheetId="3" hidden="1">1</definedName>
    <definedName name="solver_rel8" localSheetId="3" hidden="1">1</definedName>
    <definedName name="solver_rhs1" localSheetId="3" hidden="1">0.2</definedName>
    <definedName name="solver_rhs2" localSheetId="3" hidden="1">1</definedName>
    <definedName name="solver_rhs3" localSheetId="3" hidden="1">0.2</definedName>
    <definedName name="solver_rhs4" localSheetId="3" hidden="1">0.2</definedName>
    <definedName name="solver_rhs5" localSheetId="3" hidden="1">0.2</definedName>
    <definedName name="solver_rhs6" localSheetId="3" hidden="1">0.2</definedName>
    <definedName name="solver_rhs7" localSheetId="3" hidden="1">0.2</definedName>
    <definedName name="solver_rhs8" localSheetId="3" hidden="1">0.2</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typ" localSheetId="5" hidden="1">1</definedName>
    <definedName name="solver_val" localSheetId="3" hidden="1">0</definedName>
    <definedName name="solver_val" localSheetId="5" hidden="1">0</definedName>
    <definedName name="solver_ver" localSheetId="3" hidden="1">3</definedName>
    <definedName name="solver_ver" localSheetId="5" hidden="1">3</definedName>
    <definedName name="Tmpl_NR_MatrixReference">#REF!</definedName>
    <definedName name="Tmpl_NR_ModelName">#REF!</definedName>
    <definedName name="Tmpl_NR_SecurityClassification">#REF!</definedName>
    <definedName name="Tmpl_NR_VersionNumber">#REF!</definedName>
    <definedName name="W.h">#REF!</definedName>
    <definedName name="watt">#REF!</definedName>
    <definedName name="yard">#REF!</definedName>
    <definedName name="yea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2" i="22" l="1"/>
  <c r="C10" i="28"/>
  <c r="C11" i="28" s="1"/>
  <c r="W43" i="22" l="1"/>
  <c r="W42" i="22"/>
  <c r="W41" i="22"/>
  <c r="W40" i="22"/>
  <c r="W39" i="22"/>
  <c r="W38" i="22"/>
  <c r="W21" i="11"/>
  <c r="U24" i="11"/>
  <c r="W24" i="11"/>
  <c r="U25" i="11"/>
  <c r="W26" i="11"/>
  <c r="U27" i="11"/>
  <c r="W27" i="11"/>
  <c r="U28" i="11"/>
  <c r="W28" i="11"/>
  <c r="W31" i="11"/>
  <c r="U32" i="11"/>
  <c r="BF58" i="41"/>
  <c r="BF57" i="41"/>
  <c r="BF56" i="41"/>
  <c r="BF55" i="41"/>
  <c r="BF54" i="41"/>
  <c r="BF53" i="41"/>
  <c r="BF52" i="41"/>
  <c r="BF51" i="41"/>
  <c r="BF50" i="41"/>
  <c r="BF49" i="41"/>
  <c r="BF48" i="41"/>
  <c r="BF47" i="41"/>
  <c r="BF46" i="41"/>
  <c r="BF45" i="41"/>
  <c r="BF44" i="41"/>
  <c r="BF43" i="41"/>
  <c r="BF42" i="41"/>
  <c r="BF41" i="41"/>
  <c r="W33" i="11"/>
  <c r="V33" i="11"/>
  <c r="U33" i="11"/>
  <c r="T33" i="11"/>
  <c r="S33" i="11"/>
  <c r="W32" i="11"/>
  <c r="V32" i="11"/>
  <c r="T32" i="11"/>
  <c r="S32" i="11"/>
  <c r="V31" i="11"/>
  <c r="U31" i="11"/>
  <c r="T31" i="11"/>
  <c r="S31" i="11"/>
  <c r="W30" i="11"/>
  <c r="V30" i="11"/>
  <c r="U30" i="11"/>
  <c r="T30" i="11"/>
  <c r="S30" i="11"/>
  <c r="W29" i="11"/>
  <c r="V29" i="11"/>
  <c r="U29" i="11"/>
  <c r="T29" i="11"/>
  <c r="S29" i="11"/>
  <c r="V28" i="11"/>
  <c r="T28" i="11"/>
  <c r="S28" i="11"/>
  <c r="V27" i="11"/>
  <c r="T27" i="11"/>
  <c r="S27" i="11"/>
  <c r="V26" i="11"/>
  <c r="U26" i="11"/>
  <c r="T26" i="11"/>
  <c r="S26" i="11"/>
  <c r="W25" i="11"/>
  <c r="V25" i="11"/>
  <c r="T25" i="11"/>
  <c r="S25" i="11"/>
  <c r="V24" i="11"/>
  <c r="T24" i="11"/>
  <c r="S24" i="11"/>
  <c r="W23" i="11"/>
  <c r="V23" i="11"/>
  <c r="U23" i="11"/>
  <c r="T23" i="11"/>
  <c r="S23" i="11"/>
  <c r="W22" i="11"/>
  <c r="V22" i="11"/>
  <c r="U22" i="11"/>
  <c r="T22" i="11"/>
  <c r="S22" i="11"/>
  <c r="V21" i="11"/>
  <c r="U21" i="11"/>
  <c r="T21" i="11"/>
  <c r="S21" i="11"/>
  <c r="W20" i="11"/>
  <c r="V20" i="11"/>
  <c r="U20" i="11"/>
  <c r="T20" i="11"/>
  <c r="S20" i="11"/>
  <c r="W19" i="11"/>
  <c r="V19" i="11"/>
  <c r="U19" i="11"/>
  <c r="T19" i="11"/>
  <c r="S19" i="11"/>
  <c r="W18" i="11"/>
  <c r="V18" i="11"/>
  <c r="U18" i="11"/>
  <c r="T18" i="11"/>
  <c r="S18" i="11"/>
  <c r="W17" i="11"/>
  <c r="V17" i="11"/>
  <c r="U17" i="11"/>
  <c r="T17" i="11"/>
  <c r="S17" i="11"/>
  <c r="W16" i="11"/>
  <c r="V16" i="11"/>
  <c r="U16" i="11"/>
  <c r="T16" i="11"/>
  <c r="S16" i="11"/>
  <c r="W15" i="11"/>
  <c r="V15" i="11"/>
  <c r="U15" i="11"/>
  <c r="T15" i="11"/>
  <c r="S15" i="11"/>
  <c r="W14" i="11"/>
  <c r="V14" i="11"/>
  <c r="U14" i="11"/>
  <c r="T14" i="11"/>
  <c r="S14" i="11"/>
  <c r="W13" i="11"/>
  <c r="V13" i="11"/>
  <c r="U13" i="11"/>
  <c r="T13" i="11"/>
  <c r="S13" i="11"/>
  <c r="W12" i="11"/>
  <c r="V12" i="11"/>
  <c r="U12" i="11"/>
  <c r="T12" i="11"/>
  <c r="S12" i="11"/>
  <c r="W11" i="11"/>
  <c r="V11" i="11"/>
  <c r="U11" i="11"/>
  <c r="T11" i="11"/>
  <c r="S11" i="11"/>
  <c r="W10" i="11"/>
  <c r="V10" i="11"/>
  <c r="U10" i="11"/>
  <c r="T10" i="11"/>
  <c r="S10" i="11"/>
  <c r="W9" i="11"/>
  <c r="V9" i="11"/>
  <c r="U9" i="11"/>
  <c r="T9" i="11"/>
  <c r="S9" i="11"/>
  <c r="W8" i="11"/>
  <c r="V8" i="11"/>
  <c r="U8" i="11"/>
  <c r="T8" i="11"/>
  <c r="S8" i="11"/>
  <c r="W7" i="11"/>
  <c r="V7" i="11"/>
  <c r="U7" i="11"/>
  <c r="T7" i="11"/>
  <c r="S7" i="11"/>
  <c r="W6" i="11"/>
  <c r="V6" i="11"/>
  <c r="U6" i="11"/>
  <c r="T6" i="11"/>
  <c r="S6" i="11"/>
  <c r="W5" i="11"/>
  <c r="V5" i="11"/>
  <c r="U5" i="11"/>
  <c r="T5" i="11"/>
  <c r="S5" i="11"/>
  <c r="AC4" i="11"/>
  <c r="F12" i="20" l="1"/>
  <c r="E21" i="21"/>
  <c r="E49" i="21" s="1"/>
  <c r="C21" i="21"/>
  <c r="C49" i="21" s="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C27" i="21" s="1"/>
  <c r="C55" i="21" s="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C22" i="21" s="1"/>
  <c r="C50" i="21" s="1"/>
  <c r="C14" i="21"/>
  <c r="E11" i="21"/>
  <c r="E8" i="21"/>
  <c r="E7" i="21"/>
  <c r="E6" i="21"/>
  <c r="E5" i="21"/>
  <c r="E4" i="21"/>
  <c r="F4" i="21" s="1"/>
  <c r="F3" i="21"/>
  <c r="F21" i="21" s="1"/>
  <c r="F49" i="21" s="1"/>
  <c r="X4" i="20"/>
  <c r="F8" i="20"/>
  <c r="E24" i="21" l="1"/>
  <c r="E52" i="21" s="1"/>
  <c r="E26" i="21"/>
  <c r="E54" i="21" s="1"/>
  <c r="E23" i="21"/>
  <c r="E51" i="21" s="1"/>
  <c r="F5" i="21"/>
  <c r="E29" i="21"/>
  <c r="E57" i="21" s="1"/>
  <c r="F11" i="21"/>
  <c r="F29" i="21" s="1"/>
  <c r="F57" i="21" s="1"/>
  <c r="E22" i="21"/>
  <c r="E50" i="21" s="1"/>
  <c r="D30" i="21"/>
  <c r="D58" i="21" s="1"/>
  <c r="E12" i="21"/>
  <c r="C30" i="21"/>
  <c r="C58" i="21" s="1"/>
  <c r="C28" i="21"/>
  <c r="C56" i="21" s="1"/>
  <c r="C29" i="21"/>
  <c r="C57" i="21" s="1"/>
  <c r="C31" i="21"/>
  <c r="C59" i="21" s="1"/>
  <c r="D21" i="21"/>
  <c r="D49" i="21" s="1"/>
  <c r="D23" i="21"/>
  <c r="E25" i="21"/>
  <c r="E53" i="21" s="1"/>
  <c r="F7" i="21"/>
  <c r="D22" i="21"/>
  <c r="D50" i="21" s="1"/>
  <c r="F6" i="21"/>
  <c r="G4" i="21"/>
  <c r="F22" i="21"/>
  <c r="F50" i="21" s="1"/>
  <c r="D31" i="21"/>
  <c r="D59" i="21" s="1"/>
  <c r="E13" i="21"/>
  <c r="D14" i="21"/>
  <c r="F8" i="21"/>
  <c r="D27" i="21"/>
  <c r="D55" i="21" s="1"/>
  <c r="G3" i="21"/>
  <c r="E9" i="21"/>
  <c r="D28" i="21"/>
  <c r="D56" i="21" s="1"/>
  <c r="E10" i="21"/>
  <c r="D24" i="21"/>
  <c r="D52" i="21" s="1"/>
  <c r="D25" i="21"/>
  <c r="D53" i="21" s="1"/>
  <c r="C26" i="21"/>
  <c r="C54" i="21" s="1"/>
  <c r="C24" i="21"/>
  <c r="C52" i="21" s="1"/>
  <c r="C23" i="21"/>
  <c r="C25" i="21"/>
  <c r="C53" i="21" s="1"/>
  <c r="D26" i="21"/>
  <c r="D54" i="21" s="1"/>
  <c r="D29" i="21"/>
  <c r="D57" i="21" s="1"/>
  <c r="F5" i="20"/>
  <c r="F6" i="20" s="1"/>
  <c r="E6" i="20"/>
  <c r="E14" i="21" l="1"/>
  <c r="F23" i="21"/>
  <c r="F51" i="21" s="1"/>
  <c r="G5" i="21"/>
  <c r="G11" i="21"/>
  <c r="G29" i="21" s="1"/>
  <c r="G57" i="21" s="1"/>
  <c r="G6" i="21"/>
  <c r="F24" i="21"/>
  <c r="C32" i="21"/>
  <c r="C51" i="21"/>
  <c r="C62" i="21" s="1"/>
  <c r="G8" i="21"/>
  <c r="F26" i="21"/>
  <c r="F54" i="21" s="1"/>
  <c r="E28" i="21"/>
  <c r="E56" i="21" s="1"/>
  <c r="F10" i="21"/>
  <c r="D32" i="21"/>
  <c r="D51" i="21"/>
  <c r="D62" i="21" s="1"/>
  <c r="F9" i="21"/>
  <c r="E27" i="21"/>
  <c r="E55" i="21" s="1"/>
  <c r="G7" i="21"/>
  <c r="F25" i="21"/>
  <c r="F53" i="21" s="1"/>
  <c r="F13" i="21"/>
  <c r="E31" i="21"/>
  <c r="E59" i="21" s="1"/>
  <c r="E30" i="21"/>
  <c r="E58" i="21" s="1"/>
  <c r="F12" i="21"/>
  <c r="H3" i="21"/>
  <c r="G21" i="21"/>
  <c r="G49" i="21" s="1"/>
  <c r="H4" i="21"/>
  <c r="G22" i="21"/>
  <c r="G50" i="21" s="1"/>
  <c r="H11" i="21" l="1"/>
  <c r="E62" i="21"/>
  <c r="G23" i="21"/>
  <c r="G51" i="21" s="1"/>
  <c r="H5" i="21"/>
  <c r="D63" i="21"/>
  <c r="AB7" i="11"/>
  <c r="C63" i="21"/>
  <c r="AB6" i="11"/>
  <c r="H22" i="21"/>
  <c r="H50" i="21" s="1"/>
  <c r="I4" i="21"/>
  <c r="G25" i="21"/>
  <c r="G53" i="21" s="1"/>
  <c r="H7" i="21"/>
  <c r="F28" i="21"/>
  <c r="F56" i="21" s="1"/>
  <c r="G10" i="21"/>
  <c r="F14" i="21"/>
  <c r="H29" i="21"/>
  <c r="H57" i="21" s="1"/>
  <c r="I11" i="21"/>
  <c r="I3" i="21"/>
  <c r="H21" i="21"/>
  <c r="H49" i="21" s="1"/>
  <c r="F52" i="21"/>
  <c r="G24" i="21"/>
  <c r="H6" i="21"/>
  <c r="F31" i="21"/>
  <c r="F59" i="21" s="1"/>
  <c r="G13" i="21"/>
  <c r="E32" i="21"/>
  <c r="G12" i="21"/>
  <c r="F30" i="21"/>
  <c r="F58" i="21" s="1"/>
  <c r="F27" i="21"/>
  <c r="F55" i="21" s="1"/>
  <c r="G9" i="21"/>
  <c r="G26" i="21"/>
  <c r="G54" i="21" s="1"/>
  <c r="H8" i="21"/>
  <c r="F62" i="21" l="1"/>
  <c r="AB9" i="11"/>
  <c r="H23" i="21"/>
  <c r="H51" i="21" s="1"/>
  <c r="I5" i="21"/>
  <c r="E63" i="21"/>
  <c r="AB8" i="11"/>
  <c r="I29" i="21"/>
  <c r="I57" i="21" s="1"/>
  <c r="J11" i="21"/>
  <c r="I22" i="21"/>
  <c r="I50" i="21" s="1"/>
  <c r="J4" i="21"/>
  <c r="H26" i="21"/>
  <c r="H54" i="21" s="1"/>
  <c r="I8" i="21"/>
  <c r="F32" i="21"/>
  <c r="H10" i="21"/>
  <c r="G28" i="21"/>
  <c r="G56" i="21" s="1"/>
  <c r="G30" i="21"/>
  <c r="G58" i="21" s="1"/>
  <c r="H12" i="21"/>
  <c r="G31" i="21"/>
  <c r="G59" i="21" s="1"/>
  <c r="H13" i="21"/>
  <c r="H25" i="21"/>
  <c r="H53" i="21" s="1"/>
  <c r="I7" i="21"/>
  <c r="H24" i="21"/>
  <c r="I6" i="21"/>
  <c r="G14" i="21"/>
  <c r="G27" i="21"/>
  <c r="G55" i="21" s="1"/>
  <c r="H9" i="21"/>
  <c r="G52" i="21"/>
  <c r="J3" i="21"/>
  <c r="I21" i="21"/>
  <c r="I49" i="21" s="1"/>
  <c r="BF7" i="11"/>
  <c r="BG7" i="11" s="1"/>
  <c r="F63" i="21" l="1"/>
  <c r="G32" i="21"/>
  <c r="J5" i="21"/>
  <c r="I23" i="21"/>
  <c r="I51" i="21" s="1"/>
  <c r="H27" i="21"/>
  <c r="H55" i="21" s="1"/>
  <c r="I9" i="21"/>
  <c r="J6" i="21"/>
  <c r="I24" i="21"/>
  <c r="I26" i="21"/>
  <c r="I54" i="21" s="1"/>
  <c r="J8" i="21"/>
  <c r="I25" i="21"/>
  <c r="I53" i="21" s="1"/>
  <c r="J7" i="21"/>
  <c r="H28" i="21"/>
  <c r="H56" i="21" s="1"/>
  <c r="I10" i="21"/>
  <c r="J22" i="21"/>
  <c r="J50" i="21" s="1"/>
  <c r="K4" i="21"/>
  <c r="H52" i="21"/>
  <c r="H14" i="21"/>
  <c r="K11" i="21"/>
  <c r="J29" i="21"/>
  <c r="J57" i="21" s="1"/>
  <c r="G62" i="21"/>
  <c r="H30" i="21"/>
  <c r="H58" i="21" s="1"/>
  <c r="I12" i="21"/>
  <c r="K3" i="21"/>
  <c r="J21" i="21"/>
  <c r="J49" i="21" s="1"/>
  <c r="H31" i="21"/>
  <c r="H59" i="21" s="1"/>
  <c r="I13" i="21"/>
  <c r="X38" i="22"/>
  <c r="E7" i="20"/>
  <c r="E8" i="20"/>
  <c r="N3" i="20"/>
  <c r="I14" i="21" l="1"/>
  <c r="K5" i="21"/>
  <c r="J23" i="21"/>
  <c r="J51" i="21" s="1"/>
  <c r="G63" i="21"/>
  <c r="AB10" i="11"/>
  <c r="L11" i="21"/>
  <c r="K29" i="21"/>
  <c r="K57" i="21" s="1"/>
  <c r="I28" i="21"/>
  <c r="I56" i="21" s="1"/>
  <c r="J10" i="21"/>
  <c r="J24" i="21"/>
  <c r="K6" i="21"/>
  <c r="K21" i="21"/>
  <c r="K49" i="21" s="1"/>
  <c r="L3" i="21"/>
  <c r="I52" i="21"/>
  <c r="I30" i="21"/>
  <c r="I58" i="21" s="1"/>
  <c r="J12" i="21"/>
  <c r="H32" i="21"/>
  <c r="K8" i="21"/>
  <c r="J26" i="21"/>
  <c r="J54" i="21" s="1"/>
  <c r="I27" i="21"/>
  <c r="I55" i="21" s="1"/>
  <c r="J9" i="21"/>
  <c r="K22" i="21"/>
  <c r="K50" i="21" s="1"/>
  <c r="L4" i="21"/>
  <c r="K7" i="21"/>
  <c r="J25" i="21"/>
  <c r="J53" i="21" s="1"/>
  <c r="I31" i="21"/>
  <c r="I59" i="21" s="1"/>
  <c r="J13" i="21"/>
  <c r="H62" i="21"/>
  <c r="X42" i="22"/>
  <c r="X41" i="22"/>
  <c r="X40" i="22"/>
  <c r="X39" i="22"/>
  <c r="V38" i="22"/>
  <c r="V43" i="22"/>
  <c r="V41" i="22"/>
  <c r="V39" i="22"/>
  <c r="E4" i="22"/>
  <c r="H63" i="21" l="1"/>
  <c r="AB11" i="11"/>
  <c r="L5" i="21"/>
  <c r="K23" i="21"/>
  <c r="K51" i="21" s="1"/>
  <c r="J28" i="21"/>
  <c r="J56" i="21" s="1"/>
  <c r="K10" i="21"/>
  <c r="M4" i="21"/>
  <c r="L22" i="21"/>
  <c r="L50" i="21" s="1"/>
  <c r="K26" i="21"/>
  <c r="K54" i="21" s="1"/>
  <c r="L8" i="21"/>
  <c r="L7" i="21"/>
  <c r="K25" i="21"/>
  <c r="K53" i="21" s="1"/>
  <c r="J14" i="21"/>
  <c r="L21" i="21"/>
  <c r="L49" i="21" s="1"/>
  <c r="M3" i="21"/>
  <c r="K13" i="21"/>
  <c r="J31" i="21"/>
  <c r="J59" i="21" s="1"/>
  <c r="I32" i="21"/>
  <c r="L29" i="21"/>
  <c r="L57" i="21" s="1"/>
  <c r="M11" i="21"/>
  <c r="J52" i="21"/>
  <c r="K12" i="21"/>
  <c r="J30" i="21"/>
  <c r="J58" i="21" s="1"/>
  <c r="J27" i="21"/>
  <c r="J55" i="21" s="1"/>
  <c r="K9" i="21"/>
  <c r="I62" i="21"/>
  <c r="K24" i="21"/>
  <c r="L6" i="21"/>
  <c r="M5" i="21" l="1"/>
  <c r="L23" i="21"/>
  <c r="L51" i="21" s="1"/>
  <c r="I63" i="21"/>
  <c r="AB12" i="11"/>
  <c r="M22" i="21"/>
  <c r="M50" i="21" s="1"/>
  <c r="N4" i="21"/>
  <c r="L26" i="21"/>
  <c r="L54" i="21" s="1"/>
  <c r="M8" i="21"/>
  <c r="K31" i="21"/>
  <c r="K59" i="21" s="1"/>
  <c r="L13" i="21"/>
  <c r="J62" i="21"/>
  <c r="M21" i="21"/>
  <c r="M49" i="21" s="1"/>
  <c r="N3" i="21"/>
  <c r="L25" i="21"/>
  <c r="L53" i="21" s="1"/>
  <c r="M7" i="21"/>
  <c r="K30" i="21"/>
  <c r="K58" i="21" s="1"/>
  <c r="L12" i="21"/>
  <c r="J32" i="21"/>
  <c r="L24" i="21"/>
  <c r="M6" i="21"/>
  <c r="K52" i="21"/>
  <c r="M29" i="21"/>
  <c r="M57" i="21" s="1"/>
  <c r="N11" i="21"/>
  <c r="K28" i="21"/>
  <c r="K56" i="21" s="1"/>
  <c r="L10" i="21"/>
  <c r="K27" i="21"/>
  <c r="K55" i="21" s="1"/>
  <c r="L9" i="21"/>
  <c r="K14" i="21"/>
  <c r="L28" i="21" l="1"/>
  <c r="L56" i="21" s="1"/>
  <c r="M10" i="21"/>
  <c r="J63" i="21"/>
  <c r="AB13" i="11"/>
  <c r="N5" i="21"/>
  <c r="M23" i="21"/>
  <c r="M51" i="21" s="1"/>
  <c r="L31" i="21"/>
  <c r="L59" i="21" s="1"/>
  <c r="M13" i="21"/>
  <c r="K62" i="21"/>
  <c r="M24" i="21"/>
  <c r="N6" i="21"/>
  <c r="N29" i="21"/>
  <c r="N57" i="21" s="1"/>
  <c r="O11" i="21"/>
  <c r="L30" i="21"/>
  <c r="L58" i="21" s="1"/>
  <c r="M12" i="21"/>
  <c r="K32" i="21"/>
  <c r="N7" i="21"/>
  <c r="M25" i="21"/>
  <c r="M53" i="21" s="1"/>
  <c r="M26" i="21"/>
  <c r="M54" i="21" s="1"/>
  <c r="N8" i="21"/>
  <c r="L27" i="21"/>
  <c r="L55" i="21" s="1"/>
  <c r="M9" i="21"/>
  <c r="L52" i="21"/>
  <c r="O4" i="21"/>
  <c r="N22" i="21"/>
  <c r="N50" i="21" s="1"/>
  <c r="N21" i="21"/>
  <c r="N49" i="21" s="1"/>
  <c r="O3" i="21"/>
  <c r="L14" i="21"/>
  <c r="N10" i="21" l="1"/>
  <c r="M28" i="21"/>
  <c r="M56" i="21" s="1"/>
  <c r="L32" i="21"/>
  <c r="L62" i="21"/>
  <c r="M14" i="21"/>
  <c r="O5" i="21"/>
  <c r="N23" i="21"/>
  <c r="N51" i="21" s="1"/>
  <c r="L63" i="21"/>
  <c r="AB15" i="11"/>
  <c r="K63" i="21"/>
  <c r="AB14" i="11"/>
  <c r="O6" i="21"/>
  <c r="N24" i="21"/>
  <c r="P3" i="21"/>
  <c r="O21" i="21"/>
  <c r="O49" i="21" s="1"/>
  <c r="M52" i="21"/>
  <c r="O7" i="21"/>
  <c r="N25" i="21"/>
  <c r="N53" i="21" s="1"/>
  <c r="M31" i="21"/>
  <c r="M59" i="21" s="1"/>
  <c r="N13" i="21"/>
  <c r="N26" i="21"/>
  <c r="N54" i="21" s="1"/>
  <c r="O8" i="21"/>
  <c r="P4" i="21"/>
  <c r="O22" i="21"/>
  <c r="O50" i="21" s="1"/>
  <c r="M30" i="21"/>
  <c r="M58" i="21" s="1"/>
  <c r="N12" i="21"/>
  <c r="M27" i="21"/>
  <c r="M55" i="21" s="1"/>
  <c r="N9" i="21"/>
  <c r="O29" i="21"/>
  <c r="O57" i="21" s="1"/>
  <c r="P11" i="21"/>
  <c r="O10" i="21" l="1"/>
  <c r="N28" i="21"/>
  <c r="N56" i="21" s="1"/>
  <c r="N14" i="21"/>
  <c r="O23" i="21"/>
  <c r="O51" i="21" s="1"/>
  <c r="P5" i="21"/>
  <c r="P21" i="21"/>
  <c r="P49" i="21" s="1"/>
  <c r="Q3" i="21"/>
  <c r="N52" i="21"/>
  <c r="O25" i="21"/>
  <c r="O53" i="21" s="1"/>
  <c r="P7" i="21"/>
  <c r="N30" i="21"/>
  <c r="N58" i="21" s="1"/>
  <c r="O12" i="21"/>
  <c r="Q4" i="21"/>
  <c r="P22" i="21"/>
  <c r="P50" i="21" s="1"/>
  <c r="M32" i="21"/>
  <c r="N31" i="21"/>
  <c r="N59" i="21" s="1"/>
  <c r="O13" i="21"/>
  <c r="O9" i="21"/>
  <c r="N27" i="21"/>
  <c r="N55" i="21" s="1"/>
  <c r="O24" i="21"/>
  <c r="P6" i="21"/>
  <c r="O26" i="21"/>
  <c r="O54" i="21" s="1"/>
  <c r="P8" i="21"/>
  <c r="M62" i="21"/>
  <c r="P29" i="21"/>
  <c r="P57" i="21" s="1"/>
  <c r="Q11" i="21"/>
  <c r="P10" i="21" l="1"/>
  <c r="O28" i="21"/>
  <c r="O56" i="21" s="1"/>
  <c r="P23" i="21"/>
  <c r="P51" i="21" s="1"/>
  <c r="Q5" i="21"/>
  <c r="M63" i="21"/>
  <c r="AB16" i="11"/>
  <c r="N62" i="21"/>
  <c r="P25" i="21"/>
  <c r="P53" i="21" s="1"/>
  <c r="Q7" i="21"/>
  <c r="O31" i="21"/>
  <c r="O59" i="21" s="1"/>
  <c r="P13" i="21"/>
  <c r="N32" i="21"/>
  <c r="Q29" i="21"/>
  <c r="Q57" i="21" s="1"/>
  <c r="R11" i="21"/>
  <c r="O52" i="21"/>
  <c r="P24" i="21"/>
  <c r="Q6" i="21"/>
  <c r="Q22" i="21"/>
  <c r="Q50" i="21" s="1"/>
  <c r="R4" i="21"/>
  <c r="R3" i="21"/>
  <c r="Q21" i="21"/>
  <c r="Q49" i="21" s="1"/>
  <c r="O27" i="21"/>
  <c r="O55" i="21" s="1"/>
  <c r="P9" i="21"/>
  <c r="O14" i="21"/>
  <c r="P26" i="21"/>
  <c r="P54" i="21" s="1"/>
  <c r="Q8" i="21"/>
  <c r="P12" i="21"/>
  <c r="O30" i="21"/>
  <c r="O58" i="21" s="1"/>
  <c r="Q10" i="21" l="1"/>
  <c r="P28" i="21"/>
  <c r="P56" i="21" s="1"/>
  <c r="N63" i="21"/>
  <c r="AB17" i="11"/>
  <c r="Q23" i="21"/>
  <c r="Q51" i="21" s="1"/>
  <c r="R5" i="21"/>
  <c r="P31" i="21"/>
  <c r="P59" i="21" s="1"/>
  <c r="Q13" i="21"/>
  <c r="Q25" i="21"/>
  <c r="Q53" i="21" s="1"/>
  <c r="R7" i="21"/>
  <c r="S3" i="21"/>
  <c r="R21" i="21"/>
  <c r="R49" i="21" s="1"/>
  <c r="O32" i="21"/>
  <c r="O62" i="21"/>
  <c r="P30" i="21"/>
  <c r="P58" i="21" s="1"/>
  <c r="Q12" i="21"/>
  <c r="P52" i="21"/>
  <c r="Q26" i="21"/>
  <c r="Q54" i="21" s="1"/>
  <c r="R8" i="21"/>
  <c r="R22" i="21"/>
  <c r="R50" i="21" s="1"/>
  <c r="S4" i="21"/>
  <c r="P27" i="21"/>
  <c r="P55" i="21" s="1"/>
  <c r="Q9" i="21"/>
  <c r="Q24" i="21"/>
  <c r="R6" i="21"/>
  <c r="S11" i="21"/>
  <c r="R29" i="21"/>
  <c r="R57" i="21" s="1"/>
  <c r="P14" i="21"/>
  <c r="R10" i="21" l="1"/>
  <c r="Q28" i="21"/>
  <c r="Q56" i="21" s="1"/>
  <c r="R23" i="21"/>
  <c r="R51" i="21" s="1"/>
  <c r="S5" i="21"/>
  <c r="O63" i="21"/>
  <c r="AB18" i="11"/>
  <c r="R24" i="21"/>
  <c r="S6" i="21"/>
  <c r="Q31" i="21"/>
  <c r="Q59" i="21" s="1"/>
  <c r="R13" i="21"/>
  <c r="Q52" i="21"/>
  <c r="S7" i="21"/>
  <c r="R25" i="21"/>
  <c r="R53" i="21" s="1"/>
  <c r="T11" i="21"/>
  <c r="S29" i="21"/>
  <c r="S57" i="21" s="1"/>
  <c r="S8" i="21"/>
  <c r="R26" i="21"/>
  <c r="R54" i="21" s="1"/>
  <c r="P62" i="21"/>
  <c r="S21" i="21"/>
  <c r="S49" i="21" s="1"/>
  <c r="T3" i="21"/>
  <c r="Q30" i="21"/>
  <c r="Q58" i="21" s="1"/>
  <c r="R12" i="21"/>
  <c r="Q27" i="21"/>
  <c r="Q55" i="21" s="1"/>
  <c r="R9" i="21"/>
  <c r="P32" i="21"/>
  <c r="T4" i="21"/>
  <c r="S22" i="21"/>
  <c r="S50" i="21" s="1"/>
  <c r="Q14" i="21"/>
  <c r="R28" i="21" l="1"/>
  <c r="R56" i="21" s="1"/>
  <c r="S10" i="21"/>
  <c r="R14" i="21"/>
  <c r="P63" i="21"/>
  <c r="AB19" i="11"/>
  <c r="S23" i="21"/>
  <c r="S51" i="21" s="1"/>
  <c r="T5" i="21"/>
  <c r="Q62" i="21"/>
  <c r="S26" i="21"/>
  <c r="S54" i="21" s="1"/>
  <c r="T8" i="21"/>
  <c r="U4" i="21"/>
  <c r="T22" i="21"/>
  <c r="T50" i="21" s="1"/>
  <c r="T29" i="21"/>
  <c r="T57" i="21" s="1"/>
  <c r="U11" i="21"/>
  <c r="Q32" i="21"/>
  <c r="R30" i="21"/>
  <c r="R58" i="21" s="1"/>
  <c r="S12" i="21"/>
  <c r="U3" i="21"/>
  <c r="T21" i="21"/>
  <c r="T49" i="21" s="1"/>
  <c r="S24" i="21"/>
  <c r="T6" i="21"/>
  <c r="S13" i="21"/>
  <c r="R31" i="21"/>
  <c r="R59" i="21" s="1"/>
  <c r="S9" i="21"/>
  <c r="R27" i="21"/>
  <c r="R55" i="21" s="1"/>
  <c r="S25" i="21"/>
  <c r="S53" i="21" s="1"/>
  <c r="T7" i="21"/>
  <c r="R52" i="21"/>
  <c r="S28" i="21" l="1"/>
  <c r="S56" i="21" s="1"/>
  <c r="T10" i="21"/>
  <c r="S14" i="21"/>
  <c r="U5" i="21"/>
  <c r="T23" i="21"/>
  <c r="T51" i="21" s="1"/>
  <c r="Q63" i="21"/>
  <c r="AB20" i="11"/>
  <c r="V4" i="21"/>
  <c r="U22" i="21"/>
  <c r="U50" i="21" s="1"/>
  <c r="R62" i="21"/>
  <c r="T25" i="21"/>
  <c r="T53" i="21" s="1"/>
  <c r="U7" i="21"/>
  <c r="U29" i="21"/>
  <c r="U57" i="21" s="1"/>
  <c r="V11" i="21"/>
  <c r="S27" i="21"/>
  <c r="S55" i="21" s="1"/>
  <c r="T9" i="21"/>
  <c r="R32" i="21"/>
  <c r="T13" i="21"/>
  <c r="S31" i="21"/>
  <c r="S59" i="21" s="1"/>
  <c r="S30" i="21"/>
  <c r="S58" i="21" s="1"/>
  <c r="T12" i="21"/>
  <c r="T26" i="21"/>
  <c r="T54" i="21" s="1"/>
  <c r="U8" i="21"/>
  <c r="T24" i="21"/>
  <c r="U6" i="21"/>
  <c r="S52" i="21"/>
  <c r="U21" i="21"/>
  <c r="U49" i="21" s="1"/>
  <c r="V3" i="21"/>
  <c r="T28" i="21" l="1"/>
  <c r="T56" i="21" s="1"/>
  <c r="U10" i="21"/>
  <c r="S62" i="21"/>
  <c r="R63" i="21"/>
  <c r="AB21" i="11"/>
  <c r="U23" i="21"/>
  <c r="U51" i="21" s="1"/>
  <c r="V5" i="21"/>
  <c r="U26" i="21"/>
  <c r="U54" i="21" s="1"/>
  <c r="V8" i="21"/>
  <c r="T52" i="21"/>
  <c r="T30" i="21"/>
  <c r="T58" i="21" s="1"/>
  <c r="U12" i="21"/>
  <c r="W4" i="21"/>
  <c r="V22" i="21"/>
  <c r="V50" i="21" s="1"/>
  <c r="T31" i="21"/>
  <c r="T59" i="21" s="1"/>
  <c r="U13" i="21"/>
  <c r="V29" i="21"/>
  <c r="V57" i="21" s="1"/>
  <c r="W11" i="21"/>
  <c r="U24" i="21"/>
  <c r="V6" i="21"/>
  <c r="U25" i="21"/>
  <c r="U53" i="21" s="1"/>
  <c r="V7" i="21"/>
  <c r="V21" i="21"/>
  <c r="V49" i="21" s="1"/>
  <c r="W3" i="21"/>
  <c r="T27" i="21"/>
  <c r="T55" i="21" s="1"/>
  <c r="U9" i="21"/>
  <c r="T14" i="21"/>
  <c r="S32" i="21"/>
  <c r="U28" i="21" l="1"/>
  <c r="U56" i="21" s="1"/>
  <c r="V10" i="21"/>
  <c r="V23" i="21"/>
  <c r="V51" i="21" s="1"/>
  <c r="W5" i="21"/>
  <c r="S63" i="21"/>
  <c r="AB22" i="11"/>
  <c r="V9" i="21"/>
  <c r="U27" i="21"/>
  <c r="U55" i="21" s="1"/>
  <c r="U52" i="21"/>
  <c r="U30" i="21"/>
  <c r="U58" i="21" s="1"/>
  <c r="V12" i="21"/>
  <c r="X4" i="21"/>
  <c r="W22" i="21"/>
  <c r="W50" i="21" s="1"/>
  <c r="W29" i="21"/>
  <c r="W57" i="21" s="1"/>
  <c r="X11" i="21"/>
  <c r="T32" i="21"/>
  <c r="V13" i="21"/>
  <c r="U31" i="21"/>
  <c r="U59" i="21" s="1"/>
  <c r="X3" i="21"/>
  <c r="W21" i="21"/>
  <c r="W49" i="21" s="1"/>
  <c r="T62" i="21"/>
  <c r="W7" i="21"/>
  <c r="V25" i="21"/>
  <c r="V53" i="21" s="1"/>
  <c r="W8" i="21"/>
  <c r="V26" i="21"/>
  <c r="V54" i="21" s="1"/>
  <c r="W6" i="21"/>
  <c r="V24" i="21"/>
  <c r="U14" i="21"/>
  <c r="W10" i="21" l="1"/>
  <c r="V28" i="21"/>
  <c r="V56" i="21" s="1"/>
  <c r="W23" i="21"/>
  <c r="W51" i="21" s="1"/>
  <c r="X5" i="21"/>
  <c r="T63" i="21"/>
  <c r="AB23" i="11"/>
  <c r="W25" i="21"/>
  <c r="W53" i="21" s="1"/>
  <c r="X7" i="21"/>
  <c r="V31" i="21"/>
  <c r="V59" i="21" s="1"/>
  <c r="W13" i="21"/>
  <c r="V52" i="21"/>
  <c r="U62" i="21"/>
  <c r="X29" i="21"/>
  <c r="X57" i="21" s="1"/>
  <c r="Y11" i="21"/>
  <c r="W24" i="21"/>
  <c r="X6" i="21"/>
  <c r="W12" i="21"/>
  <c r="V30" i="21"/>
  <c r="V58" i="21" s="1"/>
  <c r="U32" i="21"/>
  <c r="W26" i="21"/>
  <c r="W54" i="21" s="1"/>
  <c r="X8" i="21"/>
  <c r="X21" i="21"/>
  <c r="X49" i="21" s="1"/>
  <c r="Y3" i="21"/>
  <c r="X22" i="21"/>
  <c r="X50" i="21" s="1"/>
  <c r="Y4" i="21"/>
  <c r="V27" i="21"/>
  <c r="V55" i="21" s="1"/>
  <c r="W9" i="21"/>
  <c r="V14" i="21"/>
  <c r="W28" i="21" l="1"/>
  <c r="W56" i="21" s="1"/>
  <c r="X10" i="21"/>
  <c r="V32" i="21"/>
  <c r="U63" i="21"/>
  <c r="AB24" i="11"/>
  <c r="V62" i="21"/>
  <c r="Y5" i="21"/>
  <c r="X23" i="21"/>
  <c r="X51" i="21" s="1"/>
  <c r="W31" i="21"/>
  <c r="W59" i="21" s="1"/>
  <c r="X13" i="21"/>
  <c r="X25" i="21"/>
  <c r="X53" i="21" s="1"/>
  <c r="Y7" i="21"/>
  <c r="X24" i="21"/>
  <c r="Y6" i="21"/>
  <c r="W52" i="21"/>
  <c r="X26" i="21"/>
  <c r="X54" i="21" s="1"/>
  <c r="Y8" i="21"/>
  <c r="Y29" i="21"/>
  <c r="Y57" i="21" s="1"/>
  <c r="Z11" i="21"/>
  <c r="Y22" i="21"/>
  <c r="Y50" i="21" s="1"/>
  <c r="Z4" i="21"/>
  <c r="Z3" i="21"/>
  <c r="Y21" i="21"/>
  <c r="Y49" i="21" s="1"/>
  <c r="W27" i="21"/>
  <c r="W55" i="21" s="1"/>
  <c r="X9" i="21"/>
  <c r="W14" i="21"/>
  <c r="W30" i="21"/>
  <c r="W58" i="21" s="1"/>
  <c r="X12" i="21"/>
  <c r="X28" i="21" l="1"/>
  <c r="X56" i="21" s="1"/>
  <c r="Y10" i="21"/>
  <c r="Z5" i="21"/>
  <c r="Y23" i="21"/>
  <c r="Y51" i="21" s="1"/>
  <c r="V63" i="21"/>
  <c r="AB25" i="11"/>
  <c r="Z22" i="21"/>
  <c r="Z50" i="21" s="1"/>
  <c r="AA4" i="21"/>
  <c r="X52" i="21"/>
  <c r="X27" i="21"/>
  <c r="X55" i="21" s="1"/>
  <c r="Y9" i="21"/>
  <c r="X14" i="21"/>
  <c r="AA11" i="21"/>
  <c r="Z29" i="21"/>
  <c r="Z57" i="21" s="1"/>
  <c r="Y26" i="21"/>
  <c r="Y54" i="21" s="1"/>
  <c r="Z8" i="21"/>
  <c r="Y25" i="21"/>
  <c r="Y53" i="21" s="1"/>
  <c r="Z7" i="21"/>
  <c r="AA3" i="21"/>
  <c r="Z21" i="21"/>
  <c r="Z49" i="21" s="1"/>
  <c r="W32" i="21"/>
  <c r="X31" i="21"/>
  <c r="X59" i="21" s="1"/>
  <c r="Y13" i="21"/>
  <c r="Z6" i="21"/>
  <c r="Y24" i="21"/>
  <c r="X30" i="21"/>
  <c r="X58" i="21" s="1"/>
  <c r="Y12" i="21"/>
  <c r="W62" i="21"/>
  <c r="Z10" i="21" l="1"/>
  <c r="Y28" i="21"/>
  <c r="Y56" i="21" s="1"/>
  <c r="W63" i="21"/>
  <c r="AB26" i="11"/>
  <c r="Z23" i="21"/>
  <c r="Z51" i="21" s="1"/>
  <c r="AA5" i="21"/>
  <c r="AB11" i="21"/>
  <c r="AA29" i="21"/>
  <c r="AA57" i="21" s="1"/>
  <c r="AA21" i="21"/>
  <c r="AA49" i="21" s="1"/>
  <c r="AB3" i="21"/>
  <c r="Z24" i="21"/>
  <c r="AA6" i="21"/>
  <c r="Y27" i="21"/>
  <c r="Y55" i="21" s="1"/>
  <c r="Z9" i="21"/>
  <c r="Y14" i="21"/>
  <c r="Z25" i="21"/>
  <c r="Z53" i="21" s="1"/>
  <c r="AA7" i="21"/>
  <c r="X32" i="21"/>
  <c r="Y52" i="21"/>
  <c r="Y31" i="21"/>
  <c r="Y59" i="21" s="1"/>
  <c r="Z13" i="21"/>
  <c r="AA8" i="21"/>
  <c r="Z26" i="21"/>
  <c r="Z54" i="21" s="1"/>
  <c r="X62" i="21"/>
  <c r="AA22" i="21"/>
  <c r="AA50" i="21" s="1"/>
  <c r="AB4" i="21"/>
  <c r="Y30" i="21"/>
  <c r="Y58" i="21" s="1"/>
  <c r="Z12" i="21"/>
  <c r="Z28" i="21" l="1"/>
  <c r="Z56" i="21" s="1"/>
  <c r="AA10" i="21"/>
  <c r="Z14" i="21"/>
  <c r="AA23" i="21"/>
  <c r="AA51" i="21" s="1"/>
  <c r="AB5" i="21"/>
  <c r="X63" i="21"/>
  <c r="AB27" i="11"/>
  <c r="AA13" i="21"/>
  <c r="Z31" i="21"/>
  <c r="Z59" i="21" s="1"/>
  <c r="AA24" i="21"/>
  <c r="AB6" i="21"/>
  <c r="AA12" i="21"/>
  <c r="Z30" i="21"/>
  <c r="Z58" i="21" s="1"/>
  <c r="AB7" i="21"/>
  <c r="AA25" i="21"/>
  <c r="AA53" i="21" s="1"/>
  <c r="AC4" i="21"/>
  <c r="AB22" i="21"/>
  <c r="AB50" i="21" s="1"/>
  <c r="AB21" i="21"/>
  <c r="AB49" i="21" s="1"/>
  <c r="AC3" i="21"/>
  <c r="Y62" i="21"/>
  <c r="Z27" i="21"/>
  <c r="Z55" i="21" s="1"/>
  <c r="AA9" i="21"/>
  <c r="AA26" i="21"/>
  <c r="AA54" i="21" s="1"/>
  <c r="AB8" i="21"/>
  <c r="Z52" i="21"/>
  <c r="Y32" i="21"/>
  <c r="AB29" i="21"/>
  <c r="AB57" i="21" s="1"/>
  <c r="AC11" i="21"/>
  <c r="AA28" i="21" l="1"/>
  <c r="AA56" i="21" s="1"/>
  <c r="AB10" i="21"/>
  <c r="Z62" i="21"/>
  <c r="AA14" i="21"/>
  <c r="AB23" i="21"/>
  <c r="AB51" i="21" s="1"/>
  <c r="AC5" i="21"/>
  <c r="Y63" i="21"/>
  <c r="AB28" i="11"/>
  <c r="AD4" i="21"/>
  <c r="AD22" i="21" s="1"/>
  <c r="AD50" i="21" s="1"/>
  <c r="AC22" i="21"/>
  <c r="AC50" i="21" s="1"/>
  <c r="AA52" i="21"/>
  <c r="AA30" i="21"/>
  <c r="AA58" i="21" s="1"/>
  <c r="AB12" i="21"/>
  <c r="AC21" i="21"/>
  <c r="AC49" i="21" s="1"/>
  <c r="AD3" i="21"/>
  <c r="AC29" i="21"/>
  <c r="AC57" i="21" s="1"/>
  <c r="AD11" i="21"/>
  <c r="AD29" i="21" s="1"/>
  <c r="AD57" i="21" s="1"/>
  <c r="AB26" i="21"/>
  <c r="AB54" i="21" s="1"/>
  <c r="AC8" i="21"/>
  <c r="AB24" i="21"/>
  <c r="AC6" i="21"/>
  <c r="AA27" i="21"/>
  <c r="AA55" i="21" s="1"/>
  <c r="AB9" i="21"/>
  <c r="Z32" i="21"/>
  <c r="AB25" i="21"/>
  <c r="AB53" i="21" s="1"/>
  <c r="AC7" i="21"/>
  <c r="AA31" i="21"/>
  <c r="AA59" i="21" s="1"/>
  <c r="AB13" i="21"/>
  <c r="AC10" i="21" l="1"/>
  <c r="AB28" i="21"/>
  <c r="AB56" i="21" s="1"/>
  <c r="AB29" i="11"/>
  <c r="Z63" i="21"/>
  <c r="AC23" i="21"/>
  <c r="AC51" i="21" s="1"/>
  <c r="AD5" i="21"/>
  <c r="AD23" i="21" s="1"/>
  <c r="AD51" i="21" s="1"/>
  <c r="AA62" i="21"/>
  <c r="AB27" i="21"/>
  <c r="AB55" i="21" s="1"/>
  <c r="AC9" i="21"/>
  <c r="AB14" i="21"/>
  <c r="AC24" i="21"/>
  <c r="AD6" i="21"/>
  <c r="AD24" i="21" s="1"/>
  <c r="AD21" i="21"/>
  <c r="AD49" i="21" s="1"/>
  <c r="AB31" i="21"/>
  <c r="AB59" i="21" s="1"/>
  <c r="AC13" i="21"/>
  <c r="AB52" i="21"/>
  <c r="AC26" i="21"/>
  <c r="AC54" i="21" s="1"/>
  <c r="AD8" i="21"/>
  <c r="AD26" i="21" s="1"/>
  <c r="AD54" i="21" s="1"/>
  <c r="AB30" i="21"/>
  <c r="AB58" i="21" s="1"/>
  <c r="AC12" i="21"/>
  <c r="AD7" i="21"/>
  <c r="AD25" i="21" s="1"/>
  <c r="AD53" i="21" s="1"/>
  <c r="AC25" i="21"/>
  <c r="AC53" i="21" s="1"/>
  <c r="AA32" i="21"/>
  <c r="AD10" i="21" l="1"/>
  <c r="AD28" i="21" s="1"/>
  <c r="AD56" i="21" s="1"/>
  <c r="AC28" i="21"/>
  <c r="AC56" i="21" s="1"/>
  <c r="AA63" i="21"/>
  <c r="AB30" i="11"/>
  <c r="AB32" i="21"/>
  <c r="AC30" i="21"/>
  <c r="AC58" i="21" s="1"/>
  <c r="AD12" i="21"/>
  <c r="AD30" i="21" s="1"/>
  <c r="AD58" i="21" s="1"/>
  <c r="AB62" i="21"/>
  <c r="AC27" i="21"/>
  <c r="AC55" i="21" s="1"/>
  <c r="AD9" i="21"/>
  <c r="AC14" i="21"/>
  <c r="AD52" i="21"/>
  <c r="AC52" i="21"/>
  <c r="AC31" i="21"/>
  <c r="AC59" i="21" s="1"/>
  <c r="AD13" i="21"/>
  <c r="AD31" i="21" s="1"/>
  <c r="AD59" i="21" s="1"/>
  <c r="AC38" i="22"/>
  <c r="AB63" i="21" l="1"/>
  <c r="AB31" i="11"/>
  <c r="AD27" i="21"/>
  <c r="AD14" i="21"/>
  <c r="AC32" i="21"/>
  <c r="AC62" i="21"/>
  <c r="AC63" i="21" l="1"/>
  <c r="AB32" i="11"/>
  <c r="AD55" i="21"/>
  <c r="AD62" i="21" s="1"/>
  <c r="AD32" i="21"/>
  <c r="AD63" i="21" l="1"/>
  <c r="AB33" i="11"/>
  <c r="D73" i="41" l="1"/>
  <c r="AL6" i="32" l="1"/>
  <c r="AL7" i="32"/>
  <c r="AL8" i="32"/>
  <c r="AL9" i="32"/>
  <c r="AL10" i="32"/>
  <c r="AL11" i="32"/>
  <c r="AL12" i="32"/>
  <c r="AL13" i="32"/>
  <c r="AL14" i="32"/>
  <c r="AL15" i="32"/>
  <c r="AL16" i="32"/>
  <c r="AL17" i="32"/>
  <c r="AL18" i="32"/>
  <c r="AL19" i="32"/>
  <c r="AL20" i="32"/>
  <c r="AL21" i="32"/>
  <c r="AL22" i="32"/>
  <c r="AL23" i="32"/>
  <c r="AL24" i="32"/>
  <c r="AL25" i="32"/>
  <c r="AL26" i="32"/>
  <c r="AL27" i="32"/>
  <c r="AL28" i="32"/>
  <c r="AL29" i="32"/>
  <c r="AL30" i="32"/>
  <c r="AL31" i="32"/>
  <c r="AL32" i="32"/>
  <c r="AL33" i="32"/>
  <c r="AL5" i="32"/>
  <c r="AZ2" i="32"/>
  <c r="BA2" i="32"/>
  <c r="BB2" i="32"/>
  <c r="AY2" i="32"/>
  <c r="AT2" i="32"/>
  <c r="AR2" i="32"/>
  <c r="AQ2" i="32"/>
  <c r="AN4" i="32" l="1"/>
  <c r="AN14" i="32"/>
  <c r="AN9" i="32"/>
  <c r="A37" i="25" l="1"/>
  <c r="Q17" i="24" l="1"/>
  <c r="M3" i="11" l="1"/>
  <c r="Q3" i="11" s="1"/>
  <c r="M24" i="11"/>
  <c r="M12" i="11"/>
  <c r="M13" i="11"/>
  <c r="M26" i="11"/>
  <c r="M15" i="11"/>
  <c r="M32" i="11"/>
  <c r="M29" i="11"/>
  <c r="M28" i="11"/>
  <c r="M21" i="11"/>
  <c r="M23" i="11"/>
  <c r="M11" i="11"/>
  <c r="M10" i="11"/>
  <c r="M18" i="11"/>
  <c r="M27" i="11"/>
  <c r="M31" i="11"/>
  <c r="M19" i="11"/>
  <c r="M14" i="11"/>
  <c r="M20" i="11"/>
  <c r="M17" i="11"/>
  <c r="M22" i="11"/>
  <c r="M16" i="11"/>
  <c r="M33" i="11"/>
  <c r="M30" i="11"/>
  <c r="M25" i="11"/>
  <c r="AB38" i="22"/>
  <c r="E18" i="25"/>
  <c r="E19" i="25"/>
  <c r="E20" i="25"/>
  <c r="C18" i="25"/>
  <c r="C19" i="25"/>
  <c r="C20" i="25"/>
  <c r="Y39" i="22" l="1"/>
  <c r="B24" i="20" l="1"/>
  <c r="B25" i="20"/>
  <c r="B26" i="20"/>
  <c r="B27" i="20"/>
  <c r="D17" i="20"/>
  <c r="B17" i="20" s="1"/>
  <c r="B6" i="20"/>
  <c r="B7" i="20"/>
  <c r="B8" i="20"/>
  <c r="B9" i="20"/>
  <c r="B10" i="20"/>
  <c r="B11" i="20"/>
  <c r="B12" i="20"/>
  <c r="B13" i="20"/>
  <c r="B14" i="20"/>
  <c r="B15" i="20"/>
  <c r="B5" i="20"/>
  <c r="B16" i="20"/>
  <c r="D18" i="20" l="1"/>
  <c r="D19" i="20" l="1"/>
  <c r="B18" i="20"/>
  <c r="D20" i="20" l="1"/>
  <c r="B19" i="20"/>
  <c r="D21" i="20" l="1"/>
  <c r="B20" i="20"/>
  <c r="D22" i="20" l="1"/>
  <c r="B21" i="20"/>
  <c r="D23" i="20" l="1"/>
  <c r="B23" i="20" s="1"/>
  <c r="B22" i="20"/>
  <c r="BQ70" i="41" l="1"/>
  <c r="Y25" i="41"/>
  <c r="G33" i="11" l="1"/>
  <c r="G32" i="11"/>
  <c r="AP42" i="41" l="1"/>
  <c r="AQ42" i="41"/>
  <c r="AR42" i="41"/>
  <c r="AP43" i="41"/>
  <c r="AQ43" i="41"/>
  <c r="AR43" i="41"/>
  <c r="AP44" i="41"/>
  <c r="AQ44" i="41"/>
  <c r="AR44" i="41"/>
  <c r="AP45" i="41"/>
  <c r="AQ45" i="41"/>
  <c r="AR45" i="41"/>
  <c r="AP46" i="41"/>
  <c r="AQ46" i="41"/>
  <c r="AR46" i="41"/>
  <c r="AP47" i="41"/>
  <c r="AQ47" i="41"/>
  <c r="AR47" i="41"/>
  <c r="AP48" i="41"/>
  <c r="AQ48" i="41"/>
  <c r="AR48" i="41"/>
  <c r="AP49" i="41"/>
  <c r="AQ49" i="41"/>
  <c r="AR49" i="41"/>
  <c r="AP50" i="41"/>
  <c r="AQ50" i="41"/>
  <c r="AR50" i="41"/>
  <c r="AP51" i="41"/>
  <c r="AQ51" i="41"/>
  <c r="AR51" i="41"/>
  <c r="AP52" i="41"/>
  <c r="AQ52" i="41"/>
  <c r="AR52" i="41"/>
  <c r="AP53" i="41"/>
  <c r="AQ53" i="41"/>
  <c r="AR53" i="41"/>
  <c r="AP54" i="41"/>
  <c r="AQ54" i="41"/>
  <c r="AR54" i="41"/>
  <c r="AP55" i="41"/>
  <c r="AQ55" i="41"/>
  <c r="AR55" i="41"/>
  <c r="AP56" i="41"/>
  <c r="AQ56" i="41"/>
  <c r="AR56" i="41"/>
  <c r="AP57" i="41"/>
  <c r="AQ57" i="41"/>
  <c r="AR57" i="41"/>
  <c r="AP58" i="41"/>
  <c r="AQ58" i="41"/>
  <c r="AR58" i="41"/>
  <c r="AP59" i="41"/>
  <c r="AQ59" i="41"/>
  <c r="AR59" i="41"/>
  <c r="AP60" i="41"/>
  <c r="AQ60" i="41"/>
  <c r="AR60" i="41"/>
  <c r="AP61" i="41"/>
  <c r="AQ61" i="41"/>
  <c r="AR61" i="41"/>
  <c r="AP62" i="41"/>
  <c r="AQ62" i="41"/>
  <c r="AR62" i="41"/>
  <c r="AP63" i="41"/>
  <c r="AQ63" i="41"/>
  <c r="AR63" i="41"/>
  <c r="AP64" i="41"/>
  <c r="AQ64" i="41"/>
  <c r="AR64" i="41"/>
  <c r="AP65" i="41"/>
  <c r="AQ65" i="41"/>
  <c r="AR65" i="41"/>
  <c r="AP66" i="41"/>
  <c r="AQ66" i="41"/>
  <c r="AR66" i="41"/>
  <c r="AP67" i="41"/>
  <c r="AQ67" i="41"/>
  <c r="AR67" i="41"/>
  <c r="AP68" i="41"/>
  <c r="AQ68" i="41"/>
  <c r="AR68" i="41"/>
  <c r="AP69" i="41"/>
  <c r="AQ69" i="41"/>
  <c r="AR69" i="41"/>
  <c r="AP70" i="41"/>
  <c r="AQ70" i="41"/>
  <c r="AR70" i="41"/>
  <c r="AU42" i="41"/>
  <c r="AV42" i="41"/>
  <c r="AW42" i="41"/>
  <c r="AU43" i="41"/>
  <c r="AV43" i="41"/>
  <c r="AW43" i="41"/>
  <c r="AU44" i="41"/>
  <c r="AV44" i="41"/>
  <c r="AW44" i="41"/>
  <c r="AU45" i="41"/>
  <c r="AV45" i="41"/>
  <c r="AW45" i="41"/>
  <c r="AU46" i="41"/>
  <c r="AV46" i="41"/>
  <c r="AW46" i="41"/>
  <c r="AU47" i="41"/>
  <c r="AV47" i="41"/>
  <c r="AW47" i="41"/>
  <c r="AU48" i="41"/>
  <c r="AV48" i="41"/>
  <c r="AW48" i="41"/>
  <c r="AU49" i="41"/>
  <c r="AV49" i="41"/>
  <c r="AW49" i="41"/>
  <c r="AU50" i="41"/>
  <c r="AV50" i="41"/>
  <c r="AW50" i="41"/>
  <c r="AU51" i="41"/>
  <c r="AV51" i="41"/>
  <c r="AW51" i="41"/>
  <c r="AU52" i="41"/>
  <c r="AV52" i="41"/>
  <c r="AW52" i="41"/>
  <c r="AU53" i="41"/>
  <c r="AV53" i="41"/>
  <c r="AW53" i="41"/>
  <c r="AU54" i="41"/>
  <c r="AV54" i="41"/>
  <c r="AW54" i="41"/>
  <c r="AU55" i="41"/>
  <c r="AV55" i="41"/>
  <c r="AW55" i="41"/>
  <c r="AU56" i="41"/>
  <c r="AV56" i="41"/>
  <c r="AW56" i="41"/>
  <c r="AU57" i="41"/>
  <c r="AV57" i="41"/>
  <c r="AW57" i="41"/>
  <c r="AU58" i="41"/>
  <c r="AV58" i="41"/>
  <c r="AW58" i="41"/>
  <c r="AU59" i="41"/>
  <c r="AV59" i="41"/>
  <c r="AW59" i="41"/>
  <c r="AU60" i="41"/>
  <c r="AV60" i="41"/>
  <c r="AW60" i="41"/>
  <c r="AU61" i="41"/>
  <c r="AV61" i="41"/>
  <c r="AW61" i="41"/>
  <c r="AU62" i="41"/>
  <c r="AV62" i="41"/>
  <c r="AW62" i="41"/>
  <c r="AU63" i="41"/>
  <c r="AV63" i="41"/>
  <c r="AW63" i="41"/>
  <c r="AU64" i="41"/>
  <c r="AV64" i="41"/>
  <c r="AW64" i="41"/>
  <c r="AU65" i="41"/>
  <c r="AV65" i="41"/>
  <c r="AW65" i="41"/>
  <c r="AU66" i="41"/>
  <c r="AV66" i="41"/>
  <c r="AW66" i="41"/>
  <c r="AU67" i="41"/>
  <c r="AV67" i="41"/>
  <c r="AW67" i="41"/>
  <c r="AU68" i="41"/>
  <c r="AV68" i="41"/>
  <c r="AW68" i="41"/>
  <c r="AU69" i="41"/>
  <c r="AV69" i="41"/>
  <c r="AW69" i="41"/>
  <c r="AU70" i="41"/>
  <c r="AV70" i="41"/>
  <c r="AW70" i="41"/>
  <c r="AW41" i="41"/>
  <c r="AV41" i="41"/>
  <c r="AR41" i="41"/>
  <c r="AQ41" i="41"/>
  <c r="B39" i="25" l="1"/>
  <c r="C39" i="25" s="1"/>
  <c r="D39" i="25" s="1"/>
  <c r="E39" i="25" s="1"/>
  <c r="F39" i="25" s="1"/>
  <c r="G39" i="25" s="1"/>
  <c r="H39" i="25" s="1"/>
  <c r="I39" i="25" s="1"/>
  <c r="J39" i="25" s="1"/>
  <c r="K39" i="25" s="1"/>
  <c r="L39" i="25" s="1"/>
  <c r="M39" i="25" s="1"/>
  <c r="N39" i="25" s="1"/>
  <c r="O39" i="25" s="1"/>
  <c r="P39" i="25" s="1"/>
  <c r="Q39" i="25" s="1"/>
  <c r="R39" i="25" s="1"/>
  <c r="S39" i="25" s="1"/>
  <c r="T39" i="25" s="1"/>
  <c r="U39" i="25" s="1"/>
  <c r="V39" i="25" s="1"/>
  <c r="W39" i="25" s="1"/>
  <c r="X39" i="25" s="1"/>
  <c r="Y39" i="25" s="1"/>
  <c r="Z39" i="25" s="1"/>
  <c r="AA39" i="25" s="1"/>
  <c r="AB39" i="25" s="1"/>
  <c r="AC39" i="25" s="1"/>
  <c r="AD39" i="25" s="1"/>
  <c r="B38" i="25"/>
  <c r="C38" i="25" s="1"/>
  <c r="D38" i="25" s="1"/>
  <c r="E38" i="25" s="1"/>
  <c r="F38" i="25" s="1"/>
  <c r="G38" i="25" s="1"/>
  <c r="H38" i="25" s="1"/>
  <c r="I38" i="25" s="1"/>
  <c r="J38" i="25" s="1"/>
  <c r="K38" i="25" s="1"/>
  <c r="L38" i="25" s="1"/>
  <c r="M38" i="25" s="1"/>
  <c r="N38" i="25" s="1"/>
  <c r="O38" i="25" s="1"/>
  <c r="P38" i="25" s="1"/>
  <c r="Q38" i="25" s="1"/>
  <c r="R38" i="25" s="1"/>
  <c r="S38" i="25" s="1"/>
  <c r="T38" i="25" s="1"/>
  <c r="U38" i="25" s="1"/>
  <c r="V38" i="25" s="1"/>
  <c r="W38" i="25" s="1"/>
  <c r="X38" i="25" s="1"/>
  <c r="Y38" i="25" s="1"/>
  <c r="Z38" i="25" s="1"/>
  <c r="AA38" i="25" s="1"/>
  <c r="AB38" i="25" s="1"/>
  <c r="AC38" i="25" s="1"/>
  <c r="AD38" i="25" s="1"/>
  <c r="A39" i="25"/>
  <c r="A38" i="25"/>
  <c r="AP41" i="41" l="1"/>
  <c r="AU41" i="41"/>
  <c r="AF39" i="22" l="1"/>
  <c r="B37" i="25"/>
  <c r="C37" i="25" s="1"/>
  <c r="B5" i="22"/>
  <c r="C17" i="25"/>
  <c r="D17" i="25"/>
  <c r="E17" i="25"/>
  <c r="D18" i="25"/>
  <c r="D19" i="25"/>
  <c r="D20" i="25"/>
  <c r="B18" i="25"/>
  <c r="B5" i="23" s="1"/>
  <c r="B19" i="25"/>
  <c r="B20" i="25"/>
  <c r="AE38" i="25"/>
  <c r="AE39" i="25" l="1"/>
  <c r="D37" i="25"/>
  <c r="E37" i="25" s="1"/>
  <c r="F37" i="25" s="1"/>
  <c r="G37" i="25" s="1"/>
  <c r="H37" i="25" s="1"/>
  <c r="I37" i="25" s="1"/>
  <c r="J37" i="25" s="1"/>
  <c r="K37" i="25" s="1"/>
  <c r="L37" i="25" s="1"/>
  <c r="M37" i="25" s="1"/>
  <c r="N37" i="25" s="1"/>
  <c r="O37" i="25" s="1"/>
  <c r="P37" i="25" s="1"/>
  <c r="Q37" i="25" s="1"/>
  <c r="R37" i="25" s="1"/>
  <c r="S37" i="25" s="1"/>
  <c r="T37" i="25" s="1"/>
  <c r="U37" i="25" s="1"/>
  <c r="V37" i="25" s="1"/>
  <c r="W37" i="25" s="1"/>
  <c r="X37" i="25" s="1"/>
  <c r="Y37" i="25" s="1"/>
  <c r="Z37" i="25" s="1"/>
  <c r="AA37" i="25" s="1"/>
  <c r="AB37" i="25" s="1"/>
  <c r="AC37" i="25" s="1"/>
  <c r="AD37" i="25" s="1"/>
  <c r="AF38" i="25"/>
  <c r="B17" i="25"/>
  <c r="E33" i="11"/>
  <c r="E32" i="11"/>
  <c r="AF39" i="25" l="1"/>
  <c r="AG39" i="25" s="1"/>
  <c r="AH39" i="25" s="1"/>
  <c r="AI39" i="25" s="1"/>
  <c r="AJ39" i="25" s="1"/>
  <c r="AK39" i="25" s="1"/>
  <c r="AL39" i="25" s="1"/>
  <c r="AM39" i="25" s="1"/>
  <c r="AN39" i="25" s="1"/>
  <c r="AO39" i="25" s="1"/>
  <c r="AP39" i="25" s="1"/>
  <c r="AQ39" i="25" s="1"/>
  <c r="AR39" i="25" s="1"/>
  <c r="AS39" i="25" s="1"/>
  <c r="AT39" i="25" s="1"/>
  <c r="AU39" i="25" s="1"/>
  <c r="AV39" i="25" s="1"/>
  <c r="AW39" i="25" s="1"/>
  <c r="AX39" i="25" s="1"/>
  <c r="AY39" i="25" s="1"/>
  <c r="AZ39" i="25" s="1"/>
  <c r="BA39" i="25" s="1"/>
  <c r="BB39" i="25" s="1"/>
  <c r="BC39" i="25" s="1"/>
  <c r="BD39" i="25" s="1"/>
  <c r="BE39" i="25" s="1"/>
  <c r="BF39" i="25" s="1"/>
  <c r="BG39" i="25" s="1"/>
  <c r="BH39" i="25" s="1"/>
  <c r="B34" i="25"/>
  <c r="C34" i="25" s="1"/>
  <c r="D34" i="25" s="1"/>
  <c r="AE37" i="25"/>
  <c r="AG38" i="25"/>
  <c r="AF37" i="25" l="1"/>
  <c r="AH38" i="25"/>
  <c r="AF42" i="41"/>
  <c r="AF41" i="41"/>
  <c r="X2" i="20"/>
  <c r="X3" i="20"/>
  <c r="C12" i="28" l="1"/>
  <c r="C13" i="28" s="1"/>
  <c r="C14" i="28" s="1"/>
  <c r="C15" i="28" s="1"/>
  <c r="C16" i="28" s="1"/>
  <c r="AG37" i="25"/>
  <c r="AI38" i="25"/>
  <c r="AH37" i="25" l="1"/>
  <c r="C17" i="28"/>
  <c r="AJ38" i="25"/>
  <c r="AI37" i="25" l="1"/>
  <c r="C18" i="28"/>
  <c r="AK38" i="25"/>
  <c r="X5" i="20"/>
  <c r="AJ37" i="25" l="1"/>
  <c r="C19" i="28"/>
  <c r="X6" i="20"/>
  <c r="AC43" i="41"/>
  <c r="AC42" i="41"/>
  <c r="AC41" i="41"/>
  <c r="AL38" i="25"/>
  <c r="AK37" i="25" l="1"/>
  <c r="C20" i="28"/>
  <c r="I41" i="41"/>
  <c r="H41" i="41"/>
  <c r="J41" i="41"/>
  <c r="K41" i="41"/>
  <c r="G41" i="41"/>
  <c r="J43" i="41"/>
  <c r="G43" i="41"/>
  <c r="I43" i="41"/>
  <c r="H43" i="41"/>
  <c r="K43" i="41"/>
  <c r="G42" i="41"/>
  <c r="J42" i="41"/>
  <c r="H42" i="41"/>
  <c r="I42" i="41"/>
  <c r="K42" i="41"/>
  <c r="X7" i="20"/>
  <c r="AC44" i="41"/>
  <c r="AM38" i="25"/>
  <c r="AL37" i="25" l="1"/>
  <c r="C21" i="28"/>
  <c r="AT43" i="41"/>
  <c r="AO43" i="41"/>
  <c r="K44" i="41"/>
  <c r="J44" i="41"/>
  <c r="G44" i="41"/>
  <c r="H44" i="41"/>
  <c r="I44" i="41"/>
  <c r="AA5" i="41" s="1"/>
  <c r="AT41" i="41"/>
  <c r="AO41" i="41"/>
  <c r="X8" i="20"/>
  <c r="AC45" i="41"/>
  <c r="AO42" i="41"/>
  <c r="AT42" i="41"/>
  <c r="AN38" i="25"/>
  <c r="H5" i="20"/>
  <c r="H6" i="20" s="1"/>
  <c r="H7" i="20" s="1"/>
  <c r="H8" i="20" s="1"/>
  <c r="H9" i="20" s="1"/>
  <c r="H10" i="20" s="1"/>
  <c r="H11" i="20" s="1"/>
  <c r="H12" i="20" s="1"/>
  <c r="H13" i="20" s="1"/>
  <c r="H14" i="20" s="1"/>
  <c r="H15" i="20" s="1"/>
  <c r="H16" i="20" s="1"/>
  <c r="H17" i="20" s="1"/>
  <c r="H18" i="20" s="1"/>
  <c r="H19" i="20" s="1"/>
  <c r="H20" i="20" s="1"/>
  <c r="H21" i="20" s="1"/>
  <c r="H22" i="20" s="1"/>
  <c r="H23" i="20" s="1"/>
  <c r="H24" i="20" s="1"/>
  <c r="H25" i="20" s="1"/>
  <c r="H26" i="20" s="1"/>
  <c r="H27" i="20" s="1"/>
  <c r="H28" i="20" s="1"/>
  <c r="H29" i="20" s="1"/>
  <c r="H30" i="20" s="1"/>
  <c r="H31" i="20" s="1"/>
  <c r="G5" i="20"/>
  <c r="G6" i="20" s="1"/>
  <c r="A4" i="20"/>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C1" i="20"/>
  <c r="E1" i="20" s="1"/>
  <c r="F1" i="20" s="1"/>
  <c r="G1" i="20" s="1"/>
  <c r="H1" i="20" s="1"/>
  <c r="AM37" i="25" l="1"/>
  <c r="G7" i="20"/>
  <c r="G8" i="20" s="1"/>
  <c r="G9" i="20" s="1"/>
  <c r="G10" i="20" s="1"/>
  <c r="G11" i="20" s="1"/>
  <c r="G12" i="20" s="1"/>
  <c r="G13" i="20" s="1"/>
  <c r="G14" i="20" s="1"/>
  <c r="G15" i="20" s="1"/>
  <c r="G16" i="20" s="1"/>
  <c r="G17" i="20" s="1"/>
  <c r="G18" i="20" s="1"/>
  <c r="G19" i="20" s="1"/>
  <c r="G20" i="20" s="1"/>
  <c r="G21" i="20" s="1"/>
  <c r="G22" i="20" s="1"/>
  <c r="G23" i="20" s="1"/>
  <c r="G24" i="20" s="1"/>
  <c r="G25" i="20" s="1"/>
  <c r="G26" i="20" s="1"/>
  <c r="G27" i="20" s="1"/>
  <c r="G28" i="20" s="1"/>
  <c r="G29" i="20" s="1"/>
  <c r="G30" i="20" s="1"/>
  <c r="G31" i="20" s="1"/>
  <c r="C22" i="28"/>
  <c r="AO44" i="41"/>
  <c r="AT44" i="41"/>
  <c r="G45" i="41"/>
  <c r="J45" i="41"/>
  <c r="H45" i="41"/>
  <c r="I45" i="41"/>
  <c r="AA6" i="41" s="1"/>
  <c r="K45" i="41"/>
  <c r="X9" i="20"/>
  <c r="AC46" i="41"/>
  <c r="AO38" i="25"/>
  <c r="AN37" i="25"/>
  <c r="D1" i="20"/>
  <c r="C23" i="28" l="1"/>
  <c r="AT45" i="41"/>
  <c r="AO45" i="41"/>
  <c r="H46" i="41"/>
  <c r="J46" i="41"/>
  <c r="K46" i="41"/>
  <c r="G46" i="41"/>
  <c r="I46" i="41"/>
  <c r="AA7" i="41" s="1"/>
  <c r="X10" i="20"/>
  <c r="AC47" i="41"/>
  <c r="AP38" i="25"/>
  <c r="AO37" i="25"/>
  <c r="C24" i="28" l="1"/>
  <c r="I47" i="41"/>
  <c r="AA8" i="41" s="1"/>
  <c r="J47" i="41"/>
  <c r="K47" i="41"/>
  <c r="G47" i="41"/>
  <c r="H47" i="41"/>
  <c r="X11" i="20"/>
  <c r="AC48" i="41"/>
  <c r="AT46" i="41"/>
  <c r="AO46" i="41"/>
  <c r="AQ38" i="25"/>
  <c r="AP37" i="25"/>
  <c r="C25" i="28" l="1"/>
  <c r="F9" i="20"/>
  <c r="K48" i="41"/>
  <c r="G48" i="41"/>
  <c r="I48" i="41"/>
  <c r="AA9" i="41" s="1"/>
  <c r="J48" i="41"/>
  <c r="H48" i="41"/>
  <c r="AO47" i="41"/>
  <c r="AT47" i="41"/>
  <c r="X12" i="20"/>
  <c r="AC49" i="41"/>
  <c r="AR38" i="25"/>
  <c r="AQ37" i="25"/>
  <c r="C17" i="11"/>
  <c r="G31" i="11"/>
  <c r="E31" i="11"/>
  <c r="I31" i="11"/>
  <c r="I32" i="11"/>
  <c r="I33" i="11"/>
  <c r="G36" i="11"/>
  <c r="G37" i="11"/>
  <c r="G35" i="11"/>
  <c r="E36" i="11"/>
  <c r="E37" i="11"/>
  <c r="E35" i="11"/>
  <c r="I35" i="11"/>
  <c r="I36" i="11"/>
  <c r="I37" i="11"/>
  <c r="D36" i="11"/>
  <c r="D37" i="11"/>
  <c r="D35" i="11"/>
  <c r="D32" i="11"/>
  <c r="D33" i="11"/>
  <c r="D31" i="11"/>
  <c r="B31" i="11" l="1"/>
  <c r="F31" i="11"/>
  <c r="C26" i="28"/>
  <c r="H35" i="11"/>
  <c r="K49" i="41"/>
  <c r="G49" i="41"/>
  <c r="H49" i="41"/>
  <c r="I49" i="41"/>
  <c r="AA10" i="41" s="1"/>
  <c r="J49" i="41"/>
  <c r="AT48" i="41"/>
  <c r="AO48" i="41"/>
  <c r="X13" i="20"/>
  <c r="AC50" i="41"/>
  <c r="F10" i="20"/>
  <c r="AS38" i="25"/>
  <c r="AR37" i="25"/>
  <c r="H37" i="11"/>
  <c r="B37" i="11"/>
  <c r="B35" i="11"/>
  <c r="B36" i="11"/>
  <c r="F33" i="11"/>
  <c r="H32" i="11"/>
  <c r="H33" i="11"/>
  <c r="H36" i="11"/>
  <c r="H31" i="11"/>
  <c r="F32" i="11"/>
  <c r="B32" i="11"/>
  <c r="B33" i="11"/>
  <c r="C27" i="28" l="1"/>
  <c r="AO49" i="41"/>
  <c r="AT49" i="41"/>
  <c r="X14" i="20"/>
  <c r="AC51" i="41"/>
  <c r="F11" i="20"/>
  <c r="J50" i="41"/>
  <c r="K50" i="41"/>
  <c r="G50" i="41"/>
  <c r="H50" i="41"/>
  <c r="I50" i="41"/>
  <c r="AA11" i="41" s="1"/>
  <c r="AT38" i="25"/>
  <c r="AS37" i="25"/>
  <c r="C28" i="28" l="1"/>
  <c r="X15" i="20"/>
  <c r="AC52" i="41"/>
  <c r="AO50" i="41"/>
  <c r="AT50" i="41"/>
  <c r="H51" i="41"/>
  <c r="I51" i="41"/>
  <c r="AA12" i="41" s="1"/>
  <c r="J51" i="41"/>
  <c r="K51" i="41"/>
  <c r="G51" i="41"/>
  <c r="AU38" i="25"/>
  <c r="AT37" i="25"/>
  <c r="C4" i="11"/>
  <c r="X8" i="11" l="1"/>
  <c r="AC8" i="11" s="1"/>
  <c r="X9" i="11"/>
  <c r="AC9" i="11" s="1"/>
  <c r="X13" i="11"/>
  <c r="AC13" i="11" s="1"/>
  <c r="X14" i="11"/>
  <c r="AC14" i="11" s="1"/>
  <c r="X15" i="11"/>
  <c r="AC15" i="11" s="1"/>
  <c r="X16" i="11"/>
  <c r="AC16" i="11" s="1"/>
  <c r="X17" i="11"/>
  <c r="AC17" i="11" s="1"/>
  <c r="X18" i="11"/>
  <c r="AC18" i="11" s="1"/>
  <c r="X19" i="11"/>
  <c r="AC19" i="11" s="1"/>
  <c r="X20" i="11"/>
  <c r="AC20" i="11" s="1"/>
  <c r="X21" i="11"/>
  <c r="AC21" i="11" s="1"/>
  <c r="X22" i="11"/>
  <c r="AC22" i="11" s="1"/>
  <c r="X23" i="11"/>
  <c r="AC23" i="11" s="1"/>
  <c r="X24" i="11"/>
  <c r="AC24" i="11" s="1"/>
  <c r="X25" i="11"/>
  <c r="AC25" i="11" s="1"/>
  <c r="C29" i="28"/>
  <c r="X26" i="11"/>
  <c r="AC26" i="11" s="1"/>
  <c r="X7" i="11"/>
  <c r="AC7" i="11" s="1"/>
  <c r="X10" i="11"/>
  <c r="AC10" i="11" s="1"/>
  <c r="X11" i="11"/>
  <c r="AC11" i="11" s="1"/>
  <c r="X12" i="11"/>
  <c r="AC12" i="11" s="1"/>
  <c r="X16" i="20"/>
  <c r="AC53" i="41"/>
  <c r="AO51" i="41"/>
  <c r="AT51" i="41"/>
  <c r="F13" i="20"/>
  <c r="K52" i="41"/>
  <c r="J52" i="41"/>
  <c r="H52" i="41"/>
  <c r="I52" i="41"/>
  <c r="AA13" i="41" s="1"/>
  <c r="G52" i="41"/>
  <c r="AV38" i="25"/>
  <c r="AU37" i="25"/>
  <c r="X6" i="11"/>
  <c r="AC6" i="11" s="1"/>
  <c r="C30" i="28" l="1"/>
  <c r="X27" i="11"/>
  <c r="AC27" i="11" s="1"/>
  <c r="F14" i="20"/>
  <c r="K53" i="41"/>
  <c r="G53" i="41"/>
  <c r="I53" i="41"/>
  <c r="AA14" i="41" s="1"/>
  <c r="J53" i="41"/>
  <c r="H53" i="41"/>
  <c r="AO52" i="41"/>
  <c r="AT52" i="41"/>
  <c r="X17" i="20"/>
  <c r="AC54" i="41"/>
  <c r="AW38" i="25"/>
  <c r="AV37" i="25"/>
  <c r="AD43" i="41"/>
  <c r="C43" i="25"/>
  <c r="D43" i="25"/>
  <c r="B43" i="25"/>
  <c r="C31" i="28" l="1"/>
  <c r="X28" i="11"/>
  <c r="AC28" i="11" s="1"/>
  <c r="AO53" i="41"/>
  <c r="AT53" i="41"/>
  <c r="X18" i="20"/>
  <c r="AC55" i="41"/>
  <c r="G54" i="41"/>
  <c r="J54" i="41"/>
  <c r="H54" i="41"/>
  <c r="K54" i="41"/>
  <c r="I54" i="41"/>
  <c r="AA15" i="41" s="1"/>
  <c r="F15" i="20"/>
  <c r="AX38" i="25"/>
  <c r="AW37" i="25"/>
  <c r="C32" i="28" l="1"/>
  <c r="X29" i="11"/>
  <c r="AC29" i="11" s="1"/>
  <c r="H55" i="41"/>
  <c r="G55" i="41"/>
  <c r="I55" i="41"/>
  <c r="AA16" i="41" s="1"/>
  <c r="J55" i="41"/>
  <c r="K55" i="41"/>
  <c r="X19" i="20"/>
  <c r="AC56" i="41"/>
  <c r="F16" i="20"/>
  <c r="AO54" i="41"/>
  <c r="AT54" i="41"/>
  <c r="AY38" i="25"/>
  <c r="AX37" i="25"/>
  <c r="C33" i="28" l="1"/>
  <c r="X30" i="11"/>
  <c r="AC30" i="11" s="1"/>
  <c r="F17" i="20"/>
  <c r="I56" i="41"/>
  <c r="K56" i="41"/>
  <c r="H56" i="41"/>
  <c r="G56" i="41"/>
  <c r="J56" i="41"/>
  <c r="AO55" i="41"/>
  <c r="AT55" i="41"/>
  <c r="X20" i="20"/>
  <c r="AC57" i="41"/>
  <c r="AZ38" i="25"/>
  <c r="AY37" i="25"/>
  <c r="C34" i="28" l="1"/>
  <c r="X31" i="11"/>
  <c r="AC31" i="11" s="1"/>
  <c r="AO56" i="41"/>
  <c r="AT56" i="41"/>
  <c r="J57" i="41"/>
  <c r="I57" i="41"/>
  <c r="G57" i="41"/>
  <c r="H57" i="41"/>
  <c r="K57" i="41"/>
  <c r="X21" i="20"/>
  <c r="AC58" i="41"/>
  <c r="F18" i="20"/>
  <c r="BA38" i="25"/>
  <c r="AZ37" i="25"/>
  <c r="C35" i="28" l="1"/>
  <c r="X32" i="11"/>
  <c r="AC32" i="11" s="1"/>
  <c r="AT57" i="41"/>
  <c r="AO57" i="41"/>
  <c r="K58" i="41"/>
  <c r="J58" i="41"/>
  <c r="I58" i="41"/>
  <c r="G58" i="41"/>
  <c r="H58" i="41"/>
  <c r="X22" i="20"/>
  <c r="AC59" i="41"/>
  <c r="F19" i="20"/>
  <c r="BB38" i="25"/>
  <c r="BA37" i="25"/>
  <c r="BL2" i="11"/>
  <c r="BK2" i="11"/>
  <c r="P5" i="20"/>
  <c r="O5" i="20"/>
  <c r="N5" i="20"/>
  <c r="B47" i="11"/>
  <c r="B48" i="11"/>
  <c r="AP2" i="11"/>
  <c r="N6" i="20" l="1"/>
  <c r="O6" i="20"/>
  <c r="O7" i="20" s="1"/>
  <c r="C36" i="28"/>
  <c r="X33" i="11"/>
  <c r="AC33" i="11" s="1"/>
  <c r="V52" i="41"/>
  <c r="G59" i="41"/>
  <c r="J59" i="41"/>
  <c r="H59" i="41"/>
  <c r="I59" i="41"/>
  <c r="K59" i="41"/>
  <c r="X23" i="20"/>
  <c r="AC60" i="41"/>
  <c r="F20" i="20"/>
  <c r="AO58" i="41"/>
  <c r="AT58" i="41"/>
  <c r="BC38" i="25"/>
  <c r="BB37" i="25"/>
  <c r="P6" i="20"/>
  <c r="C37" i="28" l="1"/>
  <c r="X34" i="11"/>
  <c r="V41" i="41"/>
  <c r="V48" i="41"/>
  <c r="V62" i="41"/>
  <c r="V57" i="41"/>
  <c r="V60" i="41"/>
  <c r="V53" i="41"/>
  <c r="V46" i="41"/>
  <c r="V69" i="41"/>
  <c r="V55" i="41"/>
  <c r="V49" i="41"/>
  <c r="V44" i="41"/>
  <c r="V47" i="41"/>
  <c r="V51" i="41"/>
  <c r="V65" i="41"/>
  <c r="V42" i="41"/>
  <c r="V45" i="41"/>
  <c r="V66" i="41"/>
  <c r="V43" i="41"/>
  <c r="V61" i="41"/>
  <c r="V64" i="41"/>
  <c r="V67" i="41"/>
  <c r="V54" i="41"/>
  <c r="V70" i="41"/>
  <c r="V58" i="41"/>
  <c r="V56" i="41"/>
  <c r="V63" i="41"/>
  <c r="V50" i="41"/>
  <c r="V68" i="41"/>
  <c r="V59" i="41"/>
  <c r="AT59" i="41"/>
  <c r="AO59" i="41"/>
  <c r="F21" i="20"/>
  <c r="J60" i="41"/>
  <c r="K60" i="41"/>
  <c r="G60" i="41"/>
  <c r="H60" i="41"/>
  <c r="I60" i="41"/>
  <c r="X24" i="20"/>
  <c r="AC61" i="41"/>
  <c r="BD38" i="25"/>
  <c r="BC37" i="25"/>
  <c r="P7" i="20"/>
  <c r="N7" i="20"/>
  <c r="C38" i="28" l="1"/>
  <c r="X35" i="11"/>
  <c r="AA22" i="41"/>
  <c r="AB25" i="41"/>
  <c r="AA23" i="41"/>
  <c r="AA25" i="41"/>
  <c r="Z25" i="41"/>
  <c r="AT60" i="41"/>
  <c r="AO60" i="41"/>
  <c r="F22" i="20"/>
  <c r="H61" i="41"/>
  <c r="G61" i="41"/>
  <c r="J61" i="41"/>
  <c r="I61" i="41"/>
  <c r="K61" i="41"/>
  <c r="X25" i="20"/>
  <c r="AC62" i="41"/>
  <c r="AJ69" i="41"/>
  <c r="AK69" i="41"/>
  <c r="AL69" i="41"/>
  <c r="AM69" i="41"/>
  <c r="AN69" i="41"/>
  <c r="AL57" i="41"/>
  <c r="AN57" i="41"/>
  <c r="AJ57" i="41"/>
  <c r="AK57" i="41"/>
  <c r="AM57" i="41"/>
  <c r="AM63" i="41"/>
  <c r="AN63" i="41"/>
  <c r="AJ63" i="41"/>
  <c r="AL63" i="41"/>
  <c r="AK63" i="41"/>
  <c r="AJ44" i="41"/>
  <c r="AK44" i="41"/>
  <c r="AL44" i="41"/>
  <c r="AM44" i="41"/>
  <c r="AN44" i="41"/>
  <c r="AL49" i="41"/>
  <c r="AN49" i="41"/>
  <c r="AJ49" i="41"/>
  <c r="AK49" i="41"/>
  <c r="AM49" i="41"/>
  <c r="AL65" i="41"/>
  <c r="AJ65" i="41"/>
  <c r="AK65" i="41"/>
  <c r="AN65" i="41"/>
  <c r="AM65" i="41"/>
  <c r="AJ61" i="41"/>
  <c r="AN61" i="41"/>
  <c r="AK61" i="41"/>
  <c r="AL61" i="41"/>
  <c r="AM61" i="41"/>
  <c r="AJ68" i="41"/>
  <c r="AK68" i="41"/>
  <c r="AL68" i="41"/>
  <c r="AM68" i="41"/>
  <c r="AN68" i="41"/>
  <c r="AJ53" i="41"/>
  <c r="AK53" i="41"/>
  <c r="AL53" i="41"/>
  <c r="AN53" i="41"/>
  <c r="AM53" i="41"/>
  <c r="AJ56" i="41"/>
  <c r="AK56" i="41"/>
  <c r="AL56" i="41"/>
  <c r="AM56" i="41"/>
  <c r="AN56" i="41"/>
  <c r="AJ60" i="41"/>
  <c r="AK60" i="41"/>
  <c r="AL60" i="41"/>
  <c r="AM60" i="41"/>
  <c r="AN60" i="41"/>
  <c r="AM42" i="41"/>
  <c r="AN42" i="41"/>
  <c r="AL42" i="41"/>
  <c r="AJ42" i="41"/>
  <c r="AK42" i="41"/>
  <c r="AM54" i="41"/>
  <c r="AN54" i="41"/>
  <c r="AJ54" i="41"/>
  <c r="AK54" i="41"/>
  <c r="AL54" i="41"/>
  <c r="AM58" i="41"/>
  <c r="AN58" i="41"/>
  <c r="AL58" i="41"/>
  <c r="AJ58" i="41"/>
  <c r="AK58" i="41"/>
  <c r="AM46" i="41"/>
  <c r="AN46" i="41"/>
  <c r="AJ46" i="41"/>
  <c r="AK46" i="41"/>
  <c r="AL46" i="41"/>
  <c r="AM50" i="41"/>
  <c r="AN50" i="41"/>
  <c r="AL50" i="41"/>
  <c r="AJ50" i="41"/>
  <c r="AK50" i="41"/>
  <c r="AM67" i="41"/>
  <c r="AL67" i="41"/>
  <c r="AN67" i="41"/>
  <c r="AK67" i="41"/>
  <c r="AJ67" i="41"/>
  <c r="AJ64" i="41"/>
  <c r="AL64" i="41"/>
  <c r="AK64" i="41"/>
  <c r="AM64" i="41"/>
  <c r="AN64" i="41"/>
  <c r="AJ45" i="41"/>
  <c r="AK45" i="41"/>
  <c r="AL45" i="41"/>
  <c r="AM45" i="41"/>
  <c r="AN45" i="41"/>
  <c r="AM70" i="41"/>
  <c r="AN70" i="41"/>
  <c r="AJ70" i="41"/>
  <c r="AK70" i="41"/>
  <c r="AL70" i="41"/>
  <c r="AM43" i="41"/>
  <c r="AL43" i="41"/>
  <c r="AK43" i="41"/>
  <c r="AN43" i="41"/>
  <c r="AJ43" i="41"/>
  <c r="AM62" i="41"/>
  <c r="AN62" i="41"/>
  <c r="AJ62" i="41"/>
  <c r="AK62" i="41"/>
  <c r="AL62" i="41"/>
  <c r="AM66" i="41"/>
  <c r="AN66" i="41"/>
  <c r="AL66" i="41"/>
  <c r="AJ66" i="41"/>
  <c r="AK66" i="41"/>
  <c r="AK41" i="41"/>
  <c r="AL41" i="41"/>
  <c r="AZ41" i="41" s="1"/>
  <c r="AN41" i="41"/>
  <c r="AJ41" i="41"/>
  <c r="AM41" i="41"/>
  <c r="AJ48" i="41"/>
  <c r="AK48" i="41"/>
  <c r="AL48" i="41"/>
  <c r="AM48" i="41"/>
  <c r="AN48" i="41"/>
  <c r="AJ52" i="41"/>
  <c r="AK52" i="41"/>
  <c r="AL52" i="41"/>
  <c r="AM52" i="41"/>
  <c r="AN52" i="41"/>
  <c r="AK55" i="41"/>
  <c r="AM55" i="41"/>
  <c r="AN55" i="41"/>
  <c r="AJ55" i="41"/>
  <c r="AL55" i="41"/>
  <c r="AM59" i="41"/>
  <c r="AL59" i="41"/>
  <c r="AN59" i="41"/>
  <c r="AK59" i="41"/>
  <c r="AJ59" i="41"/>
  <c r="AM47" i="41"/>
  <c r="AN47" i="41"/>
  <c r="AK47" i="41"/>
  <c r="AJ47" i="41"/>
  <c r="AL47" i="41"/>
  <c r="AK51" i="41"/>
  <c r="AM51" i="41"/>
  <c r="AL51" i="41"/>
  <c r="AN51" i="41"/>
  <c r="AJ51" i="41"/>
  <c r="Z23" i="41"/>
  <c r="Z22" i="41"/>
  <c r="AB22" i="41"/>
  <c r="AB23" i="41"/>
  <c r="Z24" i="41"/>
  <c r="AA24" i="41"/>
  <c r="AB24" i="41"/>
  <c r="BE38" i="25"/>
  <c r="BD37" i="25"/>
  <c r="P8" i="20"/>
  <c r="M7" i="11"/>
  <c r="M5" i="11"/>
  <c r="M8" i="11"/>
  <c r="M6" i="11"/>
  <c r="M4" i="11"/>
  <c r="M9" i="11"/>
  <c r="O8" i="20"/>
  <c r="N8" i="20"/>
  <c r="Q6" i="11" l="1"/>
  <c r="Q7" i="11"/>
  <c r="C39" i="28"/>
  <c r="X36" i="11"/>
  <c r="AN72" i="41"/>
  <c r="AN73" i="41" s="1"/>
  <c r="AM72" i="41"/>
  <c r="AM73" i="41" s="1"/>
  <c r="AL72" i="41"/>
  <c r="AL73" i="41" s="1"/>
  <c r="AK72" i="41"/>
  <c r="AK73" i="41" s="1"/>
  <c r="AK74" i="41" s="1"/>
  <c r="AJ72" i="41"/>
  <c r="AJ73" i="41" s="1"/>
  <c r="AJ74" i="41" s="1"/>
  <c r="X26" i="20"/>
  <c r="AC63" i="41"/>
  <c r="AT61" i="41"/>
  <c r="AO61" i="41"/>
  <c r="I62" i="41"/>
  <c r="J62" i="41"/>
  <c r="G62" i="41"/>
  <c r="K62" i="41"/>
  <c r="H62" i="41"/>
  <c r="F23" i="20"/>
  <c r="AS43" i="41"/>
  <c r="AX49" i="41"/>
  <c r="AS57" i="41"/>
  <c r="AX65" i="41"/>
  <c r="AS41" i="41"/>
  <c r="AX41" i="41"/>
  <c r="AX50" i="41"/>
  <c r="AS50" i="41"/>
  <c r="AS54" i="41"/>
  <c r="AX54" i="41"/>
  <c r="AS61" i="41"/>
  <c r="AX61" i="41"/>
  <c r="AS49" i="41"/>
  <c r="AX51" i="41"/>
  <c r="AS55" i="41"/>
  <c r="AX55" i="41"/>
  <c r="AS52" i="41"/>
  <c r="AX52" i="41"/>
  <c r="AS64" i="41"/>
  <c r="AX64" i="41"/>
  <c r="AS56" i="41"/>
  <c r="AX56" i="41"/>
  <c r="AS44" i="41"/>
  <c r="AX44" i="41"/>
  <c r="AS51" i="41"/>
  <c r="AX67" i="41"/>
  <c r="AX58" i="41"/>
  <c r="AS58" i="41"/>
  <c r="AS63" i="41"/>
  <c r="AX63" i="41"/>
  <c r="AS47" i="41"/>
  <c r="AX47" i="41"/>
  <c r="AX59" i="41"/>
  <c r="AS62" i="41"/>
  <c r="AX62" i="41"/>
  <c r="AS68" i="41"/>
  <c r="AX68" i="41"/>
  <c r="AS45" i="41"/>
  <c r="AX45" i="41"/>
  <c r="AS67" i="41"/>
  <c r="AX42" i="41"/>
  <c r="AS42" i="41"/>
  <c r="AS60" i="41"/>
  <c r="AX60" i="41"/>
  <c r="AS65" i="41"/>
  <c r="AS59" i="41"/>
  <c r="AX66" i="41"/>
  <c r="AS66" i="41"/>
  <c r="AS70" i="41"/>
  <c r="AX70" i="41"/>
  <c r="AS48" i="41"/>
  <c r="AX48" i="41"/>
  <c r="AX43" i="41"/>
  <c r="AS46" i="41"/>
  <c r="AX46" i="41"/>
  <c r="AS53" i="41"/>
  <c r="AX53" i="41"/>
  <c r="AX57" i="41"/>
  <c r="AS69" i="41"/>
  <c r="AX69" i="41"/>
  <c r="BF38" i="25"/>
  <c r="BE37" i="25"/>
  <c r="O9" i="20"/>
  <c r="P9" i="20"/>
  <c r="N9" i="20"/>
  <c r="C40" i="28" l="1"/>
  <c r="X37" i="11"/>
  <c r="AT62" i="41"/>
  <c r="AO62" i="41"/>
  <c r="X27" i="20"/>
  <c r="AC64" i="41"/>
  <c r="K63" i="41"/>
  <c r="H63" i="41"/>
  <c r="I63" i="41"/>
  <c r="J63" i="41"/>
  <c r="G63" i="41"/>
  <c r="F24" i="20"/>
  <c r="BG38" i="25"/>
  <c r="BF37" i="25"/>
  <c r="P10" i="20"/>
  <c r="O10" i="20"/>
  <c r="N10" i="20"/>
  <c r="C41" i="28" l="1"/>
  <c r="X38" i="11"/>
  <c r="F25" i="20"/>
  <c r="X28" i="20"/>
  <c r="AC65" i="41"/>
  <c r="AT63" i="41"/>
  <c r="AO63" i="41"/>
  <c r="J64" i="41"/>
  <c r="G64" i="41"/>
  <c r="H64" i="41"/>
  <c r="K64" i="41"/>
  <c r="I64" i="41"/>
  <c r="BG37" i="25"/>
  <c r="P11" i="20"/>
  <c r="O11" i="20"/>
  <c r="N11" i="20"/>
  <c r="N12" i="20" l="1"/>
  <c r="BH37" i="25"/>
  <c r="C42" i="28"/>
  <c r="X39" i="11"/>
  <c r="BH38" i="25"/>
  <c r="AT64" i="41"/>
  <c r="AO64" i="41"/>
  <c r="F26" i="20"/>
  <c r="X29" i="20"/>
  <c r="AC66" i="41"/>
  <c r="H65" i="41"/>
  <c r="G65" i="41"/>
  <c r="I65" i="41"/>
  <c r="K65" i="41"/>
  <c r="J65" i="41"/>
  <c r="P12" i="20"/>
  <c r="O12" i="20"/>
  <c r="C43" i="28" l="1"/>
  <c r="X40" i="11"/>
  <c r="X30" i="20"/>
  <c r="AC67" i="41"/>
  <c r="F27" i="20"/>
  <c r="H66" i="41"/>
  <c r="K66" i="41"/>
  <c r="G66" i="41"/>
  <c r="I66" i="41"/>
  <c r="J66" i="41"/>
  <c r="AO65" i="41"/>
  <c r="AT65" i="41"/>
  <c r="P13" i="20"/>
  <c r="O13" i="20"/>
  <c r="N13" i="20"/>
  <c r="C44" i="28" l="1"/>
  <c r="X41" i="11"/>
  <c r="AO66" i="41"/>
  <c r="AT66" i="41"/>
  <c r="F28" i="20"/>
  <c r="H67" i="41"/>
  <c r="I67" i="41"/>
  <c r="J67" i="41"/>
  <c r="K67" i="41"/>
  <c r="G67" i="41"/>
  <c r="X31" i="20"/>
  <c r="AC68" i="41"/>
  <c r="P14" i="20"/>
  <c r="O14" i="20"/>
  <c r="N14" i="20"/>
  <c r="C45" i="28" l="1"/>
  <c r="X42" i="11"/>
  <c r="X32" i="20"/>
  <c r="AC69" i="41"/>
  <c r="AT67" i="41"/>
  <c r="AO67" i="41"/>
  <c r="F29" i="20"/>
  <c r="G68" i="41"/>
  <c r="J68" i="41"/>
  <c r="H68" i="41"/>
  <c r="I68" i="41"/>
  <c r="K68" i="41"/>
  <c r="P15" i="20"/>
  <c r="O15" i="20"/>
  <c r="N15" i="20"/>
  <c r="C46" i="28" l="1"/>
  <c r="X43" i="11"/>
  <c r="H69" i="41"/>
  <c r="G69" i="41"/>
  <c r="I69" i="41"/>
  <c r="J69" i="41"/>
  <c r="K69" i="41"/>
  <c r="F30" i="20"/>
  <c r="AC70" i="41"/>
  <c r="AT68" i="41"/>
  <c r="AO68" i="41"/>
  <c r="P16" i="20"/>
  <c r="O16" i="20"/>
  <c r="N16" i="20"/>
  <c r="C47" i="28" l="1"/>
  <c r="X44" i="11"/>
  <c r="F31" i="20"/>
  <c r="J70" i="41"/>
  <c r="I70" i="41"/>
  <c r="K70" i="41"/>
  <c r="H70" i="41"/>
  <c r="G70" i="41"/>
  <c r="AT69" i="41"/>
  <c r="AO69" i="41"/>
  <c r="P17" i="20"/>
  <c r="O17" i="20"/>
  <c r="N17" i="20"/>
  <c r="C48" i="28" l="1"/>
  <c r="X45" i="11"/>
  <c r="AT70" i="41"/>
  <c r="AO70" i="41"/>
  <c r="P18" i="20"/>
  <c r="O18" i="20"/>
  <c r="N18" i="20"/>
  <c r="C49" i="28" l="1"/>
  <c r="X46" i="11"/>
  <c r="P19" i="20"/>
  <c r="O19" i="20"/>
  <c r="N19" i="20"/>
  <c r="C50" i="28" l="1"/>
  <c r="X47" i="11"/>
  <c r="P20" i="20"/>
  <c r="O20" i="20"/>
  <c r="N20" i="20"/>
  <c r="C51" i="28" l="1"/>
  <c r="X48" i="11"/>
  <c r="P21" i="20"/>
  <c r="O21" i="20"/>
  <c r="N21" i="20"/>
  <c r="C52" i="28" l="1"/>
  <c r="X49" i="11"/>
  <c r="P22" i="20"/>
  <c r="O22" i="20"/>
  <c r="N22" i="20"/>
  <c r="C53" i="28" l="1"/>
  <c r="X50" i="11"/>
  <c r="P23" i="20"/>
  <c r="O23" i="20"/>
  <c r="N23" i="20"/>
  <c r="C54" i="28" l="1"/>
  <c r="X51" i="11"/>
  <c r="P24" i="20"/>
  <c r="O24" i="20"/>
  <c r="N24" i="20"/>
  <c r="C55" i="28" l="1"/>
  <c r="X52" i="11"/>
  <c r="P25" i="20"/>
  <c r="O25" i="20"/>
  <c r="N25" i="20"/>
  <c r="C56" i="28" l="1"/>
  <c r="X53" i="11"/>
  <c r="P26" i="20"/>
  <c r="O26" i="20"/>
  <c r="N26" i="20"/>
  <c r="C57" i="28" l="1"/>
  <c r="X54" i="11"/>
  <c r="P27" i="20"/>
  <c r="O27" i="20"/>
  <c r="N27" i="20"/>
  <c r="C58" i="28" l="1"/>
  <c r="X55" i="11"/>
  <c r="P28" i="20"/>
  <c r="O28" i="20"/>
  <c r="N28" i="20"/>
  <c r="C59" i="28" l="1"/>
  <c r="X56" i="11"/>
  <c r="P29" i="20"/>
  <c r="O29" i="20"/>
  <c r="N29" i="20"/>
  <c r="C60" i="28" l="1"/>
  <c r="X57" i="11"/>
  <c r="P30" i="20"/>
  <c r="O30" i="20"/>
  <c r="N30" i="20"/>
  <c r="C61" i="28" l="1"/>
  <c r="X58" i="11"/>
  <c r="P31" i="20"/>
  <c r="O31" i="20"/>
  <c r="N31" i="20"/>
  <c r="C62" i="28" l="1"/>
  <c r="X59" i="11"/>
  <c r="Z2" i="32"/>
  <c r="AA2" i="32"/>
  <c r="AB2" i="32"/>
  <c r="AC2" i="32"/>
  <c r="Y2" i="32"/>
  <c r="AS2" i="32" s="1"/>
  <c r="C63" i="28" l="1"/>
  <c r="X60" i="11"/>
  <c r="AD44" i="41"/>
  <c r="B11" i="12"/>
  <c r="C64" i="28" l="1"/>
  <c r="X61" i="11"/>
  <c r="AH44" i="41"/>
  <c r="AD45" i="41"/>
  <c r="Q18" i="11"/>
  <c r="AW5" i="11"/>
  <c r="C65" i="28" l="1"/>
  <c r="X62" i="11"/>
  <c r="AD46" i="41"/>
  <c r="AF5" i="32"/>
  <c r="C66" i="28" l="1"/>
  <c r="X63" i="11"/>
  <c r="AD10" i="11"/>
  <c r="AD47" i="41"/>
  <c r="Q2" i="32"/>
  <c r="P2" i="32"/>
  <c r="N5" i="32"/>
  <c r="AE5" i="32" s="1"/>
  <c r="O2" i="32"/>
  <c r="N2" i="32"/>
  <c r="AE2" i="32" s="1"/>
  <c r="M2" i="32"/>
  <c r="AD2" i="32" s="1"/>
  <c r="C67" i="28" l="1"/>
  <c r="C68" i="28" s="1"/>
  <c r="C69" i="28" s="1"/>
  <c r="C70" i="28" s="1"/>
  <c r="C71" i="28" s="1"/>
  <c r="C72" i="28" s="1"/>
  <c r="C73" i="28" s="1"/>
  <c r="C74" i="28" s="1"/>
  <c r="C75" i="28" s="1"/>
  <c r="C76" i="28" s="1"/>
  <c r="C77" i="28" s="1"/>
  <c r="C78" i="28" s="1"/>
  <c r="C79" i="28" s="1"/>
  <c r="C80" i="28" s="1"/>
  <c r="C81" i="28" s="1"/>
  <c r="C82" i="28" s="1"/>
  <c r="C83" i="28" s="1"/>
  <c r="C84" i="28" s="1"/>
  <c r="C85" i="28" s="1"/>
  <c r="C86" i="28" s="1"/>
  <c r="C87" i="28" s="1"/>
  <c r="C88" i="28" s="1"/>
  <c r="C89" i="28" s="1"/>
  <c r="C90" i="28" s="1"/>
  <c r="C91" i="28" s="1"/>
  <c r="C92" i="28" s="1"/>
  <c r="C93" i="28" s="1"/>
  <c r="C94" i="28" s="1"/>
  <c r="C95" i="28" s="1"/>
  <c r="C96" i="28" s="1"/>
  <c r="C97" i="28" s="1"/>
  <c r="C98" i="28" s="1"/>
  <c r="C99" i="28" s="1"/>
  <c r="C100" i="28" s="1"/>
  <c r="C101" i="28" s="1"/>
  <c r="C102" i="28" s="1"/>
  <c r="C103" i="28" s="1"/>
  <c r="C104" i="28" s="1"/>
  <c r="C105" i="28" s="1"/>
  <c r="C106" i="28" s="1"/>
  <c r="C107" i="28" s="1"/>
  <c r="C108" i="28" s="1"/>
  <c r="C109" i="28" s="1"/>
  <c r="C110" i="28" s="1"/>
  <c r="C111" i="28" s="1"/>
  <c r="C112" i="28" s="1"/>
  <c r="C113" i="28" s="1"/>
  <c r="C114" i="28" s="1"/>
  <c r="C115" i="28" s="1"/>
  <c r="C116" i="28" s="1"/>
  <c r="C117" i="28" s="1"/>
  <c r="C118" i="28" s="1"/>
  <c r="C119" i="28" s="1"/>
  <c r="C120" i="28" s="1"/>
  <c r="C121" i="28" s="1"/>
  <c r="C122" i="28" s="1"/>
  <c r="C123" i="28" s="1"/>
  <c r="C124" i="28" s="1"/>
  <c r="C125" i="28" s="1"/>
  <c r="C126" i="28" s="1"/>
  <c r="C127" i="28" s="1"/>
  <c r="C128" i="28" s="1"/>
  <c r="C129" i="28" s="1"/>
  <c r="C130" i="28" s="1"/>
  <c r="C131" i="28" s="1"/>
  <c r="C132" i="28" s="1"/>
  <c r="C133" i="28" s="1"/>
  <c r="C134" i="28" s="1"/>
  <c r="C135" i="28" s="1"/>
  <c r="C136" i="28" s="1"/>
  <c r="C137" i="28" s="1"/>
  <c r="C138" i="28" s="1"/>
  <c r="C139" i="28" s="1"/>
  <c r="C140" i="28" s="1"/>
  <c r="C141" i="28" s="1"/>
  <c r="C142" i="28" s="1"/>
  <c r="C143" i="28" s="1"/>
  <c r="C144" i="28" s="1"/>
  <c r="C145" i="28" s="1"/>
  <c r="C146" i="28" s="1"/>
  <c r="C147" i="28" s="1"/>
  <c r="C148" i="28" s="1"/>
  <c r="C149" i="28" s="1"/>
  <c r="C150" i="28" s="1"/>
  <c r="C151" i="28" s="1"/>
  <c r="C152" i="28" s="1"/>
  <c r="C153" i="28" s="1"/>
  <c r="C154" i="28" s="1"/>
  <c r="C155" i="28" s="1"/>
  <c r="C156" i="28" s="1"/>
  <c r="C157" i="28" s="1"/>
  <c r="C158" i="28" s="1"/>
  <c r="C159" i="28" s="1"/>
  <c r="C160" i="28" s="1"/>
  <c r="C161" i="28" s="1"/>
  <c r="C162" i="28" s="1"/>
  <c r="C163" i="28" s="1"/>
  <c r="C164" i="28" s="1"/>
  <c r="C165" i="28" s="1"/>
  <c r="C166" i="28" s="1"/>
  <c r="C167" i="28" s="1"/>
  <c r="C168" i="28" s="1"/>
  <c r="C169" i="28" s="1"/>
  <c r="C170" i="28" s="1"/>
  <c r="C171" i="28" s="1"/>
  <c r="C172" i="28" s="1"/>
  <c r="C173" i="28" s="1"/>
  <c r="C174" i="28" s="1"/>
  <c r="C175" i="28" s="1"/>
  <c r="C176" i="28" s="1"/>
  <c r="C177" i="28" s="1"/>
  <c r="C178" i="28" s="1"/>
  <c r="C179" i="28" s="1"/>
  <c r="C180" i="28" s="1"/>
  <c r="C181" i="28" s="1"/>
  <c r="C182" i="28" s="1"/>
  <c r="C183" i="28" s="1"/>
  <c r="C184" i="28" s="1"/>
  <c r="C185" i="28" s="1"/>
  <c r="C186" i="28" s="1"/>
  <c r="C187" i="28" s="1"/>
  <c r="C188" i="28" s="1"/>
  <c r="C189" i="28" s="1"/>
  <c r="C190" i="28" s="1"/>
  <c r="C191" i="28" s="1"/>
  <c r="C192" i="28" s="1"/>
  <c r="C193" i="28" s="1"/>
  <c r="C194" i="28" s="1"/>
  <c r="C195" i="28" s="1"/>
  <c r="C196" i="28" s="1"/>
  <c r="C197" i="28" s="1"/>
  <c r="C198" i="28" s="1"/>
  <c r="C199" i="28" s="1"/>
  <c r="C200" i="28" s="1"/>
  <c r="X64" i="11"/>
  <c r="AD48" i="41"/>
  <c r="B4" i="28"/>
  <c r="B3" i="28"/>
  <c r="AJ2" i="32"/>
  <c r="AD49" i="41" l="1"/>
  <c r="AW13" i="11"/>
  <c r="AW14" i="11"/>
  <c r="AW15" i="11"/>
  <c r="AW6" i="11"/>
  <c r="AW7" i="11"/>
  <c r="AW8" i="11"/>
  <c r="AW9" i="11"/>
  <c r="AW10" i="11"/>
  <c r="AW11" i="11"/>
  <c r="AW12" i="11"/>
  <c r="AD50" i="41" l="1"/>
  <c r="AF14" i="32"/>
  <c r="BL41" i="32" s="1"/>
  <c r="AF10" i="32"/>
  <c r="BL37" i="32" s="1"/>
  <c r="AF8" i="32"/>
  <c r="AF11" i="32"/>
  <c r="BL38" i="32" s="1"/>
  <c r="AF7" i="32"/>
  <c r="AF12" i="32"/>
  <c r="BL39" i="32" s="1"/>
  <c r="AF9" i="32"/>
  <c r="BL36" i="32" s="1"/>
  <c r="AF6" i="32"/>
  <c r="AF13" i="32"/>
  <c r="BL40" i="32" s="1"/>
  <c r="AF15" i="32"/>
  <c r="BL42" i="32" s="1"/>
  <c r="B24" i="25"/>
  <c r="C24" i="25" l="1"/>
  <c r="D24" i="25" s="1"/>
  <c r="E24" i="25" s="1"/>
  <c r="F24" i="25" s="1"/>
  <c r="G24" i="25" s="1"/>
  <c r="H24" i="25" s="1"/>
  <c r="I24" i="25" s="1"/>
  <c r="AD51" i="41"/>
  <c r="AD52" i="41" l="1"/>
  <c r="J24" i="25"/>
  <c r="AD53" i="41" l="1"/>
  <c r="K24" i="25"/>
  <c r="AD54" i="41" l="1"/>
  <c r="L24" i="25"/>
  <c r="AD55" i="41" l="1"/>
  <c r="M24" i="25"/>
  <c r="AD56" i="41" l="1"/>
  <c r="N24" i="25"/>
  <c r="AD57" i="41" l="1"/>
  <c r="O24" i="25"/>
  <c r="AD58" i="41" l="1"/>
  <c r="P24" i="25"/>
  <c r="AD59" i="41" l="1"/>
  <c r="Q24" i="25"/>
  <c r="AD60" i="41" l="1"/>
  <c r="R24" i="25"/>
  <c r="AD61" i="41" l="1"/>
  <c r="S24" i="25"/>
  <c r="AD62" i="41" l="1"/>
  <c r="T24" i="25"/>
  <c r="AD63" i="41" l="1"/>
  <c r="U24" i="25"/>
  <c r="AD64" i="41" l="1"/>
  <c r="V24" i="25"/>
  <c r="AD65" i="41" l="1"/>
  <c r="W24" i="25"/>
  <c r="AD66" i="41" l="1"/>
  <c r="X24" i="25"/>
  <c r="AD67" i="41" l="1"/>
  <c r="Y24" i="25"/>
  <c r="AD68" i="41" l="1"/>
  <c r="Z24" i="25"/>
  <c r="AD69" i="41" l="1"/>
  <c r="AA24" i="25"/>
  <c r="AI33" i="32" l="1"/>
  <c r="AD70" i="41"/>
  <c r="AB24" i="25"/>
  <c r="AC24" i="25" l="1"/>
  <c r="AG2" i="11"/>
  <c r="AD24" i="25" l="1"/>
  <c r="AE24" i="25" s="1"/>
  <c r="AF24" i="25" s="1"/>
  <c r="AG24" i="25" s="1"/>
  <c r="AH24" i="25" s="1"/>
  <c r="AI24" i="25" s="1"/>
  <c r="AJ24" i="25" s="1"/>
  <c r="AK24" i="25" s="1"/>
  <c r="AL24" i="25" s="1"/>
  <c r="AM24" i="25" s="1"/>
  <c r="AN24" i="25" s="1"/>
  <c r="AO24" i="25" s="1"/>
  <c r="AP24" i="25" s="1"/>
  <c r="AQ24" i="25" s="1"/>
  <c r="AR24" i="25" s="1"/>
  <c r="AS24" i="25" s="1"/>
  <c r="AT24" i="25" s="1"/>
  <c r="AU24" i="25" s="1"/>
  <c r="AV24" i="25" s="1"/>
  <c r="AW24" i="25" s="1"/>
  <c r="AX24" i="25" s="1"/>
  <c r="AY24" i="25" s="1"/>
  <c r="AZ24" i="25" s="1"/>
  <c r="BA24" i="25" s="1"/>
  <c r="BB24" i="25" s="1"/>
  <c r="BC24" i="25" s="1"/>
  <c r="BD24" i="25" s="1"/>
  <c r="BE24" i="25" s="1"/>
  <c r="BF24" i="25" s="1"/>
  <c r="BG24" i="25" s="1"/>
  <c r="BH24" i="25" s="1"/>
  <c r="K5" i="32" l="1"/>
  <c r="I5" i="32"/>
  <c r="S5" i="32" l="1"/>
  <c r="Z5" i="32" s="1"/>
  <c r="U5" i="32"/>
  <c r="AB5" i="32" s="1"/>
  <c r="M2" i="20" l="1"/>
  <c r="O3" i="20"/>
  <c r="N2" i="20"/>
  <c r="B6" i="22" l="1"/>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M2" i="11"/>
  <c r="C7" i="28" l="1"/>
  <c r="X5" i="11" s="1"/>
  <c r="AC5" i="11" s="1"/>
  <c r="AD42" i="41" l="1"/>
  <c r="B32" i="25"/>
  <c r="C32" i="25" s="1"/>
  <c r="D32" i="25" s="1"/>
  <c r="E32" i="25" s="1"/>
  <c r="F32" i="25" s="1"/>
  <c r="G32" i="25" s="1"/>
  <c r="H32" i="25" s="1"/>
  <c r="I32" i="25" s="1"/>
  <c r="J32" i="25" s="1"/>
  <c r="K32" i="25" s="1"/>
  <c r="L32" i="25" s="1"/>
  <c r="M32" i="25" s="1"/>
  <c r="N32" i="25" s="1"/>
  <c r="O32" i="25" s="1"/>
  <c r="P32" i="25" s="1"/>
  <c r="Q32" i="25" s="1"/>
  <c r="R32" i="25" s="1"/>
  <c r="S32" i="25" s="1"/>
  <c r="T32" i="25" s="1"/>
  <c r="U32" i="25" s="1"/>
  <c r="V32" i="25" s="1"/>
  <c r="W32" i="25" s="1"/>
  <c r="X32" i="25" s="1"/>
  <c r="Y32" i="25" s="1"/>
  <c r="Z32" i="25" s="1"/>
  <c r="AA32" i="25" s="1"/>
  <c r="AB32" i="25" s="1"/>
  <c r="AC32" i="25" s="1"/>
  <c r="AD32" i="25" s="1"/>
  <c r="AE32" i="25" s="1"/>
  <c r="AF32" i="25" s="1"/>
  <c r="AG32" i="25" s="1"/>
  <c r="AH32" i="25" s="1"/>
  <c r="AI32" i="25" s="1"/>
  <c r="AJ32" i="25" s="1"/>
  <c r="AK32" i="25" s="1"/>
  <c r="AL32" i="25" s="1"/>
  <c r="AM32" i="25" s="1"/>
  <c r="AN32" i="25" s="1"/>
  <c r="AO32" i="25" s="1"/>
  <c r="AP32" i="25" s="1"/>
  <c r="AQ32" i="25" s="1"/>
  <c r="AR32" i="25" s="1"/>
  <c r="AS32" i="25" s="1"/>
  <c r="AT32" i="25" s="1"/>
  <c r="AU32" i="25" s="1"/>
  <c r="AV32" i="25" s="1"/>
  <c r="AW32" i="25" s="1"/>
  <c r="AX32" i="25" s="1"/>
  <c r="AY32" i="25" s="1"/>
  <c r="AZ32" i="25" s="1"/>
  <c r="BA32" i="25" s="1"/>
  <c r="BB32" i="25" s="1"/>
  <c r="BC32" i="25" s="1"/>
  <c r="BD32" i="25" s="1"/>
  <c r="BE32" i="25" s="1"/>
  <c r="BF32" i="25" s="1"/>
  <c r="BG32" i="25" s="1"/>
  <c r="BH32" i="25" s="1"/>
  <c r="B31" i="25"/>
  <c r="C31" i="25" s="1"/>
  <c r="D31" i="25" s="1"/>
  <c r="E31" i="25" s="1"/>
  <c r="F31" i="25" s="1"/>
  <c r="G31" i="25" s="1"/>
  <c r="H31" i="25" s="1"/>
  <c r="I31" i="25" s="1"/>
  <c r="J31" i="25" s="1"/>
  <c r="K31" i="25" s="1"/>
  <c r="L31" i="25" s="1"/>
  <c r="M31" i="25" s="1"/>
  <c r="N31" i="25" s="1"/>
  <c r="O31" i="25" s="1"/>
  <c r="P31" i="25" s="1"/>
  <c r="Q31" i="25" s="1"/>
  <c r="R31" i="25" s="1"/>
  <c r="S31" i="25" s="1"/>
  <c r="T31" i="25" s="1"/>
  <c r="U31" i="25" s="1"/>
  <c r="V31" i="25" s="1"/>
  <c r="W31" i="25" s="1"/>
  <c r="X31" i="25" s="1"/>
  <c r="Y31" i="25" s="1"/>
  <c r="Z31" i="25" s="1"/>
  <c r="AA31" i="25" s="1"/>
  <c r="AB31" i="25" s="1"/>
  <c r="AC31" i="25" s="1"/>
  <c r="AD31" i="25" s="1"/>
  <c r="AE31" i="25" s="1"/>
  <c r="AF31" i="25" s="1"/>
  <c r="AG31" i="25" s="1"/>
  <c r="AH31" i="25" s="1"/>
  <c r="AI31" i="25" s="1"/>
  <c r="AJ31" i="25" s="1"/>
  <c r="AK31" i="25" s="1"/>
  <c r="AL31" i="25" s="1"/>
  <c r="AM31" i="25" s="1"/>
  <c r="AN31" i="25" s="1"/>
  <c r="AO31" i="25" s="1"/>
  <c r="AP31" i="25" s="1"/>
  <c r="AQ31" i="25" s="1"/>
  <c r="AR31" i="25" s="1"/>
  <c r="AS31" i="25" s="1"/>
  <c r="AT31" i="25" s="1"/>
  <c r="AU31" i="25" s="1"/>
  <c r="AV31" i="25" s="1"/>
  <c r="AW31" i="25" s="1"/>
  <c r="AX31" i="25" s="1"/>
  <c r="AY31" i="25" s="1"/>
  <c r="AZ31" i="25" s="1"/>
  <c r="BA31" i="25" s="1"/>
  <c r="BB31" i="25" s="1"/>
  <c r="BC31" i="25" s="1"/>
  <c r="BD31" i="25" s="1"/>
  <c r="BE31" i="25" s="1"/>
  <c r="BF31" i="25" s="1"/>
  <c r="BG31" i="25" s="1"/>
  <c r="BH31" i="25" s="1"/>
  <c r="B30" i="25"/>
  <c r="A32" i="25"/>
  <c r="A31" i="25"/>
  <c r="A30" i="25"/>
  <c r="C30" i="25" l="1"/>
  <c r="D30" i="25" s="1"/>
  <c r="E30" i="25" s="1"/>
  <c r="F30" i="25" s="1"/>
  <c r="G30" i="25" s="1"/>
  <c r="H30" i="25" s="1"/>
  <c r="I30" i="25" s="1"/>
  <c r="J30" i="25" s="1"/>
  <c r="K30" i="25" s="1"/>
  <c r="L30" i="25" s="1"/>
  <c r="M30" i="25" s="1"/>
  <c r="N30" i="25" s="1"/>
  <c r="O30" i="25" s="1"/>
  <c r="P30" i="25" s="1"/>
  <c r="Q30" i="25" s="1"/>
  <c r="R30" i="25" s="1"/>
  <c r="S30" i="25" s="1"/>
  <c r="T30" i="25" s="1"/>
  <c r="U30" i="25" s="1"/>
  <c r="V30" i="25" s="1"/>
  <c r="W30" i="25" s="1"/>
  <c r="X30" i="25" s="1"/>
  <c r="Y30" i="25" s="1"/>
  <c r="Z30" i="25" s="1"/>
  <c r="AA30" i="25" s="1"/>
  <c r="AB30" i="25" s="1"/>
  <c r="AC30" i="25" s="1"/>
  <c r="AD30" i="25" s="1"/>
  <c r="AE30" i="25" s="1"/>
  <c r="AF30" i="25" s="1"/>
  <c r="AG30" i="25" s="1"/>
  <c r="AH30" i="25" s="1"/>
  <c r="AI30" i="25" s="1"/>
  <c r="AJ30" i="25" s="1"/>
  <c r="AK30" i="25" s="1"/>
  <c r="AL30" i="25" s="1"/>
  <c r="AM30" i="25" s="1"/>
  <c r="AN30" i="25" s="1"/>
  <c r="AO30" i="25" s="1"/>
  <c r="AP30" i="25" s="1"/>
  <c r="AQ30" i="25" s="1"/>
  <c r="AR30" i="25" s="1"/>
  <c r="AS30" i="25" s="1"/>
  <c r="AT30" i="25" s="1"/>
  <c r="AU30" i="25" s="1"/>
  <c r="AV30" i="25" s="1"/>
  <c r="AW30" i="25" s="1"/>
  <c r="AX30" i="25" s="1"/>
  <c r="AY30" i="25" s="1"/>
  <c r="AZ30" i="25" s="1"/>
  <c r="BA30" i="25" s="1"/>
  <c r="BB30" i="25" s="1"/>
  <c r="BC30" i="25" s="1"/>
  <c r="BD30" i="25" s="1"/>
  <c r="BE30" i="25" s="1"/>
  <c r="BF30" i="25" s="1"/>
  <c r="BG30" i="25" s="1"/>
  <c r="BH30" i="25" s="1"/>
  <c r="B17" i="12"/>
  <c r="DN3" i="28"/>
  <c r="DM3" i="28"/>
  <c r="DK3" i="28"/>
  <c r="DL3" i="28" s="1"/>
  <c r="BZ4" i="11" l="1"/>
  <c r="BZ3" i="11"/>
  <c r="DK4" i="28" l="1"/>
  <c r="DL4" i="28"/>
  <c r="DJ4" i="28"/>
  <c r="DA6" i="28"/>
  <c r="DA7" i="28" s="1"/>
  <c r="DA8" i="28" s="1"/>
  <c r="DA9" i="28" s="1"/>
  <c r="DA10" i="28" s="1"/>
  <c r="DA11" i="28" s="1"/>
  <c r="DA12" i="28" s="1"/>
  <c r="DA13" i="28" s="1"/>
  <c r="DA14" i="28" s="1"/>
  <c r="DA15" i="28" s="1"/>
  <c r="DA16" i="28" s="1"/>
  <c r="DA17" i="28" s="1"/>
  <c r="DA18" i="28" s="1"/>
  <c r="DA19" i="28" s="1"/>
  <c r="DA20" i="28" s="1"/>
  <c r="DA21" i="28" s="1"/>
  <c r="DA22" i="28" s="1"/>
  <c r="DA23" i="28" s="1"/>
  <c r="DA24" i="28" s="1"/>
  <c r="DA25" i="28" s="1"/>
  <c r="DA26" i="28" s="1"/>
  <c r="DA27" i="28" s="1"/>
  <c r="DA28" i="28" s="1"/>
  <c r="DA29" i="28" s="1"/>
  <c r="DA30" i="28" s="1"/>
  <c r="DA31" i="28" s="1"/>
  <c r="DA32" i="28" s="1"/>
  <c r="DA33" i="28" s="1"/>
  <c r="DA34" i="28" s="1"/>
  <c r="DA35" i="28" s="1"/>
  <c r="DA36" i="28" s="1"/>
  <c r="DA37" i="28" s="1"/>
  <c r="DA38" i="28" s="1"/>
  <c r="DA39" i="28" s="1"/>
  <c r="DA40" i="28" s="1"/>
  <c r="DA41" i="28" s="1"/>
  <c r="DA42" i="28" s="1"/>
  <c r="DA43" i="28" s="1"/>
  <c r="DA44" i="28" s="1"/>
  <c r="DA45" i="28" s="1"/>
  <c r="DA46" i="28" s="1"/>
  <c r="DA47" i="28" s="1"/>
  <c r="DA48" i="28" s="1"/>
  <c r="DA49" i="28" s="1"/>
  <c r="DA50" i="28" s="1"/>
  <c r="DA51" i="28" s="1"/>
  <c r="DA52" i="28" s="1"/>
  <c r="DA53" i="28" s="1"/>
  <c r="DA54" i="28" s="1"/>
  <c r="DA55" i="28" s="1"/>
  <c r="DA56" i="28" s="1"/>
  <c r="DA57" i="28" s="1"/>
  <c r="DA58" i="28" s="1"/>
  <c r="DA59" i="28" s="1"/>
  <c r="DA60" i="28" s="1"/>
  <c r="DA61" i="28" s="1"/>
  <c r="DA62" i="28" s="1"/>
  <c r="DA63" i="28" s="1"/>
  <c r="DA64" i="28" s="1"/>
  <c r="DA65" i="28" s="1"/>
  <c r="DA66" i="28" s="1"/>
  <c r="DA67" i="28" s="1"/>
  <c r="DA68" i="28" s="1"/>
  <c r="DA69" i="28" s="1"/>
  <c r="DA70" i="28" s="1"/>
  <c r="DA71" i="28" s="1"/>
  <c r="DA72" i="28" s="1"/>
  <c r="DA73" i="28" s="1"/>
  <c r="DA74" i="28" s="1"/>
  <c r="DA75" i="28" s="1"/>
  <c r="DA76" i="28" s="1"/>
  <c r="DA77" i="28" s="1"/>
  <c r="DA78" i="28" s="1"/>
  <c r="DA79" i="28" s="1"/>
  <c r="DA80" i="28" s="1"/>
  <c r="DA81" i="28" s="1"/>
  <c r="DA82" i="28" s="1"/>
  <c r="DA83" i="28" s="1"/>
  <c r="DA84" i="28" s="1"/>
  <c r="DA85" i="28" s="1"/>
  <c r="DA86" i="28" s="1"/>
  <c r="DA87" i="28" s="1"/>
  <c r="DA88" i="28" s="1"/>
  <c r="DA89" i="28" s="1"/>
  <c r="DA90" i="28" s="1"/>
  <c r="DA91" i="28" s="1"/>
  <c r="DA92" i="28" s="1"/>
  <c r="DA93" i="28" s="1"/>
  <c r="DA94" i="28" s="1"/>
  <c r="DA95" i="28" s="1"/>
  <c r="DA96" i="28" s="1"/>
  <c r="DA97" i="28" s="1"/>
  <c r="DA98" i="28" s="1"/>
  <c r="DA99" i="28" s="1"/>
  <c r="DA100" i="28" s="1"/>
  <c r="DA101" i="28" s="1"/>
  <c r="DA102" i="28" s="1"/>
  <c r="DA103" i="28" s="1"/>
  <c r="DA104" i="28" s="1"/>
  <c r="DA105" i="28" s="1"/>
  <c r="DA106" i="28" s="1"/>
  <c r="DA107" i="28" s="1"/>
  <c r="DA108" i="28" s="1"/>
  <c r="DA109" i="28" s="1"/>
  <c r="DA110" i="28" s="1"/>
  <c r="DA111" i="28" s="1"/>
  <c r="DA112" i="28" s="1"/>
  <c r="DA113" i="28" s="1"/>
  <c r="DA114" i="28" s="1"/>
  <c r="DA115" i="28" s="1"/>
  <c r="DA116" i="28" s="1"/>
  <c r="DA117" i="28" s="1"/>
  <c r="DA118" i="28" s="1"/>
  <c r="DA119" i="28" s="1"/>
  <c r="DA120" i="28" s="1"/>
  <c r="DA121" i="28" s="1"/>
  <c r="DA122" i="28" s="1"/>
  <c r="DA123" i="28" s="1"/>
  <c r="DA124" i="28" s="1"/>
  <c r="DA125" i="28" s="1"/>
  <c r="DA126" i="28" s="1"/>
  <c r="DA127" i="28" s="1"/>
  <c r="DA128" i="28" s="1"/>
  <c r="DA129" i="28" s="1"/>
  <c r="DA130" i="28" s="1"/>
  <c r="DA131" i="28" s="1"/>
  <c r="DA132" i="28" s="1"/>
  <c r="DA133" i="28" s="1"/>
  <c r="DA134" i="28" s="1"/>
  <c r="DA135" i="28" s="1"/>
  <c r="DA136" i="28" s="1"/>
  <c r="DA137" i="28" s="1"/>
  <c r="DA138" i="28" s="1"/>
  <c r="DA139" i="28" s="1"/>
  <c r="DA140" i="28" s="1"/>
  <c r="DA141" i="28" s="1"/>
  <c r="DA142" i="28" s="1"/>
  <c r="DA143" i="28" s="1"/>
  <c r="DA144" i="28" s="1"/>
  <c r="DA145" i="28" s="1"/>
  <c r="DA146" i="28" s="1"/>
  <c r="DA147" i="28" s="1"/>
  <c r="DA148" i="28" s="1"/>
  <c r="DA149" i="28" s="1"/>
  <c r="DA150" i="28" s="1"/>
  <c r="DA151" i="28" s="1"/>
  <c r="DA152" i="28" s="1"/>
  <c r="DA153" i="28" s="1"/>
  <c r="DA154" i="28" s="1"/>
  <c r="DA155" i="28" s="1"/>
  <c r="DA156" i="28" s="1"/>
  <c r="DA157" i="28" s="1"/>
  <c r="DA158" i="28" s="1"/>
  <c r="DA159" i="28" s="1"/>
  <c r="DA160" i="28" s="1"/>
  <c r="DA161" i="28" s="1"/>
  <c r="DA162" i="28" s="1"/>
  <c r="DA163" i="28" s="1"/>
  <c r="DA164" i="28" s="1"/>
  <c r="DA165" i="28" s="1"/>
  <c r="DA166" i="28" s="1"/>
  <c r="DA167" i="28" s="1"/>
  <c r="DA168" i="28" s="1"/>
  <c r="DA169" i="28" s="1"/>
  <c r="DA170" i="28" s="1"/>
  <c r="DA171" i="28" s="1"/>
  <c r="DA172" i="28" s="1"/>
  <c r="DA173" i="28" s="1"/>
  <c r="DA174" i="28" s="1"/>
  <c r="DA175" i="28" s="1"/>
  <c r="DA176" i="28" s="1"/>
  <c r="DA177" i="28" s="1"/>
  <c r="DA178" i="28" s="1"/>
  <c r="DA179" i="28" s="1"/>
  <c r="DA180" i="28" s="1"/>
  <c r="DA181" i="28" s="1"/>
  <c r="DA182" i="28" s="1"/>
  <c r="DA183" i="28" s="1"/>
  <c r="DA184" i="28" s="1"/>
  <c r="DA185" i="28" s="1"/>
  <c r="DA186" i="28" s="1"/>
  <c r="DA187" i="28" s="1"/>
  <c r="DA188" i="28" s="1"/>
  <c r="DA189" i="28" s="1"/>
  <c r="DA190" i="28" s="1"/>
  <c r="DA191" i="28" s="1"/>
  <c r="DA192" i="28" s="1"/>
  <c r="DA193" i="28" s="1"/>
  <c r="DA194" i="28" s="1"/>
  <c r="DA195" i="28" s="1"/>
  <c r="DA196" i="28" s="1"/>
  <c r="DA197" i="28" s="1"/>
  <c r="DA198" i="28" s="1"/>
  <c r="DA199" i="28" s="1"/>
  <c r="DA200" i="28" s="1"/>
  <c r="BB2" i="28" l="1"/>
  <c r="C19" i="11" l="1"/>
  <c r="AS3" i="11" l="1"/>
  <c r="AU3" i="11" s="1"/>
  <c r="EL53" i="28"/>
  <c r="EK53" i="28"/>
  <c r="EJ54" i="28"/>
  <c r="EJ55" i="28" s="1"/>
  <c r="EL55" i="28" s="1"/>
  <c r="EM53" i="28" l="1"/>
  <c r="EL54" i="28"/>
  <c r="EK54" i="28"/>
  <c r="EJ56" i="28"/>
  <c r="EK55" i="28"/>
  <c r="EM55" i="28" s="1"/>
  <c r="EM54" i="28" l="1"/>
  <c r="EL56" i="28"/>
  <c r="EJ57" i="28"/>
  <c r="EK56" i="28"/>
  <c r="EL57" i="28" l="1"/>
  <c r="EK57" i="28"/>
  <c r="EJ58" i="28"/>
  <c r="EM56" i="28"/>
  <c r="EF49" i="28"/>
  <c r="EE49" i="28"/>
  <c r="ED50" i="28"/>
  <c r="ED51" i="28" s="1"/>
  <c r="EC50" i="28"/>
  <c r="EC51" i="28" s="1"/>
  <c r="EC52" i="28" s="1"/>
  <c r="EC53" i="28" s="1"/>
  <c r="EC54" i="28" s="1"/>
  <c r="EC55" i="28" s="1"/>
  <c r="EC56" i="28" s="1"/>
  <c r="EC57" i="28" s="1"/>
  <c r="EC58" i="28" s="1"/>
  <c r="EC59" i="28" s="1"/>
  <c r="EC60" i="28" s="1"/>
  <c r="EC61" i="28" s="1"/>
  <c r="EC62" i="28" s="1"/>
  <c r="EC63" i="28" s="1"/>
  <c r="EC64" i="28" s="1"/>
  <c r="EC65" i="28" s="1"/>
  <c r="EC66" i="28" s="1"/>
  <c r="EC67" i="28" s="1"/>
  <c r="EC68" i="28" s="1"/>
  <c r="DT68" i="28"/>
  <c r="DT67" i="28"/>
  <c r="DT66" i="28"/>
  <c r="DT65" i="28"/>
  <c r="DT38" i="28"/>
  <c r="DT37" i="28"/>
  <c r="DT36" i="28"/>
  <c r="DT39" i="28"/>
  <c r="EK58" i="28" l="1"/>
  <c r="EL58" i="28"/>
  <c r="EM57" i="28"/>
  <c r="EG49" i="28"/>
  <c r="ED52" i="28"/>
  <c r="EE51" i="28"/>
  <c r="EF51" i="28"/>
  <c r="EE50" i="28"/>
  <c r="EH50" i="28" s="1"/>
  <c r="EI50" i="28" s="1"/>
  <c r="EF50" i="28"/>
  <c r="EM58" i="28" l="1"/>
  <c r="EH51" i="28"/>
  <c r="EG51" i="28"/>
  <c r="EG50" i="28"/>
  <c r="EE52" i="28"/>
  <c r="EH52" i="28" s="1"/>
  <c r="EI52" i="28" s="1"/>
  <c r="EF52" i="28"/>
  <c r="ED53" i="28"/>
  <c r="CS191" i="28"/>
  <c r="EI51" i="28" l="1"/>
  <c r="EK51" i="28"/>
  <c r="EG52" i="28"/>
  <c r="ED54" i="28"/>
  <c r="EE53" i="28"/>
  <c r="EH53" i="28" s="1"/>
  <c r="EI53" i="28" s="1"/>
  <c r="EF53" i="28"/>
  <c r="CZ33" i="28"/>
  <c r="CZ6" i="28"/>
  <c r="EG53" i="28" l="1"/>
  <c r="ED55" i="28"/>
  <c r="EE54" i="28"/>
  <c r="EH54" i="28" s="1"/>
  <c r="EI54" i="28" s="1"/>
  <c r="EF54" i="28"/>
  <c r="CZ34" i="28"/>
  <c r="CZ61" i="28"/>
  <c r="CZ7" i="28"/>
  <c r="CZ62" i="28" l="1"/>
  <c r="EG54" i="28"/>
  <c r="ED56" i="28"/>
  <c r="EE55" i="28"/>
  <c r="EH55" i="28" s="1"/>
  <c r="EI55" i="28" s="1"/>
  <c r="EF55" i="28"/>
  <c r="CZ89" i="28"/>
  <c r="CZ8" i="28"/>
  <c r="CZ35" i="28"/>
  <c r="CZ90" i="28" l="1"/>
  <c r="CZ118" i="28" s="1"/>
  <c r="CZ63" i="28"/>
  <c r="EG55" i="28"/>
  <c r="ED57" i="28"/>
  <c r="EE56" i="28"/>
  <c r="EH56" i="28" s="1"/>
  <c r="EI56" i="28" s="1"/>
  <c r="EF56" i="28"/>
  <c r="CZ117" i="28"/>
  <c r="CZ9" i="28"/>
  <c r="CZ36" i="28"/>
  <c r="CZ146" i="28" l="1"/>
  <c r="CZ64" i="28"/>
  <c r="CZ91" i="28"/>
  <c r="EG56" i="28"/>
  <c r="ED58" i="28"/>
  <c r="EE57" i="28"/>
  <c r="EH57" i="28" s="1"/>
  <c r="EI57" i="28" s="1"/>
  <c r="EF57" i="28"/>
  <c r="CZ145" i="28"/>
  <c r="CZ10" i="28"/>
  <c r="CZ37" i="28"/>
  <c r="DV4" i="28"/>
  <c r="DX4" i="28" s="1"/>
  <c r="DU4" i="28"/>
  <c r="DW4" i="28" s="1"/>
  <c r="CZ174" i="28" l="1"/>
  <c r="CZ65" i="28"/>
  <c r="CZ119" i="28"/>
  <c r="CZ92" i="28"/>
  <c r="EG57" i="28"/>
  <c r="ED59" i="28"/>
  <c r="EE58" i="28"/>
  <c r="EH58" i="28" s="1"/>
  <c r="EI58" i="28" s="1"/>
  <c r="EF58" i="28"/>
  <c r="CZ173" i="28"/>
  <c r="CZ11" i="28"/>
  <c r="CZ38" i="28"/>
  <c r="CZ66" i="28" l="1"/>
  <c r="CZ120" i="28"/>
  <c r="CZ147" i="28"/>
  <c r="CZ93" i="28"/>
  <c r="EG58" i="28"/>
  <c r="ED60" i="28"/>
  <c r="EE59" i="28"/>
  <c r="EH59" i="28" s="1"/>
  <c r="EI59" i="28" s="1"/>
  <c r="EF59" i="28"/>
  <c r="CZ39" i="28"/>
  <c r="CZ12" i="28"/>
  <c r="DD62" i="28"/>
  <c r="DD63" i="28" s="1"/>
  <c r="DD34" i="28"/>
  <c r="DD35" i="28" s="1"/>
  <c r="DD36" i="28" s="1"/>
  <c r="DD6" i="28"/>
  <c r="CY173" i="28"/>
  <c r="CY174" i="28" s="1"/>
  <c r="CY175" i="28" s="1"/>
  <c r="CY176" i="28" s="1"/>
  <c r="CY177" i="28" s="1"/>
  <c r="CY178" i="28" s="1"/>
  <c r="CY179" i="28" s="1"/>
  <c r="CY180" i="28" s="1"/>
  <c r="CY181" i="28" s="1"/>
  <c r="CY182" i="28" s="1"/>
  <c r="CY183" i="28" s="1"/>
  <c r="CY184" i="28" s="1"/>
  <c r="CY185" i="28" s="1"/>
  <c r="CY186" i="28" s="1"/>
  <c r="CY187" i="28" s="1"/>
  <c r="CY188" i="28" s="1"/>
  <c r="CY189" i="28" s="1"/>
  <c r="CY190" i="28" s="1"/>
  <c r="CY191" i="28" s="1"/>
  <c r="CY192" i="28" s="1"/>
  <c r="CY193" i="28" s="1"/>
  <c r="CY194" i="28" s="1"/>
  <c r="CY195" i="28" s="1"/>
  <c r="CY196" i="28" s="1"/>
  <c r="CY197" i="28" s="1"/>
  <c r="CY198" i="28" s="1"/>
  <c r="CY199" i="28" s="1"/>
  <c r="CY200" i="28" s="1"/>
  <c r="CY145" i="28"/>
  <c r="CY146" i="28" s="1"/>
  <c r="CY147" i="28" s="1"/>
  <c r="CY148" i="28" s="1"/>
  <c r="CY149" i="28" s="1"/>
  <c r="CY150" i="28" s="1"/>
  <c r="CY151" i="28" s="1"/>
  <c r="CY152" i="28" s="1"/>
  <c r="CY153" i="28" s="1"/>
  <c r="CY154" i="28" s="1"/>
  <c r="CY155" i="28" s="1"/>
  <c r="CY156" i="28" s="1"/>
  <c r="CY157" i="28" s="1"/>
  <c r="CY158" i="28" s="1"/>
  <c r="CY159" i="28" s="1"/>
  <c r="CY160" i="28" s="1"/>
  <c r="CY161" i="28" s="1"/>
  <c r="CY162" i="28" s="1"/>
  <c r="CY163" i="28" s="1"/>
  <c r="CY164" i="28" s="1"/>
  <c r="CY165" i="28" s="1"/>
  <c r="CY166" i="28" s="1"/>
  <c r="CY167" i="28" s="1"/>
  <c r="CY168" i="28" s="1"/>
  <c r="CY169" i="28" s="1"/>
  <c r="CY170" i="28" s="1"/>
  <c r="CY171" i="28" s="1"/>
  <c r="CY172" i="28" s="1"/>
  <c r="CY117" i="28"/>
  <c r="CY118" i="28" s="1"/>
  <c r="CY119" i="28" s="1"/>
  <c r="CY120" i="28" s="1"/>
  <c r="CY121" i="28" s="1"/>
  <c r="CY122" i="28" s="1"/>
  <c r="CY123" i="28" s="1"/>
  <c r="CY124" i="28" s="1"/>
  <c r="CY125" i="28" s="1"/>
  <c r="CY126" i="28" s="1"/>
  <c r="CY127" i="28" s="1"/>
  <c r="CY128" i="28" s="1"/>
  <c r="CY129" i="28" s="1"/>
  <c r="CY130" i="28" s="1"/>
  <c r="CY131" i="28" s="1"/>
  <c r="CY132" i="28" s="1"/>
  <c r="CY133" i="28" s="1"/>
  <c r="CY134" i="28" s="1"/>
  <c r="CY135" i="28" s="1"/>
  <c r="CY136" i="28" s="1"/>
  <c r="CY137" i="28" s="1"/>
  <c r="CY138" i="28" s="1"/>
  <c r="CY139" i="28" s="1"/>
  <c r="CY140" i="28" s="1"/>
  <c r="CY141" i="28" s="1"/>
  <c r="CY142" i="28" s="1"/>
  <c r="CY143" i="28" s="1"/>
  <c r="CY144" i="28" s="1"/>
  <c r="CY89" i="28"/>
  <c r="CY90" i="28" s="1"/>
  <c r="CY91" i="28" s="1"/>
  <c r="CY92" i="28" s="1"/>
  <c r="CY93" i="28" s="1"/>
  <c r="CY94" i="28" s="1"/>
  <c r="CY95" i="28" s="1"/>
  <c r="CY96" i="28" s="1"/>
  <c r="CY97" i="28" s="1"/>
  <c r="CY98" i="28" s="1"/>
  <c r="CY99" i="28" s="1"/>
  <c r="CY100" i="28" s="1"/>
  <c r="CY101" i="28" s="1"/>
  <c r="CY102" i="28" s="1"/>
  <c r="CY103" i="28" s="1"/>
  <c r="CY104" i="28" s="1"/>
  <c r="CY105" i="28" s="1"/>
  <c r="CY106" i="28" s="1"/>
  <c r="CY107" i="28" s="1"/>
  <c r="CY108" i="28" s="1"/>
  <c r="CY109" i="28" s="1"/>
  <c r="CY110" i="28" s="1"/>
  <c r="CY111" i="28" s="1"/>
  <c r="CY112" i="28" s="1"/>
  <c r="CY113" i="28" s="1"/>
  <c r="CY114" i="28" s="1"/>
  <c r="CY115" i="28" s="1"/>
  <c r="CY116" i="28" s="1"/>
  <c r="CY61" i="28"/>
  <c r="CY62" i="28" s="1"/>
  <c r="CY63" i="28" s="1"/>
  <c r="CY64" i="28" s="1"/>
  <c r="CY65" i="28" s="1"/>
  <c r="CY66" i="28" s="1"/>
  <c r="CY67" i="28" s="1"/>
  <c r="CY68" i="28" s="1"/>
  <c r="CY69" i="28" s="1"/>
  <c r="CY70" i="28" s="1"/>
  <c r="CY71" i="28" s="1"/>
  <c r="CY72" i="28" s="1"/>
  <c r="CY73" i="28" s="1"/>
  <c r="CY74" i="28" s="1"/>
  <c r="CY75" i="28" s="1"/>
  <c r="CY76" i="28" s="1"/>
  <c r="CY77" i="28" s="1"/>
  <c r="CY78" i="28" s="1"/>
  <c r="CY79" i="28" s="1"/>
  <c r="CY80" i="28" s="1"/>
  <c r="CY81" i="28" s="1"/>
  <c r="CY82" i="28" s="1"/>
  <c r="CY83" i="28" s="1"/>
  <c r="CY84" i="28" s="1"/>
  <c r="CY85" i="28" s="1"/>
  <c r="CY86" i="28" s="1"/>
  <c r="CY87" i="28" s="1"/>
  <c r="CY88" i="28" s="1"/>
  <c r="CY33" i="28"/>
  <c r="CY34" i="28" s="1"/>
  <c r="CY35" i="28" s="1"/>
  <c r="CY36" i="28" s="1"/>
  <c r="CY37" i="28" s="1"/>
  <c r="CY38" i="28" s="1"/>
  <c r="CY39" i="28" s="1"/>
  <c r="CY40" i="28" s="1"/>
  <c r="CY41" i="28" s="1"/>
  <c r="CY42" i="28" s="1"/>
  <c r="CY43" i="28" s="1"/>
  <c r="CY44" i="28" s="1"/>
  <c r="CY45" i="28" s="1"/>
  <c r="CY46" i="28" s="1"/>
  <c r="CY47" i="28" s="1"/>
  <c r="CY48" i="28" s="1"/>
  <c r="CY49" i="28" s="1"/>
  <c r="CY50" i="28" s="1"/>
  <c r="CY51" i="28" s="1"/>
  <c r="CY52" i="28" s="1"/>
  <c r="CY53" i="28" s="1"/>
  <c r="CY54" i="28" s="1"/>
  <c r="CY55" i="28" s="1"/>
  <c r="CY56" i="28" s="1"/>
  <c r="CY57" i="28" s="1"/>
  <c r="CY58" i="28" s="1"/>
  <c r="CY59" i="28" s="1"/>
  <c r="CY60" i="28" s="1"/>
  <c r="CY5" i="28"/>
  <c r="CY6" i="28" s="1"/>
  <c r="CY7" i="28" s="1"/>
  <c r="CY8" i="28" s="1"/>
  <c r="CY9" i="28" s="1"/>
  <c r="CY10" i="28" s="1"/>
  <c r="CY11" i="28" s="1"/>
  <c r="CY12" i="28" s="1"/>
  <c r="CY13" i="28" s="1"/>
  <c r="CY14" i="28" s="1"/>
  <c r="CY15" i="28" s="1"/>
  <c r="CY16" i="28" s="1"/>
  <c r="CY17" i="28" s="1"/>
  <c r="CY18" i="28" s="1"/>
  <c r="CY19" i="28" s="1"/>
  <c r="CY20" i="28" s="1"/>
  <c r="CY21" i="28" s="1"/>
  <c r="CY22" i="28" s="1"/>
  <c r="CY23" i="28" s="1"/>
  <c r="CY24" i="28" s="1"/>
  <c r="CY25" i="28" s="1"/>
  <c r="CY26" i="28" s="1"/>
  <c r="CY27" i="28" s="1"/>
  <c r="CY28" i="28" s="1"/>
  <c r="CY29" i="28" s="1"/>
  <c r="CY30" i="28" s="1"/>
  <c r="CY31" i="28" s="1"/>
  <c r="CY32" i="28" s="1"/>
  <c r="CZ67" i="28" l="1"/>
  <c r="CZ175" i="28"/>
  <c r="CZ148" i="28"/>
  <c r="CZ121" i="28"/>
  <c r="CZ94" i="28"/>
  <c r="EG59" i="28"/>
  <c r="ED61" i="28"/>
  <c r="EE60" i="28"/>
  <c r="EH60" i="28" s="1"/>
  <c r="EI60" i="28" s="1"/>
  <c r="EF60" i="28"/>
  <c r="CZ13" i="28"/>
  <c r="CZ40" i="28"/>
  <c r="DD7" i="28"/>
  <c r="DD8" i="28" s="1"/>
  <c r="DD9" i="28" s="1"/>
  <c r="DD64" i="28"/>
  <c r="DD37" i="28"/>
  <c r="CZ176" i="28" l="1"/>
  <c r="CZ149" i="28"/>
  <c r="CZ122" i="28"/>
  <c r="CZ95" i="28"/>
  <c r="CZ68" i="28"/>
  <c r="EG60" i="28"/>
  <c r="ED62" i="28"/>
  <c r="EE61" i="28"/>
  <c r="EH61" i="28" s="1"/>
  <c r="EI61" i="28" s="1"/>
  <c r="EF61" i="28"/>
  <c r="CZ14" i="28"/>
  <c r="CZ41" i="28"/>
  <c r="DD65" i="28"/>
  <c r="DD38" i="28"/>
  <c r="DD10" i="28"/>
  <c r="CZ150" i="28" l="1"/>
  <c r="CZ177" i="28"/>
  <c r="CZ96" i="28"/>
  <c r="CZ69" i="28"/>
  <c r="CZ123" i="28"/>
  <c r="EG61" i="28"/>
  <c r="ED63" i="28"/>
  <c r="EF62" i="28"/>
  <c r="EE62" i="28"/>
  <c r="EH62" i="28" s="1"/>
  <c r="EI62" i="28" s="1"/>
  <c r="CZ15" i="28"/>
  <c r="CZ42" i="28"/>
  <c r="DD66" i="28"/>
  <c r="DD39" i="28"/>
  <c r="DD11" i="28"/>
  <c r="CZ124" i="28" l="1"/>
  <c r="CZ97" i="28"/>
  <c r="CZ70" i="28"/>
  <c r="CZ151" i="28"/>
  <c r="CZ178" i="28"/>
  <c r="EG62" i="28"/>
  <c r="ED64" i="28"/>
  <c r="EE63" i="28"/>
  <c r="EH63" i="28" s="1"/>
  <c r="EI63" i="28" s="1"/>
  <c r="EF63" i="28"/>
  <c r="CZ16" i="28"/>
  <c r="CZ43" i="28"/>
  <c r="DD67" i="28"/>
  <c r="DD40" i="28"/>
  <c r="DD12" i="28"/>
  <c r="CZ179" i="28" l="1"/>
  <c r="CZ98" i="28"/>
  <c r="CZ125" i="28"/>
  <c r="CZ71" i="28"/>
  <c r="CZ152" i="28"/>
  <c r="EG63" i="28"/>
  <c r="ED65" i="28"/>
  <c r="EE64" i="28"/>
  <c r="EH64" i="28" s="1"/>
  <c r="EI64" i="28" s="1"/>
  <c r="EF64" i="28"/>
  <c r="CZ17" i="28"/>
  <c r="CZ44" i="28"/>
  <c r="DD68" i="28"/>
  <c r="DD41" i="28"/>
  <c r="DD13" i="28"/>
  <c r="BE2" i="28"/>
  <c r="BF2" i="28"/>
  <c r="CZ153" i="28" l="1"/>
  <c r="CZ99" i="28"/>
  <c r="CZ180" i="28"/>
  <c r="CZ126" i="28"/>
  <c r="CZ72" i="28"/>
  <c r="EG64" i="28"/>
  <c r="ED66" i="28"/>
  <c r="EE65" i="28"/>
  <c r="EH65" i="28" s="1"/>
  <c r="EI65" i="28" s="1"/>
  <c r="EF65" i="28"/>
  <c r="CZ18" i="28"/>
  <c r="CZ45" i="28"/>
  <c r="DD69" i="28"/>
  <c r="DD42" i="28"/>
  <c r="DD14" i="28"/>
  <c r="CZ154" i="28" l="1"/>
  <c r="CZ127" i="28"/>
  <c r="CZ73" i="28"/>
  <c r="CZ100" i="28"/>
  <c r="CZ181" i="28"/>
  <c r="EG65" i="28"/>
  <c r="ED67" i="28"/>
  <c r="EF66" i="28"/>
  <c r="EE66" i="28"/>
  <c r="EH66" i="28" s="1"/>
  <c r="EI66" i="28" s="1"/>
  <c r="CZ19" i="28"/>
  <c r="CZ46" i="28"/>
  <c r="DD70" i="28"/>
  <c r="DD43" i="28"/>
  <c r="DD15" i="28"/>
  <c r="CZ101" i="28" l="1"/>
  <c r="CZ155" i="28"/>
  <c r="CZ74" i="28"/>
  <c r="CZ128" i="28"/>
  <c r="CZ182" i="28"/>
  <c r="EG66" i="28"/>
  <c r="ED68" i="28"/>
  <c r="EE67" i="28"/>
  <c r="EH67" i="28" s="1"/>
  <c r="EI67" i="28" s="1"/>
  <c r="EF67" i="28"/>
  <c r="CZ20" i="28"/>
  <c r="CZ47" i="28"/>
  <c r="DD71" i="28"/>
  <c r="DD44" i="28"/>
  <c r="DD16" i="28"/>
  <c r="CZ102" i="28" l="1"/>
  <c r="CZ183" i="28"/>
  <c r="CZ75" i="28"/>
  <c r="CZ156" i="28"/>
  <c r="CZ129" i="28"/>
  <c r="EG67" i="28"/>
  <c r="EE68" i="28"/>
  <c r="EH68" i="28" s="1"/>
  <c r="EI68" i="28" s="1"/>
  <c r="EF68" i="28"/>
  <c r="CZ21" i="28"/>
  <c r="CZ48" i="28"/>
  <c r="DD72" i="28"/>
  <c r="DD45" i="28"/>
  <c r="DD17" i="28"/>
  <c r="CZ157" i="28" l="1"/>
  <c r="CZ103" i="28"/>
  <c r="CZ76" i="28"/>
  <c r="CZ184" i="28"/>
  <c r="CZ130" i="28"/>
  <c r="EG68" i="28"/>
  <c r="CZ22" i="28"/>
  <c r="CZ49" i="28"/>
  <c r="DD73" i="28"/>
  <c r="DD46" i="28"/>
  <c r="DD18" i="28"/>
  <c r="X2" i="11"/>
  <c r="BC4" i="28"/>
  <c r="BC3" i="28"/>
  <c r="BC1" i="28"/>
  <c r="BC2" i="28"/>
  <c r="BC5" i="28" s="1" a="1"/>
  <c r="BC5" i="28" s="1"/>
  <c r="R3" i="11" s="1"/>
  <c r="BD2" i="28"/>
  <c r="D3" i="28"/>
  <c r="E1" i="28"/>
  <c r="F1" i="28" s="1"/>
  <c r="BI2" i="28"/>
  <c r="BJ2" i="28"/>
  <c r="BK2" i="28"/>
  <c r="BL2" i="28"/>
  <c r="BM2" i="28"/>
  <c r="BN2" i="28"/>
  <c r="BO2" i="28"/>
  <c r="BP2" i="28"/>
  <c r="BQ2" i="28"/>
  <c r="BR2" i="28"/>
  <c r="BS2" i="28"/>
  <c r="BT2" i="28"/>
  <c r="BU2" i="28"/>
  <c r="BV2" i="28"/>
  <c r="BW2" i="28"/>
  <c r="BX2" i="28"/>
  <c r="BY2" i="28"/>
  <c r="BZ2" i="28"/>
  <c r="CA2" i="28"/>
  <c r="CB2" i="28"/>
  <c r="CC2" i="28"/>
  <c r="CD2" i="28"/>
  <c r="CE2" i="28"/>
  <c r="CF2" i="28"/>
  <c r="CG2" i="28"/>
  <c r="CH2" i="28"/>
  <c r="CI2" i="28"/>
  <c r="CJ2" i="28"/>
  <c r="CK2" i="28"/>
  <c r="CL2" i="28"/>
  <c r="CM2" i="28"/>
  <c r="CN2" i="28"/>
  <c r="CO2" i="28"/>
  <c r="CP2" i="28"/>
  <c r="CQ2" i="28"/>
  <c r="CR2" i="28"/>
  <c r="CS2" i="28"/>
  <c r="CT2" i="28"/>
  <c r="CU2" i="28"/>
  <c r="CV2" i="28"/>
  <c r="CW2" i="28"/>
  <c r="BH2" i="28"/>
  <c r="BG2" i="28"/>
  <c r="B6" i="28"/>
  <c r="D6" i="28" l="1" a="1"/>
  <c r="D6" i="28" s="1"/>
  <c r="D42" i="28" a="1"/>
  <c r="D42" i="28" s="1"/>
  <c r="D50" i="28" a="1"/>
  <c r="D50" i="28" s="1"/>
  <c r="D58" i="28" a="1"/>
  <c r="D58" i="28" s="1"/>
  <c r="D43" i="28" a="1"/>
  <c r="D43" i="28" s="1"/>
  <c r="D51" i="28" a="1"/>
  <c r="D51" i="28" s="1"/>
  <c r="D59" i="28" a="1"/>
  <c r="D59" i="28" s="1"/>
  <c r="D36" i="28" a="1"/>
  <c r="D36" i="28" s="1"/>
  <c r="D44" i="28" a="1"/>
  <c r="D44" i="28" s="1"/>
  <c r="D52" i="28" a="1"/>
  <c r="D52" i="28" s="1"/>
  <c r="D37" i="28" a="1"/>
  <c r="D37" i="28" s="1"/>
  <c r="D45" i="28" a="1"/>
  <c r="D45" i="28" s="1"/>
  <c r="D53" i="28" a="1"/>
  <c r="D53" i="28" s="1"/>
  <c r="D38" i="28" a="1"/>
  <c r="D38" i="28" s="1"/>
  <c r="D46" i="28" a="1"/>
  <c r="D46" i="28" s="1"/>
  <c r="D54" i="28" a="1"/>
  <c r="D54" i="28" s="1"/>
  <c r="D62" i="28" a="1"/>
  <c r="D62" i="28" s="1"/>
  <c r="D39" i="28" a="1"/>
  <c r="D39" i="28" s="1"/>
  <c r="D47" i="28" a="1"/>
  <c r="D47" i="28" s="1"/>
  <c r="D55" i="28" a="1"/>
  <c r="D55" i="28" s="1"/>
  <c r="D63" i="28" a="1"/>
  <c r="D63" i="28" s="1"/>
  <c r="D40" i="28" a="1"/>
  <c r="D40" i="28" s="1"/>
  <c r="D48" i="28" a="1"/>
  <c r="D48" i="28" s="1"/>
  <c r="D56" i="28" a="1"/>
  <c r="D56" i="28" s="1"/>
  <c r="D5" i="28" a="1"/>
  <c r="D5" i="28" s="1"/>
  <c r="D60" i="28" a="1"/>
  <c r="D60" i="28" s="1"/>
  <c r="D57" i="28" a="1"/>
  <c r="D57" i="28" s="1"/>
  <c r="D61" i="28" a="1"/>
  <c r="D61" i="28" s="1"/>
  <c r="D49" i="28" a="1"/>
  <c r="D49" i="28" s="1"/>
  <c r="D41" i="28" a="1"/>
  <c r="D41" i="28" s="1"/>
  <c r="BD3" i="28"/>
  <c r="BG3" i="28" s="1"/>
  <c r="BH3" i="28" s="1"/>
  <c r="BI3" i="28" s="1"/>
  <c r="BJ3" i="28" s="1"/>
  <c r="BK3" i="28" s="1"/>
  <c r="BL3" i="28" s="1"/>
  <c r="BM3" i="28" s="1"/>
  <c r="BN3" i="28" s="1"/>
  <c r="BO3" i="28" s="1"/>
  <c r="BP3" i="28" s="1"/>
  <c r="BQ3" i="28" s="1"/>
  <c r="BR3" i="28" s="1"/>
  <c r="BS3" i="28" s="1"/>
  <c r="BT3" i="28" s="1"/>
  <c r="BU3" i="28" s="1"/>
  <c r="BV3" i="28" s="1"/>
  <c r="BW3" i="28" s="1"/>
  <c r="BX3" i="28" s="1"/>
  <c r="BY3" i="28" s="1"/>
  <c r="BZ3" i="28" s="1"/>
  <c r="CA3" i="28" s="1"/>
  <c r="CB3" i="28" s="1"/>
  <c r="CC3" i="28" s="1"/>
  <c r="CD3" i="28" s="1"/>
  <c r="CE3" i="28" s="1"/>
  <c r="CF3" i="28" s="1"/>
  <c r="CG3" i="28" s="1"/>
  <c r="CH3" i="28" s="1"/>
  <c r="CI3" i="28" s="1"/>
  <c r="CJ3" i="28" s="1"/>
  <c r="CK3" i="28" s="1"/>
  <c r="CL3" i="28" s="1"/>
  <c r="CM3" i="28" s="1"/>
  <c r="CN3" i="28" s="1"/>
  <c r="CO3" i="28" s="1"/>
  <c r="CP3" i="28" s="1"/>
  <c r="CQ3" i="28" s="1"/>
  <c r="CR3" i="28" s="1"/>
  <c r="CS3" i="28" s="1"/>
  <c r="CT3" i="28" s="1"/>
  <c r="CU3" i="28" s="1"/>
  <c r="CV3" i="28" s="1"/>
  <c r="CW3" i="28" s="1"/>
  <c r="CW6" i="28" s="1" a="1"/>
  <c r="CW6" i="28" s="1"/>
  <c r="BB3" i="28"/>
  <c r="BD4" i="28"/>
  <c r="BG4" i="28" s="1"/>
  <c r="BB4" i="28"/>
  <c r="CZ77" i="28"/>
  <c r="CZ104" i="28"/>
  <c r="CZ131" i="28"/>
  <c r="CZ158" i="28"/>
  <c r="CZ185" i="28"/>
  <c r="CZ23" i="28"/>
  <c r="CZ50" i="28"/>
  <c r="E3" i="28"/>
  <c r="C3" i="28"/>
  <c r="E4" i="28"/>
  <c r="H4" i="28" s="1"/>
  <c r="I4" i="28" s="1"/>
  <c r="J4" i="28" s="1"/>
  <c r="K4" i="28" s="1"/>
  <c r="L4" i="28" s="1"/>
  <c r="M4" i="28" s="1"/>
  <c r="N4" i="28" s="1"/>
  <c r="O4" i="28" s="1"/>
  <c r="P4" i="28" s="1"/>
  <c r="Q4" i="28" s="1"/>
  <c r="R4" i="28" s="1"/>
  <c r="S4" i="28" s="1"/>
  <c r="T4" i="28" s="1"/>
  <c r="U4" i="28" s="1"/>
  <c r="V4" i="28" s="1"/>
  <c r="W4" i="28" s="1"/>
  <c r="X4" i="28" s="1"/>
  <c r="Y4" i="28" s="1"/>
  <c r="Z4" i="28" s="1"/>
  <c r="AA4" i="28" s="1"/>
  <c r="AB4" i="28" s="1"/>
  <c r="AC4" i="28" s="1"/>
  <c r="AD4" i="28" s="1"/>
  <c r="AE4" i="28" s="1"/>
  <c r="AF4" i="28" s="1"/>
  <c r="AG4" i="28" s="1"/>
  <c r="AH4" i="28" s="1"/>
  <c r="AI4" i="28" s="1"/>
  <c r="AJ4" i="28" s="1"/>
  <c r="AK4" i="28" s="1"/>
  <c r="AL4" i="28" s="1"/>
  <c r="AM4" i="28" s="1"/>
  <c r="AN4" i="28" s="1"/>
  <c r="AO4" i="28" s="1"/>
  <c r="AP4" i="28" s="1"/>
  <c r="AQ4" i="28" s="1"/>
  <c r="AR4" i="28" s="1"/>
  <c r="AS4" i="28" s="1"/>
  <c r="AT4" i="28" s="1"/>
  <c r="AU4" i="28" s="1"/>
  <c r="AV4" i="28" s="1"/>
  <c r="AW4" i="28" s="1"/>
  <c r="AX4" i="28" s="1"/>
  <c r="AY4" i="28" s="1"/>
  <c r="AZ4" i="28" s="1"/>
  <c r="BA4" i="28" s="1"/>
  <c r="C4" i="28"/>
  <c r="DD74" i="28"/>
  <c r="DD47" i="28"/>
  <c r="DD19" i="28"/>
  <c r="G1" i="28"/>
  <c r="BE1" i="28"/>
  <c r="BD1" i="28"/>
  <c r="BC6" i="28" a="1"/>
  <c r="BC6" i="28" s="1"/>
  <c r="R4" i="11" s="1"/>
  <c r="B7" i="28"/>
  <c r="A7" i="25"/>
  <c r="A12" i="25" s="1"/>
  <c r="A28" i="12"/>
  <c r="A29" i="12" s="1"/>
  <c r="V14" i="12"/>
  <c r="S14" i="12" s="1"/>
  <c r="U14" i="12"/>
  <c r="Q14" i="12" s="1"/>
  <c r="B15" i="12" s="1"/>
  <c r="B16" i="12" s="1"/>
  <c r="R3" i="12"/>
  <c r="R4" i="12"/>
  <c r="R5" i="12"/>
  <c r="R6" i="12"/>
  <c r="R7" i="12"/>
  <c r="R8" i="12"/>
  <c r="R9" i="12"/>
  <c r="R10" i="12"/>
  <c r="R11" i="12"/>
  <c r="R12" i="12"/>
  <c r="R13" i="12"/>
  <c r="R2" i="12"/>
  <c r="Y38" i="22"/>
  <c r="Z38" i="22"/>
  <c r="AA38" i="22"/>
  <c r="AD38" i="22"/>
  <c r="AE38" i="22"/>
  <c r="AF38" i="22"/>
  <c r="AG38" i="22"/>
  <c r="AH38" i="22"/>
  <c r="AI38" i="22"/>
  <c r="AJ38" i="22"/>
  <c r="AK38" i="22"/>
  <c r="AL38" i="22"/>
  <c r="AM38" i="22"/>
  <c r="AN38" i="22"/>
  <c r="AO38" i="22"/>
  <c r="AP38" i="22"/>
  <c r="AQ38" i="22"/>
  <c r="AR38" i="22"/>
  <c r="AS38" i="22"/>
  <c r="AT38" i="22"/>
  <c r="AU38" i="22"/>
  <c r="AV38" i="22"/>
  <c r="AW38" i="22"/>
  <c r="AX38" i="22"/>
  <c r="AY38" i="22"/>
  <c r="AZ38" i="22"/>
  <c r="BA38" i="22"/>
  <c r="BB38" i="22"/>
  <c r="Z39" i="22"/>
  <c r="AA39" i="22"/>
  <c r="AB39" i="22"/>
  <c r="AC39" i="22"/>
  <c r="AD39" i="22"/>
  <c r="AE39" i="22"/>
  <c r="AG39" i="22"/>
  <c r="AH39" i="22"/>
  <c r="AI39" i="22"/>
  <c r="AJ39" i="22"/>
  <c r="AK39" i="22"/>
  <c r="AL39" i="22"/>
  <c r="AM39" i="22"/>
  <c r="AN39" i="22"/>
  <c r="AO39" i="22"/>
  <c r="AP39" i="22"/>
  <c r="AQ39" i="22"/>
  <c r="AR39" i="22"/>
  <c r="AS39" i="22"/>
  <c r="AT39" i="22"/>
  <c r="AU39" i="22"/>
  <c r="AV39" i="22"/>
  <c r="AW39" i="22"/>
  <c r="AX39" i="22"/>
  <c r="AY39" i="22"/>
  <c r="AZ39" i="22"/>
  <c r="BA39" i="22"/>
  <c r="BB39" i="22"/>
  <c r="Y40" i="22"/>
  <c r="Z40" i="22"/>
  <c r="AA40" i="22"/>
  <c r="AB40" i="22"/>
  <c r="AC40" i="22"/>
  <c r="AD40" i="22"/>
  <c r="AE40" i="22"/>
  <c r="AF40" i="22"/>
  <c r="AG40" i="22"/>
  <c r="AH40" i="22"/>
  <c r="AI40" i="22"/>
  <c r="AJ40" i="22"/>
  <c r="AK40" i="22"/>
  <c r="AL40" i="22"/>
  <c r="AM40" i="22"/>
  <c r="AN40" i="22"/>
  <c r="AO40" i="22"/>
  <c r="AP40" i="22"/>
  <c r="AQ40" i="22"/>
  <c r="AR40" i="22"/>
  <c r="AS40" i="22"/>
  <c r="AT40" i="22"/>
  <c r="AU40" i="22"/>
  <c r="AV40" i="22"/>
  <c r="AW40" i="22"/>
  <c r="AX40" i="22"/>
  <c r="AY40" i="22"/>
  <c r="AZ40" i="22"/>
  <c r="BA40" i="22"/>
  <c r="BB40" i="22"/>
  <c r="Y41" i="22"/>
  <c r="Z41" i="22"/>
  <c r="AA41" i="22"/>
  <c r="AB41" i="22"/>
  <c r="AC41" i="22"/>
  <c r="AD41" i="22"/>
  <c r="AE41" i="22"/>
  <c r="AF41" i="22"/>
  <c r="AG41" i="22"/>
  <c r="AH41" i="22"/>
  <c r="AI41" i="22"/>
  <c r="AJ41" i="22"/>
  <c r="AK41" i="22"/>
  <c r="AL41" i="22"/>
  <c r="AM41" i="22"/>
  <c r="AN41" i="22"/>
  <c r="AO41" i="22"/>
  <c r="AP41" i="22"/>
  <c r="AQ41" i="22"/>
  <c r="AR41" i="22"/>
  <c r="AS41" i="22"/>
  <c r="AT41" i="22"/>
  <c r="AU41" i="22"/>
  <c r="AV41" i="22"/>
  <c r="AW41" i="22"/>
  <c r="AX41" i="22"/>
  <c r="AY41" i="22"/>
  <c r="AZ41" i="22"/>
  <c r="BA41" i="22"/>
  <c r="BB41" i="22"/>
  <c r="Y42" i="22"/>
  <c r="Z42" i="22"/>
  <c r="AA42" i="22"/>
  <c r="AB42" i="22"/>
  <c r="AC42" i="22"/>
  <c r="AD42" i="22"/>
  <c r="AE42" i="22"/>
  <c r="AF42" i="22"/>
  <c r="AG42" i="22"/>
  <c r="AH42" i="22"/>
  <c r="AI42" i="22"/>
  <c r="AJ42" i="22"/>
  <c r="AK42" i="22"/>
  <c r="AL42" i="22"/>
  <c r="AM42" i="22"/>
  <c r="AN42" i="22"/>
  <c r="AO42" i="22"/>
  <c r="AP42" i="22"/>
  <c r="AQ42" i="22"/>
  <c r="AR42" i="22"/>
  <c r="AS42" i="22"/>
  <c r="AT42" i="22"/>
  <c r="AU42" i="22"/>
  <c r="AV42" i="22"/>
  <c r="AW42" i="22"/>
  <c r="AX42" i="22"/>
  <c r="AY42" i="22"/>
  <c r="AZ42" i="22"/>
  <c r="BA42" i="22"/>
  <c r="BB42" i="22"/>
  <c r="X43" i="22"/>
  <c r="Y43" i="22"/>
  <c r="Z43" i="22"/>
  <c r="AA43" i="22"/>
  <c r="AB43" i="22"/>
  <c r="AC43" i="22"/>
  <c r="AD43" i="22"/>
  <c r="AE43" i="22"/>
  <c r="AF43" i="22"/>
  <c r="AG43" i="22"/>
  <c r="AH43" i="22"/>
  <c r="AI43" i="22"/>
  <c r="AJ43" i="22"/>
  <c r="AK43" i="22"/>
  <c r="AL43" i="22"/>
  <c r="AM43" i="22"/>
  <c r="AN43" i="22"/>
  <c r="AO43" i="22"/>
  <c r="AP43" i="22"/>
  <c r="AQ43" i="22"/>
  <c r="AR43" i="22"/>
  <c r="AS43" i="22"/>
  <c r="AT43" i="22"/>
  <c r="AU43" i="22"/>
  <c r="AV43" i="22"/>
  <c r="AW43" i="22"/>
  <c r="AX43" i="22"/>
  <c r="AY43" i="22"/>
  <c r="AZ43" i="22"/>
  <c r="BA43" i="22"/>
  <c r="BB43" i="22"/>
  <c r="V40" i="22"/>
  <c r="V42" i="22"/>
  <c r="P39" i="22"/>
  <c r="BL6" i="28" l="1" a="1"/>
  <c r="BL6" i="28" s="1"/>
  <c r="T14" i="12"/>
  <c r="BI5" i="28" a="1"/>
  <c r="BI5" i="28" s="1"/>
  <c r="B27" i="12"/>
  <c r="CS5" i="28" a="1"/>
  <c r="CS5" i="28" s="1"/>
  <c r="CV6" i="28" a="1"/>
  <c r="CV6" i="28" s="1"/>
  <c r="BP6" i="28" a="1"/>
  <c r="BP6" i="28" s="1"/>
  <c r="CJ6" i="28" a="1"/>
  <c r="CJ6" i="28" s="1"/>
  <c r="CP5" i="28" a="1"/>
  <c r="CP5" i="28" s="1"/>
  <c r="B28" i="12"/>
  <c r="CS6" i="28" a="1"/>
  <c r="CS6" i="28" s="1"/>
  <c r="BD6" i="28" a="1"/>
  <c r="BD6" i="28" s="1"/>
  <c r="BE6" i="28" s="1"/>
  <c r="BF6" i="28" s="1"/>
  <c r="CR6" i="28" a="1"/>
  <c r="CR6" i="28" s="1"/>
  <c r="CB6" i="28" a="1"/>
  <c r="CB6" i="28" s="1"/>
  <c r="CK5" i="28" a="1"/>
  <c r="CK5" i="28" s="1"/>
  <c r="BU6" i="28" a="1"/>
  <c r="BU6" i="28" s="1"/>
  <c r="A30" i="12"/>
  <c r="B30" i="12" s="1"/>
  <c r="B29" i="12"/>
  <c r="P14" i="12"/>
  <c r="B14" i="12" s="1"/>
  <c r="BV6" i="28" a="1"/>
  <c r="BV6" i="28" s="1"/>
  <c r="CE5" i="28" a="1"/>
  <c r="CE5" i="28" s="1"/>
  <c r="BQ5" i="28" a="1"/>
  <c r="BQ5" i="28" s="1"/>
  <c r="BQ6" i="28" a="1"/>
  <c r="BQ6" i="28" s="1"/>
  <c r="BM5" i="28" a="1"/>
  <c r="BM5" i="28" s="1"/>
  <c r="BB5" i="28" s="1"/>
  <c r="CN6" i="28" a="1"/>
  <c r="CN6" i="28" s="1"/>
  <c r="BH6" i="28" a="1"/>
  <c r="BH6" i="28" s="1"/>
  <c r="BR6" i="28" a="1"/>
  <c r="BR6" i="28" s="1"/>
  <c r="CF5" i="28" a="1"/>
  <c r="CF5" i="28" s="1"/>
  <c r="CQ5" i="28" a="1"/>
  <c r="CQ5" i="28" s="1"/>
  <c r="H3" i="28"/>
  <c r="H7" i="28" s="1" a="1"/>
  <c r="H7" i="28" s="1"/>
  <c r="E37" i="28" a="1"/>
  <c r="E37" i="28" s="1"/>
  <c r="E45" i="28" a="1"/>
  <c r="E45" i="28" s="1"/>
  <c r="E53" i="28" a="1"/>
  <c r="E53" i="28" s="1"/>
  <c r="E61" i="28" a="1"/>
  <c r="E61" i="28" s="1"/>
  <c r="E38" i="28" a="1"/>
  <c r="E38" i="28" s="1"/>
  <c r="E46" i="28" a="1"/>
  <c r="E46" i="28" s="1"/>
  <c r="E54" i="28" a="1"/>
  <c r="E54" i="28" s="1"/>
  <c r="E62" i="28" a="1"/>
  <c r="E62" i="28" s="1"/>
  <c r="E39" i="28" a="1"/>
  <c r="E39" i="28" s="1"/>
  <c r="E47" i="28" a="1"/>
  <c r="E47" i="28" s="1"/>
  <c r="E55" i="28" a="1"/>
  <c r="E55" i="28" s="1"/>
  <c r="E63" i="28" a="1"/>
  <c r="E63" i="28" s="1"/>
  <c r="E40" i="28" a="1"/>
  <c r="E40" i="28" s="1"/>
  <c r="E48" i="28" a="1"/>
  <c r="E48" i="28" s="1"/>
  <c r="E56" i="28" a="1"/>
  <c r="E56" i="28" s="1"/>
  <c r="E5" i="28" a="1"/>
  <c r="E5" i="28" s="1"/>
  <c r="F5" i="28" s="1"/>
  <c r="G5" i="28" s="1"/>
  <c r="E41" i="28" a="1"/>
  <c r="E41" i="28" s="1"/>
  <c r="E49" i="28" a="1"/>
  <c r="E49" i="28" s="1"/>
  <c r="E57" i="28" a="1"/>
  <c r="E57" i="28" s="1"/>
  <c r="E42" i="28" a="1"/>
  <c r="E42" i="28" s="1"/>
  <c r="E50" i="28" a="1"/>
  <c r="E50" i="28" s="1"/>
  <c r="E58" i="28" a="1"/>
  <c r="E58" i="28" s="1"/>
  <c r="E43" i="28" a="1"/>
  <c r="E43" i="28" s="1"/>
  <c r="E51" i="28" a="1"/>
  <c r="E51" i="28" s="1"/>
  <c r="E59" i="28" a="1"/>
  <c r="E59" i="28" s="1"/>
  <c r="E36" i="28" a="1"/>
  <c r="E36" i="28" s="1"/>
  <c r="E44" i="28" a="1"/>
  <c r="E44" i="28" s="1"/>
  <c r="E52" i="28" a="1"/>
  <c r="E52" i="28" s="1"/>
  <c r="E60" i="28" a="1"/>
  <c r="E60" i="28" s="1"/>
  <c r="BK5" i="28" a="1"/>
  <c r="BK5" i="28" s="1"/>
  <c r="CD6" i="28" a="1"/>
  <c r="CD6" i="28" s="1"/>
  <c r="CO6" i="28" a="1"/>
  <c r="CO6" i="28" s="1"/>
  <c r="BN6" i="28" a="1"/>
  <c r="BN6" i="28" s="1"/>
  <c r="CK6" i="28" a="1"/>
  <c r="CK6" i="28" s="1"/>
  <c r="CH6" i="28" a="1"/>
  <c r="CH6" i="28" s="1"/>
  <c r="CT5" i="28" a="1"/>
  <c r="CT5" i="28" s="1"/>
  <c r="BR5" i="28" a="1"/>
  <c r="BR5" i="28" s="1"/>
  <c r="BU5" i="28" a="1"/>
  <c r="BU5" i="28" s="1"/>
  <c r="CE6" i="28" a="1"/>
  <c r="CE6" i="28" s="1"/>
  <c r="BG6" i="28" a="1"/>
  <c r="BG6" i="28" s="1"/>
  <c r="BX6" i="28" a="1"/>
  <c r="BX6" i="28" s="1"/>
  <c r="CP6" i="28" a="1"/>
  <c r="CP6" i="28" s="1"/>
  <c r="CA6" i="28" a="1"/>
  <c r="CA6" i="28" s="1"/>
  <c r="BK6" i="28" a="1"/>
  <c r="BK6" i="28" s="1"/>
  <c r="BO5" i="28" a="1"/>
  <c r="BO5" i="28" s="1"/>
  <c r="CN5" i="28" a="1"/>
  <c r="CN5" i="28" s="1"/>
  <c r="BZ5" i="28" a="1"/>
  <c r="BZ5" i="28" s="1"/>
  <c r="BT5" i="28" a="1"/>
  <c r="BT5" i="28" s="1"/>
  <c r="CM5" i="28" a="1"/>
  <c r="CM5" i="28" s="1"/>
  <c r="CW5" i="28" a="1"/>
  <c r="CW5" i="28" s="1"/>
  <c r="CC5" i="28" a="1"/>
  <c r="CC5" i="28" s="1"/>
  <c r="BZ6" i="28" a="1"/>
  <c r="BZ6" i="28" s="1"/>
  <c r="CL6" i="28" a="1"/>
  <c r="CL6" i="28" s="1"/>
  <c r="BI6" i="28" a="1"/>
  <c r="BI6" i="28" s="1"/>
  <c r="CI6" i="28" a="1"/>
  <c r="CI6" i="28" s="1"/>
  <c r="BT6" i="28" a="1"/>
  <c r="BT6" i="28" s="1"/>
  <c r="CT6" i="28" a="1"/>
  <c r="CT6" i="28" s="1"/>
  <c r="BW5" i="28" a="1"/>
  <c r="BW5" i="28" s="1"/>
  <c r="CV5" i="28" a="1"/>
  <c r="CV5" i="28" s="1"/>
  <c r="CH5" i="28" a="1"/>
  <c r="CH5" i="28" s="1"/>
  <c r="CB5" i="28" a="1"/>
  <c r="CB5" i="28" s="1"/>
  <c r="E7" i="28" a="1"/>
  <c r="E7" i="28" s="1"/>
  <c r="D7" i="28" a="1"/>
  <c r="D7" i="28" s="1"/>
  <c r="BY5" i="28" a="1"/>
  <c r="BY5" i="28" s="1"/>
  <c r="BG5" i="28" a="1"/>
  <c r="BG5" i="28" s="1"/>
  <c r="BD5" i="28" a="1"/>
  <c r="BD5" i="28" s="1"/>
  <c r="BE5" i="28" s="1"/>
  <c r="BF5" i="28" s="1"/>
  <c r="CQ6" i="28" a="1"/>
  <c r="CQ6" i="28" s="1"/>
  <c r="BM6" i="28" a="1"/>
  <c r="BM6" i="28" s="1"/>
  <c r="BB6" i="28" s="1"/>
  <c r="CM6" i="28" a="1"/>
  <c r="CM6" i="28" s="1"/>
  <c r="BV5" i="28" a="1"/>
  <c r="BV5" i="28" s="1"/>
  <c r="CU5" i="28" a="1"/>
  <c r="CU5" i="28" s="1"/>
  <c r="CO5" i="28" a="1"/>
  <c r="CO5" i="28" s="1"/>
  <c r="BS5" i="28" a="1"/>
  <c r="BS5" i="28" s="1"/>
  <c r="BD42" i="28" a="1"/>
  <c r="BD42" i="28" s="1"/>
  <c r="CU6" i="28" a="1"/>
  <c r="CU6" i="28" s="1"/>
  <c r="BS6" i="28" a="1"/>
  <c r="BS6" i="28" s="1"/>
  <c r="CG5" i="28" a="1"/>
  <c r="CG5" i="28" s="1"/>
  <c r="BJ6" i="28" a="1"/>
  <c r="BJ6" i="28" s="1"/>
  <c r="CG6" i="28" a="1"/>
  <c r="CG6" i="28" s="1"/>
  <c r="BW6" i="28" a="1"/>
  <c r="BW6" i="28" s="1"/>
  <c r="CF6" i="28" a="1"/>
  <c r="CF6" i="28" s="1"/>
  <c r="CD5" i="28" a="1"/>
  <c r="CD5" i="28" s="1"/>
  <c r="BP5" i="28" a="1"/>
  <c r="BP5" i="28" s="1"/>
  <c r="CR5" i="28" a="1"/>
  <c r="CR5" i="28" s="1"/>
  <c r="CA5" i="28" a="1"/>
  <c r="CA5" i="28" s="1"/>
  <c r="BH5" i="28" a="1"/>
  <c r="BH5" i="28" s="1"/>
  <c r="E6" i="28" a="1"/>
  <c r="E6" i="28" s="1"/>
  <c r="F6" i="28" s="1"/>
  <c r="G6" i="28" s="1"/>
  <c r="CJ5" i="28" a="1"/>
  <c r="CJ5" i="28" s="1"/>
  <c r="CC6" i="28" a="1"/>
  <c r="CC6" i="28" s="1"/>
  <c r="BO6" i="28" a="1"/>
  <c r="BO6" i="28" s="1"/>
  <c r="BY6" i="28" a="1"/>
  <c r="BY6" i="28" s="1"/>
  <c r="CL5" i="28" a="1"/>
  <c r="CL5" i="28" s="1"/>
  <c r="BX5" i="28" a="1"/>
  <c r="BX5" i="28" s="1"/>
  <c r="BJ5" i="28" a="1"/>
  <c r="BJ5" i="28" s="1"/>
  <c r="CI5" i="28" a="1"/>
  <c r="CI5" i="28" s="1"/>
  <c r="BL5" i="28" a="1"/>
  <c r="BL5" i="28" s="1"/>
  <c r="BN44" i="28" a="1"/>
  <c r="BN44" i="28" s="1"/>
  <c r="BD44" i="28" a="1"/>
  <c r="BD44" i="28" s="1"/>
  <c r="BN43" i="28" a="1"/>
  <c r="BN43" i="28" s="1"/>
  <c r="BD43" i="28" a="1"/>
  <c r="BD43" i="28" s="1"/>
  <c r="BN42" i="28" a="1"/>
  <c r="BN42" i="28" s="1"/>
  <c r="BN5" i="28" a="1"/>
  <c r="BN5" i="28" s="1"/>
  <c r="CZ186" i="28"/>
  <c r="CZ78" i="28"/>
  <c r="CZ159" i="28"/>
  <c r="CZ132" i="28"/>
  <c r="CZ105" i="28"/>
  <c r="CZ24" i="28"/>
  <c r="CZ51" i="28"/>
  <c r="DD75" i="28"/>
  <c r="DD48" i="28"/>
  <c r="DD20" i="28"/>
  <c r="BC7" i="28" a="1"/>
  <c r="BC7" i="28" s="1"/>
  <c r="BF1" i="28"/>
  <c r="H1" i="28"/>
  <c r="P40" i="22"/>
  <c r="BD7" i="28" a="1"/>
  <c r="BD7" i="28" s="1"/>
  <c r="B8" i="28"/>
  <c r="CV7" i="28" a="1"/>
  <c r="CV7" i="28" s="1"/>
  <c r="BJ7" i="28" a="1"/>
  <c r="BJ7" i="28" s="1"/>
  <c r="BQ7" i="28" a="1"/>
  <c r="BQ7" i="28" s="1"/>
  <c r="BX7" i="28" a="1"/>
  <c r="BX7" i="28" s="1"/>
  <c r="CE7" i="28" a="1"/>
  <c r="CE7" i="28" s="1"/>
  <c r="CM7" i="28" a="1"/>
  <c r="CM7" i="28" s="1"/>
  <c r="CW7" i="28" a="1"/>
  <c r="CW7" i="28" s="1"/>
  <c r="BL7" i="28" a="1"/>
  <c r="BL7" i="28" s="1"/>
  <c r="BS7" i="28" a="1"/>
  <c r="BS7" i="28" s="1"/>
  <c r="BZ7" i="28" a="1"/>
  <c r="BZ7" i="28" s="1"/>
  <c r="CG7" i="28" a="1"/>
  <c r="CG7" i="28" s="1"/>
  <c r="CO7" i="28" a="1"/>
  <c r="CO7" i="28" s="1"/>
  <c r="BM7" i="28" a="1"/>
  <c r="BM7" i="28" s="1"/>
  <c r="BB7" i="28" s="1"/>
  <c r="BT7" i="28" a="1"/>
  <c r="BT7" i="28" s="1"/>
  <c r="CA7" i="28" a="1"/>
  <c r="CA7" i="28" s="1"/>
  <c r="CH7" i="28" a="1"/>
  <c r="CH7" i="28" s="1"/>
  <c r="CR7" i="28" a="1"/>
  <c r="CR7" i="28" s="1"/>
  <c r="CS7" i="28" a="1"/>
  <c r="CS7" i="28" s="1"/>
  <c r="BH7" i="28" a="1"/>
  <c r="BH7" i="28" s="1"/>
  <c r="BN7" i="28" a="1"/>
  <c r="BN7" i="28" s="1"/>
  <c r="CC7" i="28" a="1"/>
  <c r="CC7" i="28" s="1"/>
  <c r="CJ7" i="28" a="1"/>
  <c r="CJ7" i="28" s="1"/>
  <c r="CQ7" i="28" a="1"/>
  <c r="CQ7" i="28" s="1"/>
  <c r="CT7" i="28" a="1"/>
  <c r="CT7" i="28" s="1"/>
  <c r="CU7" i="28" a="1"/>
  <c r="CU7" i="28" s="1"/>
  <c r="BO7" i="28" a="1"/>
  <c r="BO7" i="28" s="1"/>
  <c r="BU7" i="28" a="1"/>
  <c r="BU7" i="28" s="1"/>
  <c r="CK7" i="28" a="1"/>
  <c r="CK7" i="28" s="1"/>
  <c r="BG7" i="28" a="1"/>
  <c r="BG7" i="28" s="1"/>
  <c r="BV7" i="28" a="1"/>
  <c r="BV7" i="28" s="1"/>
  <c r="CL7" i="28" a="1"/>
  <c r="CL7" i="28" s="1"/>
  <c r="BI7" i="28" a="1"/>
  <c r="BI7" i="28" s="1"/>
  <c r="BW7" i="28" a="1"/>
  <c r="BW7" i="28" s="1"/>
  <c r="CN7" i="28" a="1"/>
  <c r="CN7" i="28" s="1"/>
  <c r="BY7" i="28" a="1"/>
  <c r="BY7" i="28" s="1"/>
  <c r="CP7" i="28" a="1"/>
  <c r="CP7" i="28" s="1"/>
  <c r="BP7" i="28" a="1"/>
  <c r="BP7" i="28" s="1"/>
  <c r="CB7" i="28" a="1"/>
  <c r="CB7" i="28" s="1"/>
  <c r="CD7" i="28" a="1"/>
  <c r="CD7" i="28" s="1"/>
  <c r="CI7" i="28" a="1"/>
  <c r="CI7" i="28" s="1"/>
  <c r="BK7" i="28" a="1"/>
  <c r="BK7" i="28" s="1"/>
  <c r="BR7" i="28" a="1"/>
  <c r="BR7" i="28" s="1"/>
  <c r="CF7" i="28" a="1"/>
  <c r="CF7" i="28" s="1"/>
  <c r="R14" i="12"/>
  <c r="A18" i="25"/>
  <c r="A19" i="25"/>
  <c r="A20" i="25"/>
  <c r="A17" i="25"/>
  <c r="I3" i="28" l="1"/>
  <c r="A31" i="12"/>
  <c r="A32" i="12" s="1"/>
  <c r="P41" i="22"/>
  <c r="C30" i="12"/>
  <c r="D30" i="12" s="1"/>
  <c r="C28" i="12"/>
  <c r="D28" i="12" s="1"/>
  <c r="C29" i="12"/>
  <c r="D29" i="12" s="1"/>
  <c r="I5" i="28" a="1"/>
  <c r="I5" i="28" s="1"/>
  <c r="I6" i="28" a="1"/>
  <c r="I6" i="28" s="1"/>
  <c r="CX6" i="28"/>
  <c r="Q5" i="11"/>
  <c r="I8" i="28" a="1"/>
  <c r="I8" i="28" s="1"/>
  <c r="E8" i="28" a="1"/>
  <c r="E8" i="28" s="1"/>
  <c r="H8" i="28" a="1"/>
  <c r="H8" i="28" s="1"/>
  <c r="D8" i="28" a="1"/>
  <c r="D8" i="28" s="1"/>
  <c r="BJ3" i="11"/>
  <c r="I7" i="28" a="1"/>
  <c r="I7" i="28" s="1"/>
  <c r="H42" i="28" a="1"/>
  <c r="H42" i="28" s="1"/>
  <c r="H50" i="28" a="1"/>
  <c r="H50" i="28" s="1"/>
  <c r="H58" i="28" a="1"/>
  <c r="H58" i="28" s="1"/>
  <c r="H43" i="28" a="1"/>
  <c r="H43" i="28" s="1"/>
  <c r="H51" i="28" a="1"/>
  <c r="H51" i="28" s="1"/>
  <c r="H59" i="28" a="1"/>
  <c r="H59" i="28" s="1"/>
  <c r="H36" i="28" a="1"/>
  <c r="H36" i="28" s="1"/>
  <c r="H44" i="28" a="1"/>
  <c r="H44" i="28" s="1"/>
  <c r="H52" i="28" a="1"/>
  <c r="H52" i="28" s="1"/>
  <c r="H60" i="28" a="1"/>
  <c r="H60" i="28" s="1"/>
  <c r="H37" i="28" a="1"/>
  <c r="H37" i="28" s="1"/>
  <c r="H45" i="28" a="1"/>
  <c r="H45" i="28" s="1"/>
  <c r="H53" i="28" a="1"/>
  <c r="H53" i="28" s="1"/>
  <c r="H61" i="28" a="1"/>
  <c r="H61" i="28" s="1"/>
  <c r="H38" i="28" a="1"/>
  <c r="H38" i="28" s="1"/>
  <c r="H46" i="28" a="1"/>
  <c r="H46" i="28" s="1"/>
  <c r="H54" i="28" a="1"/>
  <c r="H54" i="28" s="1"/>
  <c r="H62" i="28" a="1"/>
  <c r="H62" i="28" s="1"/>
  <c r="H39" i="28" a="1"/>
  <c r="H39" i="28" s="1"/>
  <c r="H47" i="28" a="1"/>
  <c r="H47" i="28" s="1"/>
  <c r="H55" i="28" a="1"/>
  <c r="H55" i="28" s="1"/>
  <c r="H63" i="28" a="1"/>
  <c r="H63" i="28" s="1"/>
  <c r="H40" i="28" a="1"/>
  <c r="H40" i="28" s="1"/>
  <c r="H48" i="28" a="1"/>
  <c r="H48" i="28" s="1"/>
  <c r="H56" i="28" a="1"/>
  <c r="H56" i="28" s="1"/>
  <c r="H5" i="28" a="1"/>
  <c r="H5" i="28" s="1"/>
  <c r="H41" i="28" a="1"/>
  <c r="H41" i="28" s="1"/>
  <c r="H49" i="28" a="1"/>
  <c r="H49" i="28" s="1"/>
  <c r="H57" i="28" a="1"/>
  <c r="H57" i="28" s="1"/>
  <c r="H6" i="28" a="1"/>
  <c r="H6" i="28" s="1"/>
  <c r="CX5" i="28"/>
  <c r="BD45" i="28" a="1"/>
  <c r="BD45" i="28" s="1"/>
  <c r="BN45" i="28" a="1"/>
  <c r="BN45" i="28" s="1"/>
  <c r="E5" i="32"/>
  <c r="BI3" i="11"/>
  <c r="CX7" i="28"/>
  <c r="R5" i="11"/>
  <c r="CZ160" i="28"/>
  <c r="CZ187" i="28"/>
  <c r="CZ133" i="28"/>
  <c r="CZ106" i="28"/>
  <c r="CZ79" i="28"/>
  <c r="CZ25" i="28"/>
  <c r="CZ52" i="28"/>
  <c r="J3" i="28"/>
  <c r="DD76" i="28"/>
  <c r="DD49" i="28"/>
  <c r="DD21" i="28"/>
  <c r="I1" i="28"/>
  <c r="BG1" i="28"/>
  <c r="BC8" i="28" a="1"/>
  <c r="BC8" i="28" s="1"/>
  <c r="BD8" i="28" a="1"/>
  <c r="BD8" i="28" s="1"/>
  <c r="E6" i="32" s="1"/>
  <c r="B9" i="28"/>
  <c r="BH8" i="28" a="1"/>
  <c r="BH8" i="28" s="1"/>
  <c r="BO8" i="28" a="1"/>
  <c r="BO8" i="28" s="1"/>
  <c r="CC8" i="28" a="1"/>
  <c r="CC8" i="28" s="1"/>
  <c r="CJ8" i="28" a="1"/>
  <c r="CJ8" i="28" s="1"/>
  <c r="CQ8" i="28" a="1"/>
  <c r="CQ8" i="28" s="1"/>
  <c r="CR8" i="28" a="1"/>
  <c r="CR8" i="28" s="1"/>
  <c r="BJ8" i="28" a="1"/>
  <c r="BJ8" i="28" s="1"/>
  <c r="BQ8" i="28" a="1"/>
  <c r="BQ8" i="28" s="1"/>
  <c r="BX8" i="28" a="1"/>
  <c r="BX8" i="28" s="1"/>
  <c r="CL8" i="28" a="1"/>
  <c r="CL8" i="28" s="1"/>
  <c r="CS8" i="28" a="1"/>
  <c r="CS8" i="28" s="1"/>
  <c r="BK8" i="28" a="1"/>
  <c r="BK8" i="28" s="1"/>
  <c r="BR8" i="28" a="1"/>
  <c r="BR8" i="28" s="1"/>
  <c r="BY8" i="28" a="1"/>
  <c r="BY8" i="28" s="1"/>
  <c r="CE8" i="28" a="1"/>
  <c r="CE8" i="28" s="1"/>
  <c r="CT8" i="28" a="1"/>
  <c r="CT8" i="28" s="1"/>
  <c r="CU8" i="28" a="1"/>
  <c r="CU8" i="28" s="1"/>
  <c r="BM8" i="28" a="1"/>
  <c r="BM8" i="28" s="1"/>
  <c r="BT8" i="28" a="1"/>
  <c r="BT8" i="28" s="1"/>
  <c r="CG8" i="28" a="1"/>
  <c r="CG8" i="28" s="1"/>
  <c r="CN8" i="28" a="1"/>
  <c r="CN8" i="28" s="1"/>
  <c r="CV8" i="28" a="1"/>
  <c r="CV8" i="28" s="1"/>
  <c r="CW8" i="28" a="1"/>
  <c r="CW8" i="28" s="1"/>
  <c r="BU8" i="28" a="1"/>
  <c r="BU8" i="28" s="1"/>
  <c r="CH8" i="28" a="1"/>
  <c r="CH8" i="28" s="1"/>
  <c r="BV8" i="28" a="1"/>
  <c r="BV8" i="28" s="1"/>
  <c r="CK8" i="28" a="1"/>
  <c r="CK8" i="28" s="1"/>
  <c r="BG8" i="28" a="1"/>
  <c r="BG8" i="28" s="1"/>
  <c r="BW8" i="28" a="1"/>
  <c r="BW8" i="28" s="1"/>
  <c r="CM8" i="28" a="1"/>
  <c r="CM8" i="28" s="1"/>
  <c r="BI8" i="28" a="1"/>
  <c r="BI8" i="28" s="1"/>
  <c r="BZ8" i="28" a="1"/>
  <c r="BZ8" i="28" s="1"/>
  <c r="CO8" i="28" a="1"/>
  <c r="CO8" i="28" s="1"/>
  <c r="BL8" i="28" a="1"/>
  <c r="BL8" i="28" s="1"/>
  <c r="CA8" i="28" a="1"/>
  <c r="CA8" i="28" s="1"/>
  <c r="CP8" i="28" a="1"/>
  <c r="CP8" i="28" s="1"/>
  <c r="CF8" i="28" a="1"/>
  <c r="CF8" i="28" s="1"/>
  <c r="BN8" i="28" a="1"/>
  <c r="BN8" i="28" s="1"/>
  <c r="BS8" i="28" a="1"/>
  <c r="BS8" i="28" s="1"/>
  <c r="CB8" i="28" a="1"/>
  <c r="CB8" i="28" s="1"/>
  <c r="BP8" i="28" a="1"/>
  <c r="BP8" i="28" s="1"/>
  <c r="CD8" i="28" a="1"/>
  <c r="CD8" i="28" s="1"/>
  <c r="CI8" i="28" a="1"/>
  <c r="CI8" i="28" s="1"/>
  <c r="B31" i="12"/>
  <c r="C27" i="12"/>
  <c r="D27" i="12" s="1"/>
  <c r="P42" i="22" l="1"/>
  <c r="C31" i="12"/>
  <c r="D31" i="12" s="1"/>
  <c r="AS5" i="11"/>
  <c r="F6" i="32"/>
  <c r="J5" i="28" a="1"/>
  <c r="J5" i="28" s="1"/>
  <c r="J6" i="28" a="1"/>
  <c r="J6" i="28" s="1"/>
  <c r="J7" i="28" a="1"/>
  <c r="J7" i="28" s="1"/>
  <c r="F5" i="32"/>
  <c r="I9" i="28" a="1"/>
  <c r="I9" i="28" s="1"/>
  <c r="J9" i="28" a="1"/>
  <c r="J9" i="28" s="1"/>
  <c r="E9" i="28" a="1"/>
  <c r="E9" i="28" s="1"/>
  <c r="H9" i="28" a="1"/>
  <c r="H9" i="28" s="1"/>
  <c r="D9" i="28" a="1"/>
  <c r="D9" i="28" s="1"/>
  <c r="J8" i="28" a="1"/>
  <c r="J8" i="28" s="1"/>
  <c r="BD46" i="28" a="1"/>
  <c r="BD46" i="28" s="1"/>
  <c r="BN46" i="28" a="1"/>
  <c r="BN46" i="28" s="1"/>
  <c r="CX8" i="28"/>
  <c r="DE5" i="28"/>
  <c r="R6" i="11"/>
  <c r="CZ161" i="28"/>
  <c r="CZ188" i="28"/>
  <c r="CZ134" i="28"/>
  <c r="CZ80" i="28"/>
  <c r="CZ107" i="28"/>
  <c r="K3" i="28"/>
  <c r="K9" i="28" s="1" a="1"/>
  <c r="K9" i="28" s="1"/>
  <c r="CZ26" i="28"/>
  <c r="CZ53" i="28"/>
  <c r="DD77" i="28"/>
  <c r="DD50" i="28"/>
  <c r="DD22" i="28"/>
  <c r="BH1" i="28"/>
  <c r="J1" i="28"/>
  <c r="BC9" i="28" a="1"/>
  <c r="BC9" i="28" s="1"/>
  <c r="BD9" i="28" a="1"/>
  <c r="BD9" i="28" s="1"/>
  <c r="E7" i="32" s="1"/>
  <c r="B10" i="28"/>
  <c r="CR9" i="28" a="1"/>
  <c r="CR9" i="28" s="1"/>
  <c r="BL9" i="28" a="1"/>
  <c r="BL9" i="28" s="1"/>
  <c r="BR9" i="28" a="1"/>
  <c r="BR9" i="28" s="1"/>
  <c r="CD9" i="28" a="1"/>
  <c r="CD9" i="28" s="1"/>
  <c r="CK9" i="28" a="1"/>
  <c r="CK9" i="28" s="1"/>
  <c r="CS9" i="28" a="1"/>
  <c r="CS9" i="28" s="1"/>
  <c r="CT9" i="28" a="1"/>
  <c r="CT9" i="28" s="1"/>
  <c r="BG9" i="28" a="1"/>
  <c r="BG9" i="28" s="1"/>
  <c r="BM9" i="28" a="1"/>
  <c r="BM9" i="28" s="1"/>
  <c r="BZ9" i="28" a="1"/>
  <c r="BZ9" i="28" s="1"/>
  <c r="CF9" i="28" a="1"/>
  <c r="CF9" i="28" s="1"/>
  <c r="CM9" i="28" a="1"/>
  <c r="CM9" i="28" s="1"/>
  <c r="CU9" i="28" a="1"/>
  <c r="CU9" i="28" s="1"/>
  <c r="CV9" i="28" a="1"/>
  <c r="CV9" i="28" s="1"/>
  <c r="CW9" i="28" a="1"/>
  <c r="CW9" i="28" s="1"/>
  <c r="BJ9" i="28" a="1"/>
  <c r="BJ9" i="28" s="1"/>
  <c r="BV9" i="28" a="1"/>
  <c r="BV9" i="28" s="1"/>
  <c r="CB9" i="28" a="1"/>
  <c r="CB9" i="28" s="1"/>
  <c r="CI9" i="28" a="1"/>
  <c r="CI9" i="28" s="1"/>
  <c r="CP9" i="28" a="1"/>
  <c r="CP9" i="28" s="1"/>
  <c r="BI9" i="28" a="1"/>
  <c r="BI9" i="28" s="1"/>
  <c r="BS9" i="28" a="1"/>
  <c r="BS9" i="28" s="1"/>
  <c r="CN9" i="28" a="1"/>
  <c r="CN9" i="28" s="1"/>
  <c r="BQ9" i="28" a="1"/>
  <c r="BQ9" i="28" s="1"/>
  <c r="CC9" i="28" a="1"/>
  <c r="CC9" i="28" s="1"/>
  <c r="BH9" i="28" a="1"/>
  <c r="BH9" i="28" s="1"/>
  <c r="BT9" i="28" a="1"/>
  <c r="BT9" i="28" s="1"/>
  <c r="CE9" i="28" a="1"/>
  <c r="CE9" i="28" s="1"/>
  <c r="CQ9" i="28" a="1"/>
  <c r="CQ9" i="28" s="1"/>
  <c r="BU9" i="28" a="1"/>
  <c r="BU9" i="28" s="1"/>
  <c r="CG9" i="28" a="1"/>
  <c r="CG9" i="28" s="1"/>
  <c r="BK9" i="28" a="1"/>
  <c r="BK9" i="28" s="1"/>
  <c r="BW9" i="28" a="1"/>
  <c r="BW9" i="28" s="1"/>
  <c r="CH9" i="28" a="1"/>
  <c r="CH9" i="28" s="1"/>
  <c r="BN9" i="28" a="1"/>
  <c r="BN9" i="28" s="1"/>
  <c r="CJ9" i="28" a="1"/>
  <c r="CJ9" i="28" s="1"/>
  <c r="BP9" i="28" a="1"/>
  <c r="BP9" i="28" s="1"/>
  <c r="CO9" i="28" a="1"/>
  <c r="CO9" i="28" s="1"/>
  <c r="BX9" i="28" a="1"/>
  <c r="BX9" i="28" s="1"/>
  <c r="CA9" i="28" a="1"/>
  <c r="CA9" i="28" s="1"/>
  <c r="CL9" i="28" a="1"/>
  <c r="CL9" i="28" s="1"/>
  <c r="BO9" i="28" a="1"/>
  <c r="BO9" i="28" s="1"/>
  <c r="BY9" i="28" a="1"/>
  <c r="BY9" i="28" s="1"/>
  <c r="B32" i="12"/>
  <c r="C32" i="12" s="1"/>
  <c r="D32" i="12" s="1"/>
  <c r="A33" i="12"/>
  <c r="P43" i="22" l="1"/>
  <c r="AA3" i="22" s="1" a="1"/>
  <c r="AA3" i="22" s="1"/>
  <c r="BI5" i="11"/>
  <c r="J10" i="28" a="1"/>
  <c r="J10" i="28" s="1"/>
  <c r="I10" i="28" a="1"/>
  <c r="I10" i="28" s="1"/>
  <c r="K10" i="28" a="1"/>
  <c r="K10" i="28" s="1"/>
  <c r="H10" i="28" a="1"/>
  <c r="H10" i="28" s="1"/>
  <c r="D10" i="28" a="1"/>
  <c r="D10" i="28" s="1"/>
  <c r="E10" i="28" a="1"/>
  <c r="E10" i="28" s="1"/>
  <c r="L3" i="28"/>
  <c r="K5" i="28" a="1"/>
  <c r="K5" i="28" s="1"/>
  <c r="K6" i="28" a="1"/>
  <c r="K6" i="28" s="1"/>
  <c r="K7" i="28" a="1"/>
  <c r="K7" i="28" s="1"/>
  <c r="K8" i="28" a="1"/>
  <c r="K8" i="28" s="1"/>
  <c r="BJ5" i="11"/>
  <c r="BN47" i="28" a="1"/>
  <c r="BN47" i="28" s="1"/>
  <c r="BD47" i="28" a="1"/>
  <c r="BD47" i="28" s="1"/>
  <c r="F7" i="32"/>
  <c r="CX9" i="28"/>
  <c r="DE6" i="28"/>
  <c r="DE33" i="28"/>
  <c r="R7" i="11"/>
  <c r="CZ189" i="28"/>
  <c r="CZ162" i="28"/>
  <c r="CZ81" i="28"/>
  <c r="CZ135" i="28"/>
  <c r="CZ108" i="28"/>
  <c r="CZ27" i="28"/>
  <c r="CZ54" i="28"/>
  <c r="DD78" i="28"/>
  <c r="DD51" i="28"/>
  <c r="DD23" i="28"/>
  <c r="K1" i="28"/>
  <c r="BI1" i="28"/>
  <c r="BC10" i="28" a="1"/>
  <c r="BC10" i="28" s="1"/>
  <c r="BD10" i="28" a="1"/>
  <c r="BD10" i="28" s="1"/>
  <c r="E8" i="32" s="1"/>
  <c r="B11" i="28"/>
  <c r="CT10" i="28" a="1"/>
  <c r="CT10" i="28" s="1"/>
  <c r="CU10" i="28" a="1"/>
  <c r="CU10" i="28" s="1"/>
  <c r="CV10" i="28" a="1"/>
  <c r="CV10" i="28" s="1"/>
  <c r="CW10" i="28" a="1"/>
  <c r="CW10" i="28" s="1"/>
  <c r="CR10" i="28" a="1"/>
  <c r="CR10" i="28" s="1"/>
  <c r="CS10" i="28" a="1"/>
  <c r="CS10" i="28" s="1"/>
  <c r="BL10" i="28" a="1"/>
  <c r="BL10" i="28" s="1"/>
  <c r="BS10" i="28" a="1"/>
  <c r="BS10" i="28" s="1"/>
  <c r="BZ10" i="28" a="1"/>
  <c r="BZ10" i="28" s="1"/>
  <c r="CF10" i="28" a="1"/>
  <c r="CF10" i="28" s="1"/>
  <c r="CM10" i="28" a="1"/>
  <c r="CM10" i="28" s="1"/>
  <c r="BT10" i="28" a="1"/>
  <c r="BT10" i="28" s="1"/>
  <c r="CI10" i="28" a="1"/>
  <c r="CI10" i="28" s="1"/>
  <c r="CQ10" i="28" a="1"/>
  <c r="CQ10" i="28" s="1"/>
  <c r="BM10" i="28" a="1"/>
  <c r="BM10" i="28" s="1"/>
  <c r="CB10" i="28" a="1"/>
  <c r="CB10" i="28" s="1"/>
  <c r="CJ10" i="28" a="1"/>
  <c r="CJ10" i="28" s="1"/>
  <c r="BU10" i="28" a="1"/>
  <c r="BU10" i="28" s="1"/>
  <c r="CC10" i="28" a="1"/>
  <c r="CC10" i="28" s="1"/>
  <c r="BG10" i="28" a="1"/>
  <c r="BG10" i="28" s="1"/>
  <c r="BN10" i="28" a="1"/>
  <c r="BN10" i="28" s="1"/>
  <c r="BV10" i="28" a="1"/>
  <c r="BV10" i="28" s="1"/>
  <c r="CK10" i="28" a="1"/>
  <c r="CK10" i="28" s="1"/>
  <c r="BJ10" i="28" a="1"/>
  <c r="BJ10" i="28" s="1"/>
  <c r="BY10" i="28" a="1"/>
  <c r="BY10" i="28" s="1"/>
  <c r="BO10" i="28" a="1"/>
  <c r="BO10" i="28" s="1"/>
  <c r="CD10" i="28" a="1"/>
  <c r="CD10" i="28" s="1"/>
  <c r="BP10" i="28" a="1"/>
  <c r="BP10" i="28" s="1"/>
  <c r="CE10" i="28" a="1"/>
  <c r="CE10" i="28" s="1"/>
  <c r="BR10" i="28" a="1"/>
  <c r="BR10" i="28" s="1"/>
  <c r="CH10" i="28" a="1"/>
  <c r="CH10" i="28" s="1"/>
  <c r="BH10" i="28" a="1"/>
  <c r="BH10" i="28" s="1"/>
  <c r="BW10" i="28" a="1"/>
  <c r="BW10" i="28" s="1"/>
  <c r="CL10" i="28" a="1"/>
  <c r="CL10" i="28" s="1"/>
  <c r="BI10" i="28" a="1"/>
  <c r="BI10" i="28" s="1"/>
  <c r="CP10" i="28" a="1"/>
  <c r="CP10" i="28" s="1"/>
  <c r="BK10" i="28" a="1"/>
  <c r="BK10" i="28" s="1"/>
  <c r="BQ10" i="28" a="1"/>
  <c r="BQ10" i="28" s="1"/>
  <c r="BX10" i="28" a="1"/>
  <c r="BX10" i="28" s="1"/>
  <c r="CG10" i="28" a="1"/>
  <c r="CG10" i="28" s="1"/>
  <c r="CN10" i="28" a="1"/>
  <c r="CN10" i="28" s="1"/>
  <c r="CA10" i="28" a="1"/>
  <c r="CA10" i="28" s="1"/>
  <c r="CO10" i="28" a="1"/>
  <c r="CO10" i="28" s="1"/>
  <c r="A34" i="12"/>
  <c r="B33" i="12"/>
  <c r="C33" i="12" s="1"/>
  <c r="D33" i="12" s="1"/>
  <c r="AN4" i="22" l="1" a="1"/>
  <c r="AN4" i="22" s="1"/>
  <c r="V4" i="22" a="1"/>
  <c r="V4" i="22" s="1"/>
  <c r="AR3" i="22" a="1"/>
  <c r="AR3" i="22" s="1"/>
  <c r="AF6" i="22" a="1"/>
  <c r="AF6" i="22" s="1"/>
  <c r="AX8" i="22" a="1"/>
  <c r="AX8" i="22" s="1"/>
  <c r="AB4" i="22" a="1"/>
  <c r="AB4" i="22" s="1"/>
  <c r="AJ3" i="22" a="1"/>
  <c r="AJ3" i="22" s="1"/>
  <c r="AA7" i="22" a="1"/>
  <c r="AA7" i="22" s="1"/>
  <c r="AF4" i="22" a="1"/>
  <c r="AF4" i="22" s="1"/>
  <c r="AL7" i="22" a="1"/>
  <c r="AL7" i="22" s="1"/>
  <c r="AK5" i="22" a="1"/>
  <c r="AK5" i="22" s="1"/>
  <c r="AQ5" i="22" a="1"/>
  <c r="AQ5" i="22" s="1"/>
  <c r="AI8" i="22" a="1"/>
  <c r="AI8" i="22" s="1"/>
  <c r="AZ5" i="22" a="1"/>
  <c r="AZ5" i="22" s="1"/>
  <c r="AV5" i="22" a="1"/>
  <c r="AV5" i="22" s="1"/>
  <c r="W7" i="22" a="1"/>
  <c r="W7" i="22" s="1"/>
  <c r="AB3" i="22" a="1"/>
  <c r="AB3" i="22" s="1"/>
  <c r="BA6" i="22" a="1"/>
  <c r="BA6" i="22" s="1"/>
  <c r="AR5" i="22" a="1"/>
  <c r="AR5" i="22" s="1"/>
  <c r="AS4" i="22" a="1"/>
  <c r="AS4" i="22" s="1"/>
  <c r="AP4" i="22" a="1"/>
  <c r="AP4" i="22" s="1"/>
  <c r="AG4" i="22" a="1"/>
  <c r="AG4" i="22" s="1"/>
  <c r="AE5" i="22" a="1"/>
  <c r="AE5" i="22" s="1"/>
  <c r="AK3" i="22" a="1"/>
  <c r="AK3" i="22" s="1"/>
  <c r="AX5" i="22" a="1"/>
  <c r="AX5" i="22" s="1"/>
  <c r="Z5" i="22" a="1"/>
  <c r="Z5" i="22" s="1"/>
  <c r="Z3" i="22" a="1"/>
  <c r="Z3" i="22" s="1"/>
  <c r="Z8" i="22" a="1"/>
  <c r="Z8" i="22" s="1"/>
  <c r="AC3" i="22" a="1"/>
  <c r="AC3" i="22" s="1"/>
  <c r="AS8" i="22" a="1"/>
  <c r="AS8" i="22" s="1"/>
  <c r="AL5" i="22" a="1"/>
  <c r="AL5" i="22" s="1"/>
  <c r="AH4" i="22" a="1"/>
  <c r="AH4" i="22" s="1"/>
  <c r="AP5" i="22" a="1"/>
  <c r="AP5" i="22" s="1"/>
  <c r="AV7" i="22" a="1"/>
  <c r="AV7" i="22" s="1"/>
  <c r="AU6" i="22" a="1"/>
  <c r="AU6" i="22" s="1"/>
  <c r="BB3" i="22" a="1"/>
  <c r="BB3" i="22" s="1"/>
  <c r="BA8" i="22" a="1"/>
  <c r="BA8" i="22" s="1"/>
  <c r="AS7" i="22" a="1"/>
  <c r="AS7" i="22" s="1"/>
  <c r="BB8" i="22" a="1"/>
  <c r="BB8" i="22" s="1"/>
  <c r="AW7" i="22" a="1"/>
  <c r="AW7" i="22" s="1"/>
  <c r="AT5" i="22" a="1"/>
  <c r="AT5" i="22" s="1"/>
  <c r="AR7" i="22" a="1"/>
  <c r="AR7" i="22" s="1"/>
  <c r="AR6" i="22" a="1"/>
  <c r="AR6" i="22" s="1"/>
  <c r="Z4" i="22" a="1"/>
  <c r="Z4" i="22" s="1"/>
  <c r="Y4" i="22" a="1"/>
  <c r="Y4" i="22" s="1"/>
  <c r="V5" i="22" a="1"/>
  <c r="V5" i="22" s="1"/>
  <c r="AT4" i="22" a="1"/>
  <c r="AT4" i="22" s="1"/>
  <c r="BA3" i="22" a="1"/>
  <c r="BA3" i="22" s="1"/>
  <c r="AI6" i="22" a="1"/>
  <c r="AI6" i="22" s="1"/>
  <c r="BA4" i="22" a="1"/>
  <c r="BA4" i="22" s="1"/>
  <c r="AE4" i="22" a="1"/>
  <c r="AE4" i="22" s="1"/>
  <c r="AF8" i="22" a="1"/>
  <c r="AF8" i="22" s="1"/>
  <c r="X4" i="22" a="1"/>
  <c r="X4" i="22" s="1"/>
  <c r="AD8" i="22" a="1"/>
  <c r="AD8" i="22" s="1"/>
  <c r="AJ5" i="22" a="1"/>
  <c r="AJ5" i="22" s="1"/>
  <c r="AR8" i="22" a="1"/>
  <c r="AR8" i="22" s="1"/>
  <c r="AN6" i="22" a="1"/>
  <c r="AN6" i="22" s="1"/>
  <c r="AQ6" i="22" a="1"/>
  <c r="AQ6" i="22" s="1"/>
  <c r="AT7" i="22" a="1"/>
  <c r="AT7" i="22" s="1"/>
  <c r="AB8" i="22" a="1"/>
  <c r="AB8" i="22" s="1"/>
  <c r="AA8" i="22" a="1"/>
  <c r="AA8" i="22" s="1"/>
  <c r="AC7" i="22" a="1"/>
  <c r="AC7" i="22" s="1"/>
  <c r="AL4" i="22" a="1"/>
  <c r="AL4" i="22" s="1"/>
  <c r="AH6" i="22" a="1"/>
  <c r="AH6" i="22" s="1"/>
  <c r="AB7" i="22" a="1"/>
  <c r="AB7" i="22" s="1"/>
  <c r="AT3" i="22" a="1"/>
  <c r="AT3" i="22" s="1"/>
  <c r="AE6" i="22" a="1"/>
  <c r="AE6" i="22" s="1"/>
  <c r="AJ8" i="22" a="1"/>
  <c r="AJ8" i="22" s="1"/>
  <c r="AP8" i="22" a="1"/>
  <c r="AP8" i="22" s="1"/>
  <c r="AU7" i="22" a="1"/>
  <c r="AU7" i="22" s="1"/>
  <c r="AE7" i="22" a="1"/>
  <c r="AE7" i="22" s="1"/>
  <c r="AY3" i="22" a="1"/>
  <c r="AY3" i="22" s="1"/>
  <c r="AS5" i="22" a="1"/>
  <c r="AS5" i="22" s="1"/>
  <c r="AU8" i="22" a="1"/>
  <c r="AU8" i="22" s="1"/>
  <c r="AR4" i="22" a="1"/>
  <c r="AR4" i="22" s="1"/>
  <c r="AG3" i="22" a="1"/>
  <c r="AG3" i="22" s="1"/>
  <c r="AZ4" i="22" a="1"/>
  <c r="AZ4" i="22" s="1"/>
  <c r="AO8" i="22" a="1"/>
  <c r="AO8" i="22" s="1"/>
  <c r="AJ7" i="22" a="1"/>
  <c r="AJ7" i="22" s="1"/>
  <c r="BA7" i="22" a="1"/>
  <c r="BA7" i="22" s="1"/>
  <c r="AI5" i="22" a="1"/>
  <c r="AI5" i="22" s="1"/>
  <c r="AP6" i="22" a="1"/>
  <c r="AP6" i="22" s="1"/>
  <c r="AJ6" i="22" a="1"/>
  <c r="AJ6" i="22" s="1"/>
  <c r="AN3" i="22" a="1"/>
  <c r="AN3" i="22" s="1"/>
  <c r="AM4" i="22" a="1"/>
  <c r="AM4" i="22" s="1"/>
  <c r="AG5" i="22" a="1"/>
  <c r="AG5" i="22" s="1"/>
  <c r="AW8" i="22" a="1"/>
  <c r="AW8" i="22" s="1"/>
  <c r="AX6" i="22" a="1"/>
  <c r="AX6" i="22" s="1"/>
  <c r="V6" i="22" a="1"/>
  <c r="V6" i="22" s="1"/>
  <c r="AY4" i="22" a="1"/>
  <c r="AY4" i="22" s="1"/>
  <c r="Z6" i="22" a="1"/>
  <c r="Z6" i="22" s="1"/>
  <c r="AU5" i="22" a="1"/>
  <c r="AU5" i="22" s="1"/>
  <c r="AA5" i="22" a="1"/>
  <c r="AA5" i="22" s="1"/>
  <c r="AM3" i="22" a="1"/>
  <c r="AM3" i="22" s="1"/>
  <c r="V8" i="22" a="1"/>
  <c r="V8" i="22" s="1"/>
  <c r="AC8" i="22" a="1"/>
  <c r="AC8" i="22" s="1"/>
  <c r="AO6" i="22" a="1"/>
  <c r="AO6" i="22" s="1"/>
  <c r="AY8" i="22" a="1"/>
  <c r="AY8" i="22" s="1"/>
  <c r="AZ3" i="22" a="1"/>
  <c r="AZ3" i="22" s="1"/>
  <c r="AT8" i="22" a="1"/>
  <c r="AT8" i="22" s="1"/>
  <c r="AP3" i="22" a="1"/>
  <c r="AP3" i="22" s="1"/>
  <c r="Y8" i="22" a="1"/>
  <c r="Y8" i="22" s="1"/>
  <c r="AB5" i="22" a="1"/>
  <c r="AB5" i="22" s="1"/>
  <c r="W6" i="22" a="1"/>
  <c r="W6" i="22" s="1"/>
  <c r="AN7" i="22" a="1"/>
  <c r="AN7" i="22" s="1"/>
  <c r="AZ8" i="22" a="1"/>
  <c r="AZ8" i="22" s="1"/>
  <c r="AX4" i="22" a="1"/>
  <c r="AX4" i="22" s="1"/>
  <c r="AQ8" i="22" a="1"/>
  <c r="AQ8" i="22" s="1"/>
  <c r="AG7" i="22" a="1"/>
  <c r="AG7" i="22" s="1"/>
  <c r="AG6" i="22" a="1"/>
  <c r="AG6" i="22" s="1"/>
  <c r="AI7" i="22" a="1"/>
  <c r="AI7" i="22" s="1"/>
  <c r="BB5" i="22" a="1"/>
  <c r="BB5" i="22" s="1"/>
  <c r="AV3" i="22" a="1"/>
  <c r="AV3" i="22" s="1"/>
  <c r="AZ6" i="22" a="1"/>
  <c r="AZ6" i="22" s="1"/>
  <c r="W3" i="22" a="1"/>
  <c r="W3" i="22" s="1"/>
  <c r="AV4" i="22" a="1"/>
  <c r="AV4" i="22" s="1"/>
  <c r="AM7" i="22" a="1"/>
  <c r="AM7" i="22" s="1"/>
  <c r="AM8" i="22" a="1"/>
  <c r="AM8" i="22" s="1"/>
  <c r="AQ7" i="22" a="1"/>
  <c r="AQ7" i="22" s="1"/>
  <c r="AL3" i="22" a="1"/>
  <c r="AL3" i="22" s="1"/>
  <c r="AH3" i="22" a="1"/>
  <c r="AH3" i="22" s="1"/>
  <c r="AF5" i="22" a="1"/>
  <c r="AF5" i="22" s="1"/>
  <c r="AQ4" i="22" a="1"/>
  <c r="AQ4" i="22" s="1"/>
  <c r="AD5" i="22" a="1"/>
  <c r="AD5" i="22" s="1"/>
  <c r="AC6" i="22" a="1"/>
  <c r="AC6" i="22" s="1"/>
  <c r="AE3" i="22" a="1"/>
  <c r="AE3" i="22" s="1"/>
  <c r="AK8" i="22" a="1"/>
  <c r="AK8" i="22" s="1"/>
  <c r="AE8" i="22" a="1"/>
  <c r="AE8" i="22" s="1"/>
  <c r="AS3" i="22" a="1"/>
  <c r="AS3" i="22" s="1"/>
  <c r="BB7" i="22" a="1"/>
  <c r="BB7" i="22" s="1"/>
  <c r="X7" i="22" a="1"/>
  <c r="X7" i="22" s="1"/>
  <c r="X6" i="22" a="1"/>
  <c r="X6" i="22" s="1"/>
  <c r="AO5" i="22" a="1"/>
  <c r="AO5" i="22" s="1"/>
  <c r="AH7" i="22" a="1"/>
  <c r="AH7" i="22" s="1"/>
  <c r="AA6" i="22" a="1"/>
  <c r="AA6" i="22" s="1"/>
  <c r="AC4" i="22" a="1"/>
  <c r="AC4" i="22" s="1"/>
  <c r="AC13" i="22" s="1"/>
  <c r="AN8" i="22" a="1"/>
  <c r="AN8" i="22" s="1"/>
  <c r="AO7" i="22" a="1"/>
  <c r="AO7" i="22" s="1"/>
  <c r="AI3" i="22" a="1"/>
  <c r="AI3" i="22" s="1"/>
  <c r="BA5" i="22" a="1"/>
  <c r="BA5" i="22" s="1"/>
  <c r="AW6" i="22" a="1"/>
  <c r="AW6" i="22" s="1"/>
  <c r="AV8" i="22" a="1"/>
  <c r="AV8" i="22" s="1"/>
  <c r="AW3" i="22" a="1"/>
  <c r="AW3" i="22" s="1"/>
  <c r="AQ3" i="22" a="1"/>
  <c r="AQ3" i="22" s="1"/>
  <c r="AD6" i="22" a="1"/>
  <c r="AD6" i="22" s="1"/>
  <c r="AM6" i="22" a="1"/>
  <c r="AM6" i="22" s="1"/>
  <c r="AA4" i="22" a="1"/>
  <c r="AA4" i="22" s="1"/>
  <c r="AD3" i="22" a="1"/>
  <c r="AD3" i="22" s="1"/>
  <c r="X8" i="22" a="1"/>
  <c r="X8" i="22" s="1"/>
  <c r="AO4" i="22" a="1"/>
  <c r="AO4" i="22" s="1"/>
  <c r="V3" i="22" a="1"/>
  <c r="V3" i="22" s="1"/>
  <c r="AU3" i="22" a="1"/>
  <c r="AU3" i="22" s="1"/>
  <c r="AL6" i="22" a="1"/>
  <c r="AL6" i="22" s="1"/>
  <c r="AH5" i="22" a="1"/>
  <c r="AH5" i="22" s="1"/>
  <c r="Z7" i="22" a="1"/>
  <c r="Z7" i="22" s="1"/>
  <c r="Y7" i="22" a="1"/>
  <c r="Y7" i="22" s="1"/>
  <c r="V7" i="22" a="1"/>
  <c r="V7" i="22" s="1"/>
  <c r="AC5" i="22" a="1"/>
  <c r="AC5" i="22" s="1"/>
  <c r="AN5" i="22" a="1"/>
  <c r="AN5" i="22" s="1"/>
  <c r="AH8" i="22" a="1"/>
  <c r="AH8" i="22" s="1"/>
  <c r="X3" i="22" a="1"/>
  <c r="X3" i="22" s="1"/>
  <c r="AD4" i="22" a="1"/>
  <c r="AD4" i="22" s="1"/>
  <c r="AK4" i="22" a="1"/>
  <c r="AK4" i="22" s="1"/>
  <c r="X5" i="22" a="1"/>
  <c r="X5" i="22" s="1"/>
  <c r="AX7" i="22" a="1"/>
  <c r="AX7" i="22" s="1"/>
  <c r="AK6" i="22" a="1"/>
  <c r="AK6" i="22" s="1"/>
  <c r="AY5" i="22" a="1"/>
  <c r="AY5" i="22" s="1"/>
  <c r="AU4" i="22" a="1"/>
  <c r="AU4" i="22" s="1"/>
  <c r="W4" i="22" a="1"/>
  <c r="W4" i="22" s="1"/>
  <c r="AF3" i="22" a="1"/>
  <c r="AF3" i="22" s="1"/>
  <c r="AV6" i="22" a="1"/>
  <c r="AV6" i="22" s="1"/>
  <c r="BB6" i="22" a="1"/>
  <c r="BB6" i="22" s="1"/>
  <c r="BB4" i="22" a="1"/>
  <c r="BB4" i="22" s="1"/>
  <c r="BB13" i="22" s="1"/>
  <c r="AY6" i="22" a="1"/>
  <c r="AY6" i="22" s="1"/>
  <c r="W5" i="22" a="1"/>
  <c r="W5" i="22" s="1"/>
  <c r="AW4" i="22" a="1"/>
  <c r="AW4" i="22" s="1"/>
  <c r="AS6" i="22" a="1"/>
  <c r="AS6" i="22" s="1"/>
  <c r="AF7" i="22" a="1"/>
  <c r="AF7" i="22" s="1"/>
  <c r="AD7" i="22" a="1"/>
  <c r="AD7" i="22" s="1"/>
  <c r="Y3" i="22" a="1"/>
  <c r="Y3" i="22" s="1"/>
  <c r="Y6" i="22" a="1"/>
  <c r="Y6" i="22" s="1"/>
  <c r="AO3" i="22" a="1"/>
  <c r="AO3" i="22" s="1"/>
  <c r="AM5" i="22" a="1"/>
  <c r="AM5" i="22" s="1"/>
  <c r="AW5" i="22" a="1"/>
  <c r="AW5" i="22" s="1"/>
  <c r="AJ4" i="22" a="1"/>
  <c r="AJ4" i="22" s="1"/>
  <c r="AT6" i="22" a="1"/>
  <c r="AT6" i="22" s="1"/>
  <c r="W8" i="22" a="1"/>
  <c r="W8" i="22" s="1"/>
  <c r="AL8" i="22" a="1"/>
  <c r="AL8" i="22" s="1"/>
  <c r="AZ7" i="22" a="1"/>
  <c r="AZ7" i="22" s="1"/>
  <c r="AB6" i="22" a="1"/>
  <c r="AB6" i="22" s="1"/>
  <c r="AK7" i="22" a="1"/>
  <c r="AK7" i="22" s="1"/>
  <c r="AG8" i="22" a="1"/>
  <c r="AG8" i="22" s="1"/>
  <c r="AX3" i="22" a="1"/>
  <c r="AX3" i="22" s="1"/>
  <c r="AI4" i="22" a="1"/>
  <c r="AI4" i="22" s="1"/>
  <c r="AP7" i="22" a="1"/>
  <c r="AP7" i="22" s="1"/>
  <c r="Y5" i="22" a="1"/>
  <c r="Y5" i="22" s="1"/>
  <c r="AY7" i="22" a="1"/>
  <c r="AY7" i="22" s="1"/>
  <c r="L5" i="28" a="1"/>
  <c r="L5" i="28" s="1"/>
  <c r="L6" i="28" a="1"/>
  <c r="L6" i="28" s="1"/>
  <c r="L7" i="28" a="1"/>
  <c r="L7" i="28" s="1"/>
  <c r="L8" i="28" a="1"/>
  <c r="L8" i="28" s="1"/>
  <c r="L9" i="28" a="1"/>
  <c r="L9" i="28" s="1"/>
  <c r="M3" i="28"/>
  <c r="N3" i="28" s="1"/>
  <c r="N11" i="28" s="1" a="1"/>
  <c r="N11" i="28" s="1"/>
  <c r="L11" i="28" a="1"/>
  <c r="L11" i="28" s="1"/>
  <c r="I11" i="28" a="1"/>
  <c r="I11" i="28" s="1"/>
  <c r="J11" i="28" a="1"/>
  <c r="J11" i="28" s="1"/>
  <c r="K11" i="28" a="1"/>
  <c r="K11" i="28" s="1"/>
  <c r="H11" i="28" a="1"/>
  <c r="H11" i="28" s="1"/>
  <c r="D11" i="28" a="1"/>
  <c r="D11" i="28" s="1"/>
  <c r="E11" i="28" a="1"/>
  <c r="E11" i="28" s="1"/>
  <c r="L10" i="28" a="1"/>
  <c r="L10" i="28" s="1"/>
  <c r="F8" i="32"/>
  <c r="BN48" i="28" a="1"/>
  <c r="BN48" i="28" s="1"/>
  <c r="BD48" i="28" a="1"/>
  <c r="BD48" i="28" s="1"/>
  <c r="DE34" i="28"/>
  <c r="DE7" i="28"/>
  <c r="DE61" i="28"/>
  <c r="CX10" i="28"/>
  <c r="R8" i="11"/>
  <c r="CZ190" i="28"/>
  <c r="CZ82" i="28"/>
  <c r="CZ136" i="28"/>
  <c r="CZ109" i="28"/>
  <c r="CZ163" i="28"/>
  <c r="CZ28" i="28"/>
  <c r="CZ55" i="28"/>
  <c r="DD79" i="28"/>
  <c r="DD52" i="28"/>
  <c r="DD24" i="28"/>
  <c r="L1" i="28"/>
  <c r="BJ1" i="28"/>
  <c r="BC11" i="28" a="1"/>
  <c r="BC11" i="28" s="1"/>
  <c r="BD11" i="28" a="1"/>
  <c r="BD11" i="28" s="1"/>
  <c r="E9" i="32" s="1"/>
  <c r="B12" i="28"/>
  <c r="CV11" i="28" a="1"/>
  <c r="CV11" i="28" s="1"/>
  <c r="CW11" i="28" a="1"/>
  <c r="CW11" i="28" s="1"/>
  <c r="CR11" i="28" a="1"/>
  <c r="CR11" i="28" s="1"/>
  <c r="CS11" i="28" a="1"/>
  <c r="CS11" i="28" s="1"/>
  <c r="CT11" i="28" a="1"/>
  <c r="CT11" i="28" s="1"/>
  <c r="BG11" i="28" a="1"/>
  <c r="BG11" i="28" s="1"/>
  <c r="BN11" i="28" a="1"/>
  <c r="BN11" i="28" s="1"/>
  <c r="BU11" i="28" a="1"/>
  <c r="BU11" i="28" s="1"/>
  <c r="CB11" i="28" a="1"/>
  <c r="CB11" i="28" s="1"/>
  <c r="CH11" i="28" a="1"/>
  <c r="CH11" i="28" s="1"/>
  <c r="CO11" i="28" a="1"/>
  <c r="CO11" i="28" s="1"/>
  <c r="CU11" i="28" a="1"/>
  <c r="CU11" i="28" s="1"/>
  <c r="BJ11" i="28" a="1"/>
  <c r="BJ11" i="28" s="1"/>
  <c r="BQ11" i="28" a="1"/>
  <c r="BQ11" i="28" s="1"/>
  <c r="BY11" i="28" a="1"/>
  <c r="BY11" i="28" s="1"/>
  <c r="CF11" i="28" a="1"/>
  <c r="CF11" i="28" s="1"/>
  <c r="CN11" i="28" a="1"/>
  <c r="CN11" i="28" s="1"/>
  <c r="BK11" i="28" a="1"/>
  <c r="BK11" i="28" s="1"/>
  <c r="BR11" i="28" a="1"/>
  <c r="BR11" i="28" s="1"/>
  <c r="BZ11" i="28" a="1"/>
  <c r="BZ11" i="28" s="1"/>
  <c r="CG11" i="28" a="1"/>
  <c r="CG11" i="28" s="1"/>
  <c r="CP11" i="28" a="1"/>
  <c r="CP11" i="28" s="1"/>
  <c r="BL11" i="28" a="1"/>
  <c r="BL11" i="28" s="1"/>
  <c r="BS11" i="28" a="1"/>
  <c r="BS11" i="28" s="1"/>
  <c r="CA11" i="28" a="1"/>
  <c r="CA11" i="28" s="1"/>
  <c r="CI11" i="28" a="1"/>
  <c r="CI11" i="28" s="1"/>
  <c r="CQ11" i="28" a="1"/>
  <c r="CQ11" i="28" s="1"/>
  <c r="BT11" i="28" a="1"/>
  <c r="BT11" i="28" s="1"/>
  <c r="CJ11" i="28" a="1"/>
  <c r="CJ11" i="28" s="1"/>
  <c r="BM11" i="28" a="1"/>
  <c r="BM11" i="28" s="1"/>
  <c r="CC11" i="28" a="1"/>
  <c r="CC11" i="28" s="1"/>
  <c r="CD11" i="28" a="1"/>
  <c r="CD11" i="28" s="1"/>
  <c r="BP11" i="28" a="1"/>
  <c r="BP11" i="28" s="1"/>
  <c r="CE11" i="28" a="1"/>
  <c r="CE11" i="28" s="1"/>
  <c r="CK11" i="28" a="1"/>
  <c r="CK11" i="28" s="1"/>
  <c r="BX11" i="28" a="1"/>
  <c r="BX11" i="28" s="1"/>
  <c r="BH11" i="28" a="1"/>
  <c r="BH11" i="28" s="1"/>
  <c r="CL11" i="28" a="1"/>
  <c r="CL11" i="28" s="1"/>
  <c r="BO11" i="28" a="1"/>
  <c r="BO11" i="28" s="1"/>
  <c r="BV11" i="28" a="1"/>
  <c r="BV11" i="28" s="1"/>
  <c r="CM11" i="28" a="1"/>
  <c r="CM11" i="28" s="1"/>
  <c r="BI11" i="28" a="1"/>
  <c r="BI11" i="28" s="1"/>
  <c r="BW11" i="28" a="1"/>
  <c r="BW11" i="28" s="1"/>
  <c r="B34" i="12"/>
  <c r="C34" i="12" s="1"/>
  <c r="D34" i="12" s="1"/>
  <c r="A35" i="12"/>
  <c r="E11" i="22"/>
  <c r="E7" i="22"/>
  <c r="E8" i="22"/>
  <c r="E10" i="22"/>
  <c r="E12" i="22"/>
  <c r="E13" i="22"/>
  <c r="E20" i="22"/>
  <c r="E21" i="22"/>
  <c r="E23" i="22"/>
  <c r="E24" i="22"/>
  <c r="E25" i="22"/>
  <c r="E32" i="22"/>
  <c r="E33" i="22"/>
  <c r="M11" i="28" l="1" a="1"/>
  <c r="M11" i="28" s="1"/>
  <c r="AH14" i="22"/>
  <c r="V14" i="22"/>
  <c r="K12" i="28" a="1"/>
  <c r="K12" i="28" s="1"/>
  <c r="J12" i="28" a="1"/>
  <c r="J12" i="28" s="1"/>
  <c r="I12" i="28" a="1"/>
  <c r="I12" i="28" s="1"/>
  <c r="L12" i="28" a="1"/>
  <c r="L12" i="28" s="1"/>
  <c r="M12" i="28" a="1"/>
  <c r="M12" i="28" s="1"/>
  <c r="N12" i="28" a="1"/>
  <c r="N12" i="28" s="1"/>
  <c r="H12" i="28" a="1"/>
  <c r="H12" i="28" s="1"/>
  <c r="D12" i="28" a="1"/>
  <c r="D12" i="28" s="1"/>
  <c r="E12" i="28" a="1"/>
  <c r="E12" i="28" s="1"/>
  <c r="F9" i="32"/>
  <c r="M5" i="28" a="1"/>
  <c r="M5" i="28" s="1"/>
  <c r="M6" i="28" a="1"/>
  <c r="M6" i="28" s="1"/>
  <c r="M7" i="28" a="1"/>
  <c r="M7" i="28" s="1"/>
  <c r="M8" i="28" a="1"/>
  <c r="M8" i="28" s="1"/>
  <c r="M9" i="28" a="1"/>
  <c r="M9" i="28" s="1"/>
  <c r="M10" i="28" a="1"/>
  <c r="M10" i="28" s="1"/>
  <c r="N5" i="28" a="1"/>
  <c r="N5" i="28" s="1"/>
  <c r="N6" i="28" a="1"/>
  <c r="N6" i="28" s="1"/>
  <c r="N7" i="28" a="1"/>
  <c r="N7" i="28" s="1"/>
  <c r="N8" i="28" a="1"/>
  <c r="N8" i="28" s="1"/>
  <c r="N9" i="28" a="1"/>
  <c r="N9" i="28" s="1"/>
  <c r="N10" i="28" a="1"/>
  <c r="N10" i="28" s="1"/>
  <c r="BN49" i="28" a="1"/>
  <c r="BN49" i="28" s="1"/>
  <c r="BD49" i="28" a="1"/>
  <c r="BD49" i="28" s="1"/>
  <c r="DE8" i="28"/>
  <c r="DE35" i="28"/>
  <c r="DE62" i="28"/>
  <c r="DE89" i="28"/>
  <c r="R9" i="11"/>
  <c r="CX11" i="28"/>
  <c r="CZ164" i="28"/>
  <c r="CZ191" i="28"/>
  <c r="CZ83" i="28"/>
  <c r="CZ110" i="28"/>
  <c r="CZ137" i="28"/>
  <c r="CZ29" i="28"/>
  <c r="CZ56" i="28"/>
  <c r="DD80" i="28"/>
  <c r="DD53" i="28"/>
  <c r="DD25" i="28"/>
  <c r="O3" i="28"/>
  <c r="M1" i="28"/>
  <c r="BK1" i="28"/>
  <c r="BC12" i="28" a="1"/>
  <c r="BC12" i="28" s="1"/>
  <c r="BD12" i="28" a="1"/>
  <c r="BD12" i="28" s="1"/>
  <c r="E10" i="32" s="1"/>
  <c r="B13" i="28"/>
  <c r="CR12" i="28" a="1"/>
  <c r="CR12" i="28" s="1"/>
  <c r="CS12" i="28" a="1"/>
  <c r="CS12" i="28" s="1"/>
  <c r="CT12" i="28" a="1"/>
  <c r="CT12" i="28" s="1"/>
  <c r="CU12" i="28" a="1"/>
  <c r="CU12" i="28" s="1"/>
  <c r="CV12" i="28" a="1"/>
  <c r="CV12" i="28" s="1"/>
  <c r="CW12" i="28" a="1"/>
  <c r="CW12" i="28" s="1"/>
  <c r="BI12" i="28" a="1"/>
  <c r="BI12" i="28" s="1"/>
  <c r="CD12" i="28" a="1"/>
  <c r="CD12" i="28" s="1"/>
  <c r="CK12" i="28" a="1"/>
  <c r="CK12" i="28" s="1"/>
  <c r="BG12" i="28" a="1"/>
  <c r="BG12" i="28" s="1"/>
  <c r="BO12" i="28" a="1"/>
  <c r="BO12" i="28" s="1"/>
  <c r="BW12" i="28" a="1"/>
  <c r="BW12" i="28" s="1"/>
  <c r="CN12" i="28" a="1"/>
  <c r="CN12" i="28" s="1"/>
  <c r="BH12" i="28" a="1"/>
  <c r="BH12" i="28" s="1"/>
  <c r="BP12" i="28" a="1"/>
  <c r="BP12" i="28" s="1"/>
  <c r="BX12" i="28" a="1"/>
  <c r="BX12" i="28" s="1"/>
  <c r="CF12" i="28" a="1"/>
  <c r="CF12" i="28" s="1"/>
  <c r="CO12" i="28" a="1"/>
  <c r="CO12" i="28" s="1"/>
  <c r="BJ12" i="28" a="1"/>
  <c r="BJ12" i="28" s="1"/>
  <c r="BQ12" i="28" a="1"/>
  <c r="BQ12" i="28" s="1"/>
  <c r="BY12" i="28" a="1"/>
  <c r="BY12" i="28" s="1"/>
  <c r="CG12" i="28" a="1"/>
  <c r="CG12" i="28" s="1"/>
  <c r="CP12" i="28" a="1"/>
  <c r="CP12" i="28" s="1"/>
  <c r="BK12" i="28" a="1"/>
  <c r="BK12" i="28" s="1"/>
  <c r="BR12" i="28" a="1"/>
  <c r="BR12" i="28" s="1"/>
  <c r="BZ12" i="28" a="1"/>
  <c r="BZ12" i="28" s="1"/>
  <c r="CH12" i="28" a="1"/>
  <c r="CH12" i="28" s="1"/>
  <c r="CQ12" i="28" a="1"/>
  <c r="CQ12" i="28" s="1"/>
  <c r="BL12" i="28" a="1"/>
  <c r="BL12" i="28" s="1"/>
  <c r="CA12" i="28" a="1"/>
  <c r="CA12" i="28" s="1"/>
  <c r="BM12" i="28" a="1"/>
  <c r="BM12" i="28" s="1"/>
  <c r="CB12" i="28" a="1"/>
  <c r="CB12" i="28" s="1"/>
  <c r="BN12" i="28" a="1"/>
  <c r="BN12" i="28" s="1"/>
  <c r="CE12" i="28" a="1"/>
  <c r="CE12" i="28" s="1"/>
  <c r="BS12" i="28" a="1"/>
  <c r="BS12" i="28" s="1"/>
  <c r="CI12" i="28" a="1"/>
  <c r="CI12" i="28" s="1"/>
  <c r="CM12" i="28" a="1"/>
  <c r="CM12" i="28" s="1"/>
  <c r="BT12" i="28" a="1"/>
  <c r="BT12" i="28" s="1"/>
  <c r="BU12" i="28" a="1"/>
  <c r="BU12" i="28" s="1"/>
  <c r="CC12" i="28" a="1"/>
  <c r="CC12" i="28" s="1"/>
  <c r="CJ12" i="28" a="1"/>
  <c r="CJ12" i="28" s="1"/>
  <c r="BV12" i="28" a="1"/>
  <c r="BV12" i="28" s="1"/>
  <c r="CL12" i="28" a="1"/>
  <c r="CL12" i="28" s="1"/>
  <c r="A36" i="12"/>
  <c r="B35" i="12"/>
  <c r="C35" i="12" s="1"/>
  <c r="D35" i="12" s="1"/>
  <c r="E3" i="22"/>
  <c r="E22" i="22"/>
  <c r="E9" i="22"/>
  <c r="E19" i="22"/>
  <c r="E30" i="22"/>
  <c r="E18" i="22"/>
  <c r="E5" i="22"/>
  <c r="E31" i="22"/>
  <c r="E6" i="22"/>
  <c r="E29" i="22"/>
  <c r="E17" i="22"/>
  <c r="E28" i="22"/>
  <c r="E27" i="22"/>
  <c r="E15" i="22"/>
  <c r="E16" i="22"/>
  <c r="E26" i="22"/>
  <c r="E14" i="22"/>
  <c r="P3" i="22"/>
  <c r="P4" i="22" s="1"/>
  <c r="P5" i="22" s="1"/>
  <c r="P6" i="22" s="1"/>
  <c r="P7" i="22" s="1"/>
  <c r="P8" i="22" s="1"/>
  <c r="P9" i="22" s="1"/>
  <c r="P10" i="22" s="1"/>
  <c r="P11" i="22" s="1"/>
  <c r="P12" i="22" s="1"/>
  <c r="P13" i="22" l="1"/>
  <c r="P14" i="22" s="1"/>
  <c r="P15" i="22" s="1"/>
  <c r="P16" i="22" s="1"/>
  <c r="P17" i="22" s="1"/>
  <c r="P18" i="22" s="1"/>
  <c r="P19" i="22" s="1"/>
  <c r="W12" i="22"/>
  <c r="X12" i="22"/>
  <c r="C3" i="22" s="1"/>
  <c r="Y12" i="22"/>
  <c r="F10" i="32"/>
  <c r="O5" i="28" a="1"/>
  <c r="O5" i="28" s="1"/>
  <c r="O6" i="28" a="1"/>
  <c r="O6" i="28" s="1"/>
  <c r="O7" i="28" a="1"/>
  <c r="O7" i="28" s="1"/>
  <c r="O8" i="28" a="1"/>
  <c r="O8" i="28" s="1"/>
  <c r="O9" i="28" a="1"/>
  <c r="O9" i="28" s="1"/>
  <c r="O10" i="28" a="1"/>
  <c r="O10" i="28" s="1"/>
  <c r="O11" i="28" a="1"/>
  <c r="O11" i="28" s="1"/>
  <c r="O12" i="28" a="1"/>
  <c r="O12" i="28" s="1"/>
  <c r="J13" i="28" a="1"/>
  <c r="J13" i="28" s="1"/>
  <c r="O13" i="28" a="1"/>
  <c r="O13" i="28" s="1"/>
  <c r="I13" i="28" a="1"/>
  <c r="I13" i="28" s="1"/>
  <c r="K13" i="28" a="1"/>
  <c r="K13" i="28" s="1"/>
  <c r="L13" i="28" a="1"/>
  <c r="L13" i="28" s="1"/>
  <c r="M13" i="28" a="1"/>
  <c r="M13" i="28" s="1"/>
  <c r="N13" i="28" a="1"/>
  <c r="N13" i="28" s="1"/>
  <c r="E13" i="28" a="1"/>
  <c r="E13" i="28" s="1"/>
  <c r="H13" i="28" a="1"/>
  <c r="H13" i="28" s="1"/>
  <c r="D13" i="28" a="1"/>
  <c r="D13" i="28" s="1"/>
  <c r="BN50" i="28" a="1"/>
  <c r="BN50" i="28" s="1"/>
  <c r="BD50" i="28" a="1"/>
  <c r="BD50" i="28" s="1"/>
  <c r="P3" i="28"/>
  <c r="P13" i="28" s="1" a="1"/>
  <c r="P13" i="28" s="1"/>
  <c r="DE117" i="28"/>
  <c r="DE63" i="28"/>
  <c r="DE9" i="28"/>
  <c r="DE90" i="28"/>
  <c r="DE36" i="28"/>
  <c r="CX12" i="28"/>
  <c r="DD173" i="28"/>
  <c r="DQ7" i="28" s="1"/>
  <c r="R10" i="11"/>
  <c r="CZ138" i="28"/>
  <c r="CZ84" i="28"/>
  <c r="CZ111" i="28"/>
  <c r="CZ192" i="28"/>
  <c r="CZ165" i="28"/>
  <c r="CZ30" i="28"/>
  <c r="CZ57" i="28"/>
  <c r="DD81" i="28"/>
  <c r="DD54" i="28"/>
  <c r="DD26" i="28"/>
  <c r="N1" i="28"/>
  <c r="BL1" i="28"/>
  <c r="BC13" i="28" a="1"/>
  <c r="BC13" i="28" s="1"/>
  <c r="BD13" i="28" a="1"/>
  <c r="BD13" i="28" s="1"/>
  <c r="E11" i="32" s="1"/>
  <c r="B14" i="28"/>
  <c r="CR13" i="28" a="1"/>
  <c r="CR13" i="28" s="1"/>
  <c r="CS13" i="28" a="1"/>
  <c r="CS13" i="28" s="1"/>
  <c r="CT13" i="28" a="1"/>
  <c r="CT13" i="28" s="1"/>
  <c r="CU13" i="28" a="1"/>
  <c r="CU13" i="28" s="1"/>
  <c r="CV13" i="28" a="1"/>
  <c r="CV13" i="28" s="1"/>
  <c r="CW13" i="28" a="1"/>
  <c r="CW13" i="28" s="1"/>
  <c r="BG13" i="28" a="1"/>
  <c r="BG13" i="28" s="1"/>
  <c r="BN13" i="28" a="1"/>
  <c r="BN13" i="28" s="1"/>
  <c r="BX13" i="28" a="1"/>
  <c r="BX13" i="28" s="1"/>
  <c r="CD13" i="28" a="1"/>
  <c r="CD13" i="28" s="1"/>
  <c r="CJ13" i="28" a="1"/>
  <c r="CJ13" i="28" s="1"/>
  <c r="BH13" i="28" a="1"/>
  <c r="BH13" i="28" s="1"/>
  <c r="CI13" i="28" a="1"/>
  <c r="CI13" i="28" s="1"/>
  <c r="CO13" i="28" a="1"/>
  <c r="CO13" i="28" s="1"/>
  <c r="BI13" i="28" a="1"/>
  <c r="BI13" i="28" s="1"/>
  <c r="BP13" i="28" a="1"/>
  <c r="BP13" i="28" s="1"/>
  <c r="BV13" i="28" a="1"/>
  <c r="BV13" i="28" s="1"/>
  <c r="CB13" i="28" a="1"/>
  <c r="CB13" i="28" s="1"/>
  <c r="CP13" i="28" a="1"/>
  <c r="CP13" i="28" s="1"/>
  <c r="BJ13" i="28" a="1"/>
  <c r="BJ13" i="28" s="1"/>
  <c r="BW13" i="28" a="1"/>
  <c r="BW13" i="28" s="1"/>
  <c r="CC13" i="28" a="1"/>
  <c r="CC13" i="28" s="1"/>
  <c r="CK13" i="28" a="1"/>
  <c r="CK13" i="28" s="1"/>
  <c r="CQ13" i="28" a="1"/>
  <c r="CQ13" i="28" s="1"/>
  <c r="BK13" i="28" a="1"/>
  <c r="BK13" i="28" s="1"/>
  <c r="BQ13" i="28" a="1"/>
  <c r="BQ13" i="28" s="1"/>
  <c r="BL13" i="28" a="1"/>
  <c r="BL13" i="28" s="1"/>
  <c r="BY13" i="28" a="1"/>
  <c r="BY13" i="28" s="1"/>
  <c r="CL13" i="28" a="1"/>
  <c r="CL13" i="28" s="1"/>
  <c r="BM13" i="28" a="1"/>
  <c r="BM13" i="28" s="1"/>
  <c r="BZ13" i="28" a="1"/>
  <c r="BZ13" i="28" s="1"/>
  <c r="CM13" i="28" a="1"/>
  <c r="CM13" i="28" s="1"/>
  <c r="BO13" i="28" a="1"/>
  <c r="BO13" i="28" s="1"/>
  <c r="CA13" i="28" a="1"/>
  <c r="CA13" i="28" s="1"/>
  <c r="CN13" i="28" a="1"/>
  <c r="CN13" i="28" s="1"/>
  <c r="BR13" i="28" a="1"/>
  <c r="BR13" i="28" s="1"/>
  <c r="CE13" i="28" a="1"/>
  <c r="CE13" i="28" s="1"/>
  <c r="BU13" i="28" a="1"/>
  <c r="BU13" i="28" s="1"/>
  <c r="CF13" i="28" a="1"/>
  <c r="CF13" i="28" s="1"/>
  <c r="CG13" i="28" a="1"/>
  <c r="CG13" i="28" s="1"/>
  <c r="BS13" i="28" a="1"/>
  <c r="BS13" i="28" s="1"/>
  <c r="BT13" i="28" a="1"/>
  <c r="BT13" i="28" s="1"/>
  <c r="CH13" i="28" a="1"/>
  <c r="CH13" i="28" s="1"/>
  <c r="B36" i="12"/>
  <c r="C36" i="12" s="1"/>
  <c r="D36" i="12" s="1"/>
  <c r="A37" i="12"/>
  <c r="A5" i="23"/>
  <c r="A6" i="23"/>
  <c r="A7" i="23"/>
  <c r="A4" i="23"/>
  <c r="C5" i="24"/>
  <c r="D5" i="24" s="1"/>
  <c r="H5" i="24"/>
  <c r="I5" i="24" s="1"/>
  <c r="L5" i="24"/>
  <c r="M5" i="24" s="1"/>
  <c r="Q5" i="24"/>
  <c r="R5" i="24" s="1"/>
  <c r="B71" i="23" s="1"/>
  <c r="C6" i="24"/>
  <c r="H6" i="24"/>
  <c r="L6" i="24"/>
  <c r="Q6" i="24"/>
  <c r="C7" i="24"/>
  <c r="H7" i="24"/>
  <c r="L7" i="24"/>
  <c r="Q7" i="24"/>
  <c r="C8" i="24"/>
  <c r="H8" i="24"/>
  <c r="L8" i="24"/>
  <c r="Q8" i="24"/>
  <c r="C9" i="24"/>
  <c r="H9" i="24"/>
  <c r="L9" i="24"/>
  <c r="Q9" i="24"/>
  <c r="C10" i="24"/>
  <c r="H10" i="24"/>
  <c r="L10" i="24"/>
  <c r="Q10" i="24"/>
  <c r="C11" i="24"/>
  <c r="H11" i="24"/>
  <c r="L11" i="24"/>
  <c r="Q11" i="24"/>
  <c r="C12" i="24"/>
  <c r="H12" i="24"/>
  <c r="L12" i="24"/>
  <c r="Q12" i="24"/>
  <c r="C13" i="24"/>
  <c r="H13" i="24"/>
  <c r="L13" i="24"/>
  <c r="Q13" i="24"/>
  <c r="C14" i="24"/>
  <c r="H14" i="24"/>
  <c r="L14" i="24"/>
  <c r="Q14" i="24"/>
  <c r="C15" i="24"/>
  <c r="H15" i="24"/>
  <c r="L15" i="24"/>
  <c r="Q15" i="24"/>
  <c r="C16" i="24"/>
  <c r="H16" i="24"/>
  <c r="L16" i="24"/>
  <c r="Q16" i="24"/>
  <c r="R17" i="24" s="1"/>
  <c r="C17" i="24"/>
  <c r="H17" i="24"/>
  <c r="L17" i="24"/>
  <c r="C18" i="24"/>
  <c r="H18" i="24"/>
  <c r="L18" i="24"/>
  <c r="Q18" i="24"/>
  <c r="R18" i="24" s="1"/>
  <c r="C19" i="24"/>
  <c r="H19" i="24"/>
  <c r="L19" i="24"/>
  <c r="Q19" i="24"/>
  <c r="C20" i="24"/>
  <c r="H20" i="24"/>
  <c r="L20" i="24"/>
  <c r="Q20" i="24"/>
  <c r="C21" i="24"/>
  <c r="L21" i="24"/>
  <c r="Q21" i="24"/>
  <c r="C22" i="24"/>
  <c r="L22" i="24"/>
  <c r="Q22" i="24"/>
  <c r="C23" i="24"/>
  <c r="L23" i="24"/>
  <c r="Q23" i="24"/>
  <c r="C24" i="24"/>
  <c r="L24" i="24"/>
  <c r="Q24" i="24"/>
  <c r="C25" i="24"/>
  <c r="L25" i="24"/>
  <c r="Q25" i="24"/>
  <c r="C26" i="24"/>
  <c r="L26" i="24"/>
  <c r="Q26" i="24"/>
  <c r="C27" i="24"/>
  <c r="L27" i="24"/>
  <c r="Q27" i="24"/>
  <c r="C28" i="24"/>
  <c r="L28" i="24"/>
  <c r="Q28" i="24"/>
  <c r="C29" i="24"/>
  <c r="L29" i="24"/>
  <c r="Q29" i="24"/>
  <c r="C30" i="24"/>
  <c r="L30" i="24"/>
  <c r="Q30" i="24"/>
  <c r="L31" i="24"/>
  <c r="Q31" i="24"/>
  <c r="L32" i="24"/>
  <c r="Q32" i="24"/>
  <c r="L33" i="24"/>
  <c r="Q33" i="24"/>
  <c r="L34" i="24"/>
  <c r="Q34" i="24"/>
  <c r="L35" i="24"/>
  <c r="Q35" i="24"/>
  <c r="L36" i="24"/>
  <c r="Q36" i="24"/>
  <c r="L37" i="24"/>
  <c r="Q37" i="24"/>
  <c r="L38" i="24"/>
  <c r="Q38" i="24"/>
  <c r="L39" i="24"/>
  <c r="Q39" i="24"/>
  <c r="L40" i="24"/>
  <c r="Q40" i="24"/>
  <c r="L41" i="24"/>
  <c r="Q41" i="24"/>
  <c r="L42" i="24"/>
  <c r="Q42" i="24"/>
  <c r="L43" i="24"/>
  <c r="Q43" i="24"/>
  <c r="L44" i="24"/>
  <c r="Q44" i="24"/>
  <c r="L45" i="24"/>
  <c r="Q45" i="24"/>
  <c r="L46" i="24"/>
  <c r="Q46" i="24"/>
  <c r="L47" i="24"/>
  <c r="Q47" i="24"/>
  <c r="L48" i="24"/>
  <c r="Q48" i="24"/>
  <c r="L49" i="24"/>
  <c r="Q49" i="24"/>
  <c r="L50" i="24"/>
  <c r="Q50" i="24"/>
  <c r="C51" i="24"/>
  <c r="D51" i="24" s="1"/>
  <c r="L51" i="24"/>
  <c r="Q51" i="24"/>
  <c r="C52" i="24"/>
  <c r="L52" i="24"/>
  <c r="Q52" i="24"/>
  <c r="C53" i="24"/>
  <c r="L53" i="24"/>
  <c r="Q53" i="24"/>
  <c r="C54" i="24"/>
  <c r="L54" i="24"/>
  <c r="Q54" i="24"/>
  <c r="C55" i="24"/>
  <c r="L55" i="24"/>
  <c r="Q55" i="24"/>
  <c r="C56" i="24"/>
  <c r="L56" i="24"/>
  <c r="Q56" i="24"/>
  <c r="C57" i="24"/>
  <c r="L57" i="24"/>
  <c r="Q57" i="24"/>
  <c r="C58" i="24"/>
  <c r="L58" i="24"/>
  <c r="Q58" i="24"/>
  <c r="C59" i="24"/>
  <c r="L59" i="24"/>
  <c r="Q59" i="24"/>
  <c r="C60" i="24"/>
  <c r="L60" i="24"/>
  <c r="Q60" i="24"/>
  <c r="C61" i="24"/>
  <c r="L61" i="24"/>
  <c r="Q61" i="24"/>
  <c r="C62" i="24"/>
  <c r="L62" i="24"/>
  <c r="Q62" i="24"/>
  <c r="C63" i="24"/>
  <c r="L63" i="24"/>
  <c r="Q63" i="24"/>
  <c r="C64" i="24"/>
  <c r="L64" i="24"/>
  <c r="Q64" i="24"/>
  <c r="C65" i="24"/>
  <c r="L65" i="24"/>
  <c r="Q65" i="24"/>
  <c r="C66" i="24"/>
  <c r="L66" i="24"/>
  <c r="Q66" i="24"/>
  <c r="C67" i="24"/>
  <c r="L67" i="24"/>
  <c r="Q67" i="24"/>
  <c r="C68" i="24"/>
  <c r="L68" i="24"/>
  <c r="Q68" i="24"/>
  <c r="C69" i="24"/>
  <c r="L69" i="24"/>
  <c r="Q69" i="24"/>
  <c r="C70" i="24"/>
  <c r="L70" i="24"/>
  <c r="Q70" i="24"/>
  <c r="C71" i="24"/>
  <c r="L71" i="24"/>
  <c r="Q71" i="24"/>
  <c r="C72" i="24"/>
  <c r="L72" i="24"/>
  <c r="Q72" i="24"/>
  <c r="C73" i="24"/>
  <c r="L73" i="24"/>
  <c r="Q73" i="24"/>
  <c r="C74" i="24"/>
  <c r="L74" i="24"/>
  <c r="Q74" i="24"/>
  <c r="C75" i="24"/>
  <c r="L75" i="24"/>
  <c r="Q75" i="24"/>
  <c r="C76" i="24"/>
  <c r="L76" i="24"/>
  <c r="Q76" i="24"/>
  <c r="C77" i="24"/>
  <c r="L77" i="24"/>
  <c r="Q77" i="24"/>
  <c r="C78" i="24"/>
  <c r="L78" i="24"/>
  <c r="Q78" i="24"/>
  <c r="C79" i="24"/>
  <c r="L79" i="24"/>
  <c r="Q79" i="24"/>
  <c r="C80" i="24"/>
  <c r="L80" i="24"/>
  <c r="Q80" i="24"/>
  <c r="C81" i="24"/>
  <c r="L81" i="24"/>
  <c r="Q81" i="24"/>
  <c r="C82" i="24"/>
  <c r="L82" i="24"/>
  <c r="Q82" i="24"/>
  <c r="C83" i="24"/>
  <c r="L83" i="24"/>
  <c r="Q83" i="24"/>
  <c r="C84" i="24"/>
  <c r="L84" i="24"/>
  <c r="Q84" i="24"/>
  <c r="C85" i="24"/>
  <c r="L85" i="24"/>
  <c r="Q85" i="24"/>
  <c r="C86" i="24"/>
  <c r="L86" i="24"/>
  <c r="Q86" i="24"/>
  <c r="C87" i="24"/>
  <c r="L87" i="24"/>
  <c r="Q87" i="24"/>
  <c r="C88" i="24"/>
  <c r="L88" i="24"/>
  <c r="Q88" i="24"/>
  <c r="C89" i="24"/>
  <c r="L89" i="24"/>
  <c r="Q89" i="24"/>
  <c r="C90" i="24"/>
  <c r="L90" i="24"/>
  <c r="Q90" i="24"/>
  <c r="C91" i="24"/>
  <c r="L91" i="24"/>
  <c r="Q91" i="24"/>
  <c r="C92" i="24"/>
  <c r="L92" i="24"/>
  <c r="Q92" i="24"/>
  <c r="C93" i="24"/>
  <c r="L93" i="24"/>
  <c r="Q93" i="24"/>
  <c r="C94" i="24"/>
  <c r="L94" i="24"/>
  <c r="Q94" i="24"/>
  <c r="C95" i="24"/>
  <c r="L95" i="24"/>
  <c r="P95" i="24"/>
  <c r="Q95" i="24" s="1"/>
  <c r="C96" i="24"/>
  <c r="L96" i="24"/>
  <c r="C97" i="24"/>
  <c r="L97" i="24"/>
  <c r="C98" i="24"/>
  <c r="L98" i="24"/>
  <c r="C99" i="24"/>
  <c r="L99" i="24"/>
  <c r="C100" i="24"/>
  <c r="L100" i="24"/>
  <c r="C101" i="24"/>
  <c r="L101" i="24"/>
  <c r="C102" i="24"/>
  <c r="L102" i="24"/>
  <c r="C103" i="24"/>
  <c r="L103" i="24"/>
  <c r="C104" i="24"/>
  <c r="L104" i="24"/>
  <c r="C105" i="24"/>
  <c r="L105" i="24"/>
  <c r="C106" i="24"/>
  <c r="L106" i="24"/>
  <c r="C107" i="24"/>
  <c r="L107" i="24"/>
  <c r="C108" i="24"/>
  <c r="L108" i="24"/>
  <c r="C109" i="24"/>
  <c r="L109" i="24"/>
  <c r="C110" i="24"/>
  <c r="L110" i="24"/>
  <c r="C111" i="24"/>
  <c r="L111" i="24"/>
  <c r="C112" i="24"/>
  <c r="L112" i="24"/>
  <c r="C113" i="24"/>
  <c r="L113" i="24"/>
  <c r="C114" i="24"/>
  <c r="L114" i="24"/>
  <c r="B9" i="23"/>
  <c r="B70" i="23" s="1"/>
  <c r="B131" i="23" s="1"/>
  <c r="C9" i="23"/>
  <c r="C70" i="23" s="1"/>
  <c r="C131" i="23" s="1"/>
  <c r="D9" i="23"/>
  <c r="D70" i="23" s="1"/>
  <c r="D131" i="23" s="1"/>
  <c r="E9" i="23"/>
  <c r="E70" i="23" s="1"/>
  <c r="E131" i="23" s="1"/>
  <c r="F9" i="23"/>
  <c r="F70" i="23" s="1"/>
  <c r="F131" i="23" s="1"/>
  <c r="G9" i="23"/>
  <c r="G70" i="23" s="1"/>
  <c r="G131" i="23" s="1"/>
  <c r="H9" i="23"/>
  <c r="H70" i="23" s="1"/>
  <c r="H131" i="23" s="1"/>
  <c r="I9" i="23"/>
  <c r="I70" i="23" s="1"/>
  <c r="I131" i="23" s="1"/>
  <c r="J9" i="23"/>
  <c r="J70" i="23" s="1"/>
  <c r="J131" i="23" s="1"/>
  <c r="K9" i="23"/>
  <c r="K70" i="23" s="1"/>
  <c r="K131" i="23" s="1"/>
  <c r="L9" i="23"/>
  <c r="L70" i="23" s="1"/>
  <c r="L131" i="23" s="1"/>
  <c r="M9" i="23"/>
  <c r="M70" i="23" s="1"/>
  <c r="M131" i="23" s="1"/>
  <c r="N9" i="23"/>
  <c r="N70" i="23" s="1"/>
  <c r="N131" i="23" s="1"/>
  <c r="O9" i="23"/>
  <c r="O70" i="23" s="1"/>
  <c r="O131" i="23" s="1"/>
  <c r="P9" i="23"/>
  <c r="P70" i="23" s="1"/>
  <c r="P131" i="23" s="1"/>
  <c r="Q9" i="23"/>
  <c r="Q70" i="23" s="1"/>
  <c r="Q131" i="23" s="1"/>
  <c r="R9" i="23"/>
  <c r="R70" i="23" s="1"/>
  <c r="R131" i="23" s="1"/>
  <c r="S9" i="23"/>
  <c r="S70" i="23" s="1"/>
  <c r="S131" i="23" s="1"/>
  <c r="T9" i="23"/>
  <c r="T70" i="23" s="1"/>
  <c r="T131" i="23" s="1"/>
  <c r="U9" i="23"/>
  <c r="U70" i="23" s="1"/>
  <c r="U131" i="23" s="1"/>
  <c r="V9" i="23"/>
  <c r="V70" i="23" s="1"/>
  <c r="V131" i="23" s="1"/>
  <c r="W9" i="23"/>
  <c r="W70" i="23" s="1"/>
  <c r="W131" i="23" s="1"/>
  <c r="X9" i="23"/>
  <c r="X70" i="23" s="1"/>
  <c r="X131" i="23" s="1"/>
  <c r="Y9" i="23"/>
  <c r="Y70" i="23" s="1"/>
  <c r="Y131" i="23" s="1"/>
  <c r="Z9" i="23"/>
  <c r="Z70" i="23" s="1"/>
  <c r="Z131" i="23" s="1"/>
  <c r="AA9" i="23"/>
  <c r="AA70" i="23" s="1"/>
  <c r="AA131" i="23" s="1"/>
  <c r="AB9" i="23"/>
  <c r="AB70" i="23" s="1"/>
  <c r="AB131" i="23" s="1"/>
  <c r="AC9" i="23"/>
  <c r="AC70" i="23" s="1"/>
  <c r="AC131" i="23" s="1"/>
  <c r="AD9" i="23"/>
  <c r="AD70" i="23" s="1"/>
  <c r="AD131" i="23" s="1"/>
  <c r="AE9" i="23"/>
  <c r="AE70" i="23" s="1"/>
  <c r="AE131" i="23" s="1"/>
  <c r="AF9" i="23"/>
  <c r="AF70" i="23" s="1"/>
  <c r="AF131" i="23" s="1"/>
  <c r="AG9" i="23"/>
  <c r="AG70" i="23" s="1"/>
  <c r="AG131" i="23" s="1"/>
  <c r="AH9" i="23"/>
  <c r="AH70" i="23" s="1"/>
  <c r="AH131" i="23" s="1"/>
  <c r="AI9" i="23"/>
  <c r="AI70" i="23" s="1"/>
  <c r="AI131" i="23" s="1"/>
  <c r="AJ9" i="23"/>
  <c r="AJ70" i="23" s="1"/>
  <c r="AJ131" i="23" s="1"/>
  <c r="AK9" i="23"/>
  <c r="AK70" i="23" s="1"/>
  <c r="AK131" i="23" s="1"/>
  <c r="AL9" i="23"/>
  <c r="AL70" i="23" s="1"/>
  <c r="AL131" i="23" s="1"/>
  <c r="AM9" i="23"/>
  <c r="AM70" i="23" s="1"/>
  <c r="AM131" i="23" s="1"/>
  <c r="AN9" i="23"/>
  <c r="AN70" i="23" s="1"/>
  <c r="AN131" i="23" s="1"/>
  <c r="AO9" i="23"/>
  <c r="AO70" i="23" s="1"/>
  <c r="AO131" i="23" s="1"/>
  <c r="AP9" i="23"/>
  <c r="AP70" i="23" s="1"/>
  <c r="AP131" i="23" s="1"/>
  <c r="AQ9" i="23"/>
  <c r="AQ70" i="23" s="1"/>
  <c r="AQ131" i="23" s="1"/>
  <c r="AR9" i="23"/>
  <c r="AR70" i="23" s="1"/>
  <c r="AR131" i="23" s="1"/>
  <c r="AS9" i="23"/>
  <c r="AS70" i="23" s="1"/>
  <c r="AS131" i="23" s="1"/>
  <c r="AT9" i="23"/>
  <c r="AT70" i="23" s="1"/>
  <c r="AT131" i="23" s="1"/>
  <c r="AU9" i="23"/>
  <c r="AU70" i="23" s="1"/>
  <c r="AU131" i="23" s="1"/>
  <c r="AV9" i="23"/>
  <c r="AV70" i="23" s="1"/>
  <c r="AV131" i="23" s="1"/>
  <c r="AW9" i="23"/>
  <c r="AW70" i="23" s="1"/>
  <c r="AW131" i="23" s="1"/>
  <c r="AX9" i="23"/>
  <c r="AX70" i="23" s="1"/>
  <c r="AX131" i="23" s="1"/>
  <c r="AY9" i="23"/>
  <c r="AY70" i="23" s="1"/>
  <c r="AY131" i="23" s="1"/>
  <c r="AZ9" i="23"/>
  <c r="AZ70" i="23" s="1"/>
  <c r="AZ131" i="23" s="1"/>
  <c r="BA9" i="23"/>
  <c r="BA70" i="23" s="1"/>
  <c r="BA131" i="23" s="1"/>
  <c r="BB9" i="23"/>
  <c r="BB70" i="23" s="1"/>
  <c r="BB131" i="23" s="1"/>
  <c r="BC9" i="23"/>
  <c r="BC70" i="23" s="1"/>
  <c r="BC131" i="23" s="1"/>
  <c r="BD9" i="23"/>
  <c r="BD70" i="23" s="1"/>
  <c r="BD131" i="23" s="1"/>
  <c r="BE9" i="23"/>
  <c r="BE70" i="23" s="1"/>
  <c r="BE131" i="23" s="1"/>
  <c r="BF9" i="23"/>
  <c r="BF70" i="23" s="1"/>
  <c r="BF131" i="23" s="1"/>
  <c r="BG9" i="23"/>
  <c r="BG70" i="23" s="1"/>
  <c r="BG131" i="23" s="1"/>
  <c r="BH9" i="23"/>
  <c r="BH70" i="23" s="1"/>
  <c r="BH131" i="23" s="1"/>
  <c r="M16" i="24" l="1"/>
  <c r="M14" i="24"/>
  <c r="M10" i="24"/>
  <c r="M8" i="24"/>
  <c r="M6" i="24"/>
  <c r="R10" i="24"/>
  <c r="R8" i="24"/>
  <c r="R6" i="24"/>
  <c r="R61" i="24"/>
  <c r="D108" i="24"/>
  <c r="R46" i="24"/>
  <c r="R42" i="24"/>
  <c r="R38" i="24"/>
  <c r="R34" i="24"/>
  <c r="D69" i="24"/>
  <c r="D57" i="24"/>
  <c r="D89" i="24"/>
  <c r="D81" i="24"/>
  <c r="D73" i="24"/>
  <c r="D68" i="24"/>
  <c r="R54" i="24"/>
  <c r="R87" i="24"/>
  <c r="R55" i="24"/>
  <c r="R27" i="24"/>
  <c r="D25" i="24"/>
  <c r="D91" i="24"/>
  <c r="D65" i="24"/>
  <c r="R91" i="24"/>
  <c r="D100" i="24"/>
  <c r="D86" i="24"/>
  <c r="D113" i="24"/>
  <c r="D97" i="24"/>
  <c r="R89" i="24"/>
  <c r="D75" i="24"/>
  <c r="D70" i="24"/>
  <c r="D114" i="24"/>
  <c r="D111" i="24"/>
  <c r="D106" i="24"/>
  <c r="D93" i="24"/>
  <c r="D88" i="24"/>
  <c r="R73" i="24"/>
  <c r="R49" i="24"/>
  <c r="R41" i="24"/>
  <c r="D85" i="24"/>
  <c r="D77" i="24"/>
  <c r="D72" i="24"/>
  <c r="D59" i="24"/>
  <c r="D20" i="24"/>
  <c r="I18" i="24"/>
  <c r="I16" i="24"/>
  <c r="I14" i="24"/>
  <c r="I12" i="24"/>
  <c r="D99" i="24"/>
  <c r="D82" i="24"/>
  <c r="R75" i="24"/>
  <c r="R57" i="24"/>
  <c r="D30" i="24"/>
  <c r="R24" i="24"/>
  <c r="D22" i="24"/>
  <c r="R19" i="24"/>
  <c r="D18" i="24"/>
  <c r="D14" i="24"/>
  <c r="D112" i="24"/>
  <c r="D61" i="24"/>
  <c r="D56" i="24"/>
  <c r="M49" i="24"/>
  <c r="M37" i="24"/>
  <c r="R21" i="24"/>
  <c r="D104" i="24"/>
  <c r="D84" i="24"/>
  <c r="R77" i="24"/>
  <c r="D66" i="24"/>
  <c r="R59" i="24"/>
  <c r="D101" i="24"/>
  <c r="D96" i="24"/>
  <c r="R85" i="24"/>
  <c r="D80" i="24"/>
  <c r="R69" i="24"/>
  <c r="D64" i="24"/>
  <c r="I7" i="24"/>
  <c r="D83" i="24"/>
  <c r="D67" i="24"/>
  <c r="R50" i="24"/>
  <c r="R14" i="24"/>
  <c r="R12" i="24"/>
  <c r="D9" i="24"/>
  <c r="D7" i="24"/>
  <c r="D103" i="24"/>
  <c r="D87" i="24"/>
  <c r="D71" i="24"/>
  <c r="D55" i="24"/>
  <c r="D109" i="24"/>
  <c r="D90" i="24"/>
  <c r="R79" i="24"/>
  <c r="R95" i="24"/>
  <c r="D74" i="24"/>
  <c r="D58" i="24"/>
  <c r="D107" i="24"/>
  <c r="D92" i="24"/>
  <c r="R81" i="24"/>
  <c r="D76" i="24"/>
  <c r="R65" i="24"/>
  <c r="D60" i="24"/>
  <c r="R37" i="24"/>
  <c r="R26" i="24"/>
  <c r="D24" i="24"/>
  <c r="D105" i="24"/>
  <c r="D98" i="24"/>
  <c r="D95" i="24"/>
  <c r="D94" i="24"/>
  <c r="R83" i="24"/>
  <c r="D79" i="24"/>
  <c r="D78" i="24"/>
  <c r="R67" i="24"/>
  <c r="D63" i="24"/>
  <c r="D62" i="24"/>
  <c r="M45" i="24"/>
  <c r="D29" i="24"/>
  <c r="R15" i="24"/>
  <c r="I10" i="24"/>
  <c r="D110" i="24"/>
  <c r="D102" i="24"/>
  <c r="M36" i="24"/>
  <c r="R28" i="24"/>
  <c r="M26" i="24"/>
  <c r="M19" i="24"/>
  <c r="R13" i="24"/>
  <c r="R11" i="24"/>
  <c r="D10" i="24"/>
  <c r="I8" i="24"/>
  <c r="I6" i="24"/>
  <c r="M112" i="24"/>
  <c r="M104" i="24"/>
  <c r="M96" i="24"/>
  <c r="M88" i="24"/>
  <c r="M80" i="24"/>
  <c r="M72" i="24"/>
  <c r="M64" i="24"/>
  <c r="M56" i="24"/>
  <c r="D52" i="24"/>
  <c r="R30" i="24"/>
  <c r="D26" i="24"/>
  <c r="R23" i="24"/>
  <c r="I19" i="24"/>
  <c r="I17" i="24"/>
  <c r="R9" i="24"/>
  <c r="D8" i="24"/>
  <c r="D6" i="24"/>
  <c r="M30" i="24"/>
  <c r="M28" i="24"/>
  <c r="M23" i="24"/>
  <c r="R20" i="24"/>
  <c r="D19" i="24"/>
  <c r="D15" i="24"/>
  <c r="I13" i="24"/>
  <c r="R7" i="24"/>
  <c r="M114" i="24"/>
  <c r="M106" i="24"/>
  <c r="M98" i="24"/>
  <c r="R53" i="24"/>
  <c r="R45" i="24"/>
  <c r="R33" i="24"/>
  <c r="D28" i="24"/>
  <c r="R16" i="24"/>
  <c r="D13" i="24"/>
  <c r="D11" i="24"/>
  <c r="R25" i="24"/>
  <c r="R86" i="24"/>
  <c r="R78" i="24"/>
  <c r="R70" i="24"/>
  <c r="R62" i="24"/>
  <c r="R29" i="24"/>
  <c r="R22" i="24"/>
  <c r="R94" i="24"/>
  <c r="P96" i="24"/>
  <c r="M40" i="24"/>
  <c r="M44" i="24"/>
  <c r="M41" i="24"/>
  <c r="M32" i="24"/>
  <c r="M48" i="24"/>
  <c r="M12" i="24"/>
  <c r="M113" i="24"/>
  <c r="M95" i="24"/>
  <c r="M92" i="24"/>
  <c r="M87" i="24"/>
  <c r="M63" i="24"/>
  <c r="M24" i="24"/>
  <c r="M53" i="24"/>
  <c r="M11" i="24"/>
  <c r="M27" i="24"/>
  <c r="M25" i="24"/>
  <c r="M52" i="24"/>
  <c r="M111" i="24"/>
  <c r="M97" i="24"/>
  <c r="M31" i="24"/>
  <c r="M20" i="24"/>
  <c r="M15" i="24"/>
  <c r="M84" i="24"/>
  <c r="M79" i="24"/>
  <c r="M71" i="24"/>
  <c r="M68" i="24"/>
  <c r="M66" i="24"/>
  <c r="M33" i="24"/>
  <c r="M22" i="24"/>
  <c r="M13" i="24"/>
  <c r="M60" i="24"/>
  <c r="M58" i="24"/>
  <c r="M21" i="24"/>
  <c r="M55" i="24"/>
  <c r="M108" i="24"/>
  <c r="M105" i="24"/>
  <c r="M17" i="24"/>
  <c r="M9" i="24"/>
  <c r="M103" i="24"/>
  <c r="M100" i="24"/>
  <c r="M29" i="24"/>
  <c r="M90" i="24"/>
  <c r="M7" i="24"/>
  <c r="M82" i="24"/>
  <c r="M76" i="24"/>
  <c r="M74" i="24"/>
  <c r="M54" i="24"/>
  <c r="M18" i="24"/>
  <c r="I11" i="24"/>
  <c r="I9" i="24"/>
  <c r="I20" i="24"/>
  <c r="I15" i="24"/>
  <c r="D21" i="24"/>
  <c r="D16" i="24"/>
  <c r="D23" i="24"/>
  <c r="D27" i="24"/>
  <c r="D17" i="24"/>
  <c r="D12" i="24"/>
  <c r="F11" i="32"/>
  <c r="I14" i="28" a="1"/>
  <c r="I14" i="28" s="1"/>
  <c r="K14" i="28" a="1"/>
  <c r="K14" i="28" s="1"/>
  <c r="J14" i="28" a="1"/>
  <c r="J14" i="28" s="1"/>
  <c r="L14" i="28" a="1"/>
  <c r="L14" i="28" s="1"/>
  <c r="M14" i="28" a="1"/>
  <c r="M14" i="28" s="1"/>
  <c r="N14" i="28" a="1"/>
  <c r="N14" i="28" s="1"/>
  <c r="O14" i="28" a="1"/>
  <c r="O14" i="28" s="1"/>
  <c r="P14" i="28" a="1"/>
  <c r="P14" i="28" s="1"/>
  <c r="E14" i="28" a="1"/>
  <c r="E14" i="28" s="1"/>
  <c r="H14" i="28" a="1"/>
  <c r="H14" i="28" s="1"/>
  <c r="D14" i="28" a="1"/>
  <c r="D14" i="28" s="1"/>
  <c r="P5" i="28" a="1"/>
  <c r="P5" i="28" s="1"/>
  <c r="P6" i="28" a="1"/>
  <c r="P6" i="28" s="1"/>
  <c r="P7" i="28" a="1"/>
  <c r="P7" i="28" s="1"/>
  <c r="P8" i="28" a="1"/>
  <c r="P8" i="28" s="1"/>
  <c r="P9" i="28" a="1"/>
  <c r="P9" i="28" s="1"/>
  <c r="P10" i="28" a="1"/>
  <c r="P10" i="28" s="1"/>
  <c r="P11" i="28" a="1"/>
  <c r="P11" i="28" s="1"/>
  <c r="P12" i="28" a="1"/>
  <c r="P12" i="28" s="1"/>
  <c r="X3" i="11"/>
  <c r="Z3" i="11" s="1"/>
  <c r="X4" i="11"/>
  <c r="BD51" i="28" a="1"/>
  <c r="BD51" i="28" s="1"/>
  <c r="BN51" i="28" a="1"/>
  <c r="BN51" i="28" s="1"/>
  <c r="Q3" i="28"/>
  <c r="Q14" i="28" s="1" a="1"/>
  <c r="Q14" i="28" s="1"/>
  <c r="DE64" i="28"/>
  <c r="DE91" i="28"/>
  <c r="DE118" i="28"/>
  <c r="DE145" i="28"/>
  <c r="DE10" i="28"/>
  <c r="DE37" i="28"/>
  <c r="R11" i="11"/>
  <c r="CX13" i="28"/>
  <c r="CZ85" i="28"/>
  <c r="CZ193" i="28"/>
  <c r="CZ166" i="28"/>
  <c r="CZ112" i="28"/>
  <c r="CZ139" i="28"/>
  <c r="CZ31" i="28"/>
  <c r="CZ58" i="28"/>
  <c r="DD82" i="28"/>
  <c r="DD55" i="28"/>
  <c r="DD27" i="28"/>
  <c r="O1" i="28"/>
  <c r="BM1" i="28"/>
  <c r="BC14" i="28" a="1"/>
  <c r="BC14" i="28" s="1"/>
  <c r="BD14" i="28" a="1"/>
  <c r="BD14" i="28" s="1"/>
  <c r="E12" i="32" s="1"/>
  <c r="B15" i="28"/>
  <c r="CT14" i="28" a="1"/>
  <c r="CT14" i="28" s="1"/>
  <c r="CU14" i="28" a="1"/>
  <c r="CU14" i="28" s="1"/>
  <c r="CV14" i="28" a="1"/>
  <c r="CV14" i="28" s="1"/>
  <c r="CW14" i="28" a="1"/>
  <c r="CW14" i="28" s="1"/>
  <c r="CR14" i="28" a="1"/>
  <c r="CR14" i="28" s="1"/>
  <c r="BI14" i="28" a="1"/>
  <c r="BI14" i="28" s="1"/>
  <c r="CS14" i="28" a="1"/>
  <c r="CS14" i="28" s="1"/>
  <c r="BO14" i="28" a="1"/>
  <c r="BO14" i="28" s="1"/>
  <c r="BU14" i="28" a="1"/>
  <c r="BU14" i="28" s="1"/>
  <c r="CG14" i="28" a="1"/>
  <c r="CG14" i="28" s="1"/>
  <c r="BJ14" i="28" a="1"/>
  <c r="BJ14" i="28" s="1"/>
  <c r="BV14" i="28" a="1"/>
  <c r="BV14" i="28" s="1"/>
  <c r="CA14" i="28" a="1"/>
  <c r="CA14" i="28" s="1"/>
  <c r="CH14" i="28" a="1"/>
  <c r="CH14" i="28" s="1"/>
  <c r="CM14" i="28" a="1"/>
  <c r="CM14" i="28" s="1"/>
  <c r="BK14" i="28" a="1"/>
  <c r="BK14" i="28" s="1"/>
  <c r="BP14" i="28" a="1"/>
  <c r="BP14" i="28" s="1"/>
  <c r="CB14" i="28" a="1"/>
  <c r="CB14" i="28" s="1"/>
  <c r="CN14" i="28" a="1"/>
  <c r="CN14" i="28" s="1"/>
  <c r="BQ14" i="28" a="1"/>
  <c r="BQ14" i="28" s="1"/>
  <c r="BW14" i="28" a="1"/>
  <c r="BW14" i="28" s="1"/>
  <c r="CC14" i="28" a="1"/>
  <c r="CC14" i="28" s="1"/>
  <c r="CI14" i="28" a="1"/>
  <c r="CI14" i="28" s="1"/>
  <c r="BL14" i="28" a="1"/>
  <c r="BL14" i="28" s="1"/>
  <c r="BX14" i="28" a="1"/>
  <c r="BX14" i="28" s="1"/>
  <c r="CJ14" i="28" a="1"/>
  <c r="CJ14" i="28" s="1"/>
  <c r="BN14" i="28" a="1"/>
  <c r="BN14" i="28" s="1"/>
  <c r="BZ14" i="28" a="1"/>
  <c r="BZ14" i="28" s="1"/>
  <c r="CL14" i="28" a="1"/>
  <c r="CL14" i="28" s="1"/>
  <c r="BR14" i="28" a="1"/>
  <c r="BR14" i="28" s="1"/>
  <c r="CD14" i="28" a="1"/>
  <c r="CD14" i="28" s="1"/>
  <c r="CO14" i="28" a="1"/>
  <c r="CO14" i="28" s="1"/>
  <c r="BY14" i="28" a="1"/>
  <c r="BY14" i="28" s="1"/>
  <c r="CE14" i="28" a="1"/>
  <c r="CE14" i="28" s="1"/>
  <c r="BG14" i="28" a="1"/>
  <c r="BG14" i="28" s="1"/>
  <c r="BM14" i="28" a="1"/>
  <c r="BM14" i="28" s="1"/>
  <c r="CK14" i="28" a="1"/>
  <c r="CK14" i="28" s="1"/>
  <c r="BS14" i="28" a="1"/>
  <c r="BS14" i="28" s="1"/>
  <c r="CP14" i="28" a="1"/>
  <c r="CP14" i="28" s="1"/>
  <c r="CF14" i="28" a="1"/>
  <c r="CF14" i="28" s="1"/>
  <c r="CQ14" i="28" a="1"/>
  <c r="CQ14" i="28" s="1"/>
  <c r="BH14" i="28" a="1"/>
  <c r="BH14" i="28" s="1"/>
  <c r="BT14" i="28" a="1"/>
  <c r="BT14" i="28" s="1"/>
  <c r="B37" i="12"/>
  <c r="C37" i="12" s="1"/>
  <c r="D37" i="12" s="1"/>
  <c r="A38" i="12"/>
  <c r="R47" i="24"/>
  <c r="R48" i="24"/>
  <c r="M93" i="24"/>
  <c r="M94" i="24"/>
  <c r="M85" i="24"/>
  <c r="M86" i="24"/>
  <c r="M77" i="24"/>
  <c r="M78" i="24"/>
  <c r="M101" i="24"/>
  <c r="M102" i="24"/>
  <c r="M69" i="24"/>
  <c r="M70" i="24"/>
  <c r="M42" i="24"/>
  <c r="M43" i="24"/>
  <c r="M61" i="24"/>
  <c r="M62" i="24"/>
  <c r="M109" i="24"/>
  <c r="M110" i="24"/>
  <c r="M107" i="24"/>
  <c r="M99" i="24"/>
  <c r="M91" i="24"/>
  <c r="M83" i="24"/>
  <c r="M75" i="24"/>
  <c r="M67" i="24"/>
  <c r="M59" i="24"/>
  <c r="D53" i="24"/>
  <c r="D54" i="24"/>
  <c r="R43" i="24"/>
  <c r="R44" i="24"/>
  <c r="M38" i="24"/>
  <c r="M39" i="24"/>
  <c r="R92" i="24"/>
  <c r="M89" i="24"/>
  <c r="R84" i="24"/>
  <c r="M81" i="24"/>
  <c r="R76" i="24"/>
  <c r="M73" i="24"/>
  <c r="R68" i="24"/>
  <c r="M65" i="24"/>
  <c r="R60" i="24"/>
  <c r="M57" i="24"/>
  <c r="R71" i="24"/>
  <c r="R63" i="24"/>
  <c r="M50" i="24"/>
  <c r="M51" i="24"/>
  <c r="R39" i="24"/>
  <c r="R40" i="24"/>
  <c r="M34" i="24"/>
  <c r="M35" i="24"/>
  <c r="R90" i="24"/>
  <c r="R82" i="24"/>
  <c r="R74" i="24"/>
  <c r="R66" i="24"/>
  <c r="R58" i="24"/>
  <c r="R93" i="24"/>
  <c r="M46" i="24"/>
  <c r="M47" i="24"/>
  <c r="R35" i="24"/>
  <c r="R36" i="24"/>
  <c r="R88" i="24"/>
  <c r="R80" i="24"/>
  <c r="R72" i="24"/>
  <c r="R64" i="24"/>
  <c r="R56" i="24"/>
  <c r="R51" i="24"/>
  <c r="R52" i="24"/>
  <c r="R31" i="24"/>
  <c r="R32" i="24"/>
  <c r="Q96" i="24" l="1"/>
  <c r="R96" i="24" s="1"/>
  <c r="P97" i="24"/>
  <c r="AH45" i="41"/>
  <c r="AH46" i="41"/>
  <c r="J10" i="32"/>
  <c r="T10" i="32" s="1"/>
  <c r="AA10" i="32" s="1"/>
  <c r="BG37" i="32" s="1"/>
  <c r="AH47" i="41"/>
  <c r="Z4" i="11"/>
  <c r="AD41" i="41"/>
  <c r="F12" i="32"/>
  <c r="P15" i="28" a="1"/>
  <c r="P15" i="28" s="1"/>
  <c r="O15" i="28" a="1"/>
  <c r="O15" i="28" s="1"/>
  <c r="K15" i="28" a="1"/>
  <c r="K15" i="28" s="1"/>
  <c r="L15" i="28" a="1"/>
  <c r="L15" i="28" s="1"/>
  <c r="M15" i="28" a="1"/>
  <c r="M15" i="28" s="1"/>
  <c r="N15" i="28" a="1"/>
  <c r="N15" i="28" s="1"/>
  <c r="Q15" i="28" a="1"/>
  <c r="Q15" i="28" s="1"/>
  <c r="I15" i="28" a="1"/>
  <c r="I15" i="28" s="1"/>
  <c r="J15" i="28" a="1"/>
  <c r="J15" i="28" s="1"/>
  <c r="E15" i="28" a="1"/>
  <c r="E15" i="28" s="1"/>
  <c r="H15" i="28" a="1"/>
  <c r="H15" i="28" s="1"/>
  <c r="D15" i="28" a="1"/>
  <c r="D15" i="28" s="1"/>
  <c r="Q5" i="28" a="1"/>
  <c r="Q5" i="28" s="1"/>
  <c r="Q6" i="28" a="1"/>
  <c r="Q6" i="28" s="1"/>
  <c r="Q7" i="28" a="1"/>
  <c r="Q7" i="28" s="1"/>
  <c r="Q8" i="28" a="1"/>
  <c r="Q8" i="28" s="1"/>
  <c r="Q9" i="28" a="1"/>
  <c r="Q9" i="28" s="1"/>
  <c r="Q10" i="28" a="1"/>
  <c r="Q10" i="28" s="1"/>
  <c r="Q11" i="28" a="1"/>
  <c r="Q11" i="28" s="1"/>
  <c r="Q12" i="28" a="1"/>
  <c r="Q12" i="28" s="1"/>
  <c r="Q13" i="28" a="1"/>
  <c r="Q13" i="28" s="1"/>
  <c r="AP16" i="11"/>
  <c r="AD7" i="11"/>
  <c r="AD9" i="11"/>
  <c r="AD8" i="11"/>
  <c r="BD52" i="28" a="1"/>
  <c r="BD52" i="28" s="1"/>
  <c r="BN52" i="28" a="1"/>
  <c r="BN52" i="28" s="1"/>
  <c r="AD6" i="11"/>
  <c r="AD12" i="11"/>
  <c r="AD11" i="11"/>
  <c r="AI6" i="32"/>
  <c r="AT6" i="32" s="1"/>
  <c r="BB6" i="32" s="1"/>
  <c r="AI7" i="32"/>
  <c r="AT7" i="32" s="1"/>
  <c r="BB7" i="32" s="1"/>
  <c r="AI5" i="32"/>
  <c r="AT5" i="32" s="1"/>
  <c r="BB5" i="32" s="1"/>
  <c r="AI12" i="32"/>
  <c r="AT12" i="32" s="1"/>
  <c r="BB12" i="32" s="1"/>
  <c r="AI11" i="32"/>
  <c r="AT11" i="32" s="1"/>
  <c r="BB11" i="32" s="1"/>
  <c r="AI10" i="32"/>
  <c r="AT10" i="32" s="1"/>
  <c r="BB10" i="32" s="1"/>
  <c r="AI8" i="32"/>
  <c r="AT8" i="32" s="1"/>
  <c r="BB8" i="32" s="1"/>
  <c r="AI9" i="32"/>
  <c r="AT9" i="32" s="1"/>
  <c r="BB9" i="32" s="1"/>
  <c r="R3" i="28"/>
  <c r="R15" i="28" s="1" a="1"/>
  <c r="R15" i="28" s="1"/>
  <c r="DE11" i="28"/>
  <c r="DE65" i="28"/>
  <c r="DE173" i="28"/>
  <c r="DE146" i="28"/>
  <c r="DE38" i="28"/>
  <c r="DE119" i="28"/>
  <c r="DE92" i="28"/>
  <c r="CX14" i="28"/>
  <c r="R12" i="11"/>
  <c r="CZ113" i="28"/>
  <c r="CZ167" i="28"/>
  <c r="CZ194" i="28"/>
  <c r="CZ140" i="28"/>
  <c r="CZ86" i="28"/>
  <c r="CZ32" i="28"/>
  <c r="CZ59" i="28"/>
  <c r="DD83" i="28"/>
  <c r="DD56" i="28"/>
  <c r="DD28" i="28"/>
  <c r="P1" i="28"/>
  <c r="BN1" i="28"/>
  <c r="BC15" i="28" a="1"/>
  <c r="BC15" i="28" s="1"/>
  <c r="BD15" i="28" a="1"/>
  <c r="BD15" i="28" s="1"/>
  <c r="B16" i="28"/>
  <c r="CV15" i="28" a="1"/>
  <c r="CV15" i="28" s="1"/>
  <c r="CW15" i="28" a="1"/>
  <c r="CW15" i="28" s="1"/>
  <c r="CR15" i="28" a="1"/>
  <c r="CR15" i="28" s="1"/>
  <c r="CS15" i="28" a="1"/>
  <c r="CS15" i="28" s="1"/>
  <c r="CT15" i="28" a="1"/>
  <c r="CT15" i="28" s="1"/>
  <c r="CU15" i="28" a="1"/>
  <c r="CU15" i="28" s="1"/>
  <c r="BO15" i="28" a="1"/>
  <c r="BO15" i="28" s="1"/>
  <c r="BZ15" i="28" a="1"/>
  <c r="BZ15" i="28" s="1"/>
  <c r="CF15" i="28" a="1"/>
  <c r="CF15" i="28" s="1"/>
  <c r="CL15" i="28" a="1"/>
  <c r="CL15" i="28" s="1"/>
  <c r="BJ15" i="28" a="1"/>
  <c r="BJ15" i="28" s="1"/>
  <c r="BP15" i="28" a="1"/>
  <c r="BP15" i="28" s="1"/>
  <c r="BU15" i="28" a="1"/>
  <c r="BU15" i="28" s="1"/>
  <c r="CA15" i="28" a="1"/>
  <c r="CA15" i="28" s="1"/>
  <c r="CM15" i="28" a="1"/>
  <c r="CM15" i="28" s="1"/>
  <c r="BQ15" i="28" a="1"/>
  <c r="BQ15" i="28" s="1"/>
  <c r="BW15" i="28" a="1"/>
  <c r="BW15" i="28" s="1"/>
  <c r="CH15" i="28" a="1"/>
  <c r="CH15" i="28" s="1"/>
  <c r="CN15" i="28" a="1"/>
  <c r="CN15" i="28" s="1"/>
  <c r="BG15" i="28" a="1"/>
  <c r="BG15" i="28" s="1"/>
  <c r="BL15" i="28" a="1"/>
  <c r="BL15" i="28" s="1"/>
  <c r="BR15" i="28" a="1"/>
  <c r="BR15" i="28" s="1"/>
  <c r="CC15" i="28" a="1"/>
  <c r="CC15" i="28" s="1"/>
  <c r="CI15" i="28" a="1"/>
  <c r="CI15" i="28" s="1"/>
  <c r="CO15" i="28" a="1"/>
  <c r="CO15" i="28" s="1"/>
  <c r="BN15" i="28" a="1"/>
  <c r="BN15" i="28" s="1"/>
  <c r="CB15" i="28" a="1"/>
  <c r="CB15" i="28" s="1"/>
  <c r="BS15" i="28" a="1"/>
  <c r="BS15" i="28" s="1"/>
  <c r="BH15" i="28" a="1"/>
  <c r="BH15" i="28" s="1"/>
  <c r="CD15" i="28" a="1"/>
  <c r="CD15" i="28" s="1"/>
  <c r="CP15" i="28" a="1"/>
  <c r="CP15" i="28" s="1"/>
  <c r="BK15" i="28" a="1"/>
  <c r="BK15" i="28" s="1"/>
  <c r="BV15" i="28" a="1"/>
  <c r="BV15" i="28" s="1"/>
  <c r="CG15" i="28" a="1"/>
  <c r="CG15" i="28" s="1"/>
  <c r="BM15" i="28" a="1"/>
  <c r="BM15" i="28" s="1"/>
  <c r="BX15" i="28" a="1"/>
  <c r="BX15" i="28" s="1"/>
  <c r="CJ15" i="28" a="1"/>
  <c r="CJ15" i="28" s="1"/>
  <c r="BT15" i="28" a="1"/>
  <c r="BT15" i="28" s="1"/>
  <c r="BY15" i="28" a="1"/>
  <c r="BY15" i="28" s="1"/>
  <c r="CE15" i="28" a="1"/>
  <c r="CE15" i="28" s="1"/>
  <c r="CK15" i="28" a="1"/>
  <c r="CK15" i="28" s="1"/>
  <c r="CQ15" i="28" a="1"/>
  <c r="CQ15" i="28" s="1"/>
  <c r="BI15" i="28" a="1"/>
  <c r="BI15" i="28" s="1"/>
  <c r="B38" i="12"/>
  <c r="C38" i="12" s="1"/>
  <c r="D38" i="12" s="1"/>
  <c r="A39" i="12"/>
  <c r="Q97" i="24" l="1"/>
  <c r="R97" i="24" s="1"/>
  <c r="P98" i="24"/>
  <c r="O16" i="28" a="1"/>
  <c r="O16" i="28" s="1"/>
  <c r="K16" i="28" a="1"/>
  <c r="K16" i="28" s="1"/>
  <c r="L16" i="28" a="1"/>
  <c r="L16" i="28" s="1"/>
  <c r="M16" i="28" a="1"/>
  <c r="M16" i="28" s="1"/>
  <c r="N16" i="28" a="1"/>
  <c r="N16" i="28" s="1"/>
  <c r="P16" i="28" a="1"/>
  <c r="P16" i="28" s="1"/>
  <c r="Q16" i="28" a="1"/>
  <c r="Q16" i="28" s="1"/>
  <c r="R16" i="28" a="1"/>
  <c r="R16" i="28" s="1"/>
  <c r="I16" i="28" a="1"/>
  <c r="I16" i="28" s="1"/>
  <c r="E16" i="28" a="1"/>
  <c r="E16" i="28" s="1"/>
  <c r="J16" i="28" a="1"/>
  <c r="J16" i="28" s="1"/>
  <c r="H16" i="28" a="1"/>
  <c r="H16" i="28" s="1"/>
  <c r="D16" i="28" a="1"/>
  <c r="D16" i="28" s="1"/>
  <c r="R5" i="28" a="1"/>
  <c r="R5" i="28" s="1"/>
  <c r="R6" i="28" a="1"/>
  <c r="R6" i="28" s="1"/>
  <c r="R7" i="28" a="1"/>
  <c r="R7" i="28" s="1"/>
  <c r="R8" i="28" a="1"/>
  <c r="R8" i="28" s="1"/>
  <c r="R9" i="28" a="1"/>
  <c r="R9" i="28" s="1"/>
  <c r="R10" i="28" a="1"/>
  <c r="R10" i="28" s="1"/>
  <c r="R11" i="28" a="1"/>
  <c r="R11" i="28" s="1"/>
  <c r="R12" i="28" a="1"/>
  <c r="R12" i="28" s="1"/>
  <c r="R13" i="28" a="1"/>
  <c r="R13" i="28" s="1"/>
  <c r="R14" i="28" a="1"/>
  <c r="R14" i="28" s="1"/>
  <c r="AP3" i="11"/>
  <c r="X11" i="32"/>
  <c r="AG11" i="32" s="1"/>
  <c r="X12" i="32"/>
  <c r="AG12" i="32" s="1"/>
  <c r="X7" i="32"/>
  <c r="AG7" i="32" s="1"/>
  <c r="X6" i="32"/>
  <c r="AG6" i="32" s="1"/>
  <c r="X9" i="32"/>
  <c r="AG9" i="32" s="1"/>
  <c r="X8" i="32"/>
  <c r="AG8" i="32" s="1"/>
  <c r="X10" i="32"/>
  <c r="AG10" i="32" s="1"/>
  <c r="X5" i="32"/>
  <c r="AG5" i="32" s="1"/>
  <c r="AD1" i="11"/>
  <c r="S3" i="28"/>
  <c r="S16" i="28" s="1" a="1"/>
  <c r="S16" i="28" s="1"/>
  <c r="BD53" i="28" a="1"/>
  <c r="BD53" i="28" s="1"/>
  <c r="BN53" i="28" a="1"/>
  <c r="BN53" i="28" s="1"/>
  <c r="AI13" i="32"/>
  <c r="AT13" i="32" s="1"/>
  <c r="BB13" i="32" s="1"/>
  <c r="AD13" i="11"/>
  <c r="K7" i="32"/>
  <c r="K6" i="32"/>
  <c r="K10" i="32"/>
  <c r="K11" i="32"/>
  <c r="K9" i="32"/>
  <c r="K12" i="32"/>
  <c r="K8" i="32"/>
  <c r="E13" i="32"/>
  <c r="F13" i="32"/>
  <c r="DE66" i="28"/>
  <c r="DE174" i="28"/>
  <c r="DE93" i="28"/>
  <c r="DE147" i="28"/>
  <c r="DE12" i="28"/>
  <c r="DE39" i="28"/>
  <c r="DE120" i="28"/>
  <c r="R13" i="11"/>
  <c r="CX15" i="28"/>
  <c r="CZ168" i="28"/>
  <c r="CZ195" i="28"/>
  <c r="CZ87" i="28"/>
  <c r="CZ114" i="28"/>
  <c r="CZ60" i="28"/>
  <c r="CZ141" i="28"/>
  <c r="DD84" i="28"/>
  <c r="DD57" i="28"/>
  <c r="DD29" i="28"/>
  <c r="Q1" i="28"/>
  <c r="BO1" i="28"/>
  <c r="BC16" i="28" a="1"/>
  <c r="BC16" i="28" s="1"/>
  <c r="B17" i="28"/>
  <c r="CR16" i="28" a="1"/>
  <c r="CR16" i="28" s="1"/>
  <c r="CS16" i="28" a="1"/>
  <c r="CS16" i="28" s="1"/>
  <c r="CT16" i="28" a="1"/>
  <c r="CT16" i="28" s="1"/>
  <c r="CU16" i="28" a="1"/>
  <c r="CU16" i="28" s="1"/>
  <c r="CV16" i="28" a="1"/>
  <c r="CV16" i="28" s="1"/>
  <c r="CW16" i="28" a="1"/>
  <c r="CW16" i="28" s="1"/>
  <c r="BG16" i="28" a="1"/>
  <c r="BG16" i="28" s="1"/>
  <c r="BS16" i="28" a="1"/>
  <c r="BS16" i="28" s="1"/>
  <c r="CF16" i="28" a="1"/>
  <c r="CF16" i="28" s="1"/>
  <c r="CL16" i="28" a="1"/>
  <c r="CL16" i="28" s="1"/>
  <c r="BT16" i="28" a="1"/>
  <c r="BT16" i="28" s="1"/>
  <c r="BZ16" i="28" a="1"/>
  <c r="BZ16" i="28" s="1"/>
  <c r="CG16" i="28" a="1"/>
  <c r="CG16" i="28" s="1"/>
  <c r="CM16" i="28" a="1"/>
  <c r="CM16" i="28" s="1"/>
  <c r="BI16" i="28" a="1"/>
  <c r="BI16" i="28" s="1"/>
  <c r="BV16" i="28" a="1"/>
  <c r="BV16" i="28" s="1"/>
  <c r="CH16" i="28" a="1"/>
  <c r="CH16" i="28" s="1"/>
  <c r="CN16" i="28" a="1"/>
  <c r="CN16" i="28" s="1"/>
  <c r="BJ16" i="28" a="1"/>
  <c r="BJ16" i="28" s="1"/>
  <c r="BP16" i="28" a="1"/>
  <c r="BP16" i="28" s="1"/>
  <c r="BW16" i="28" a="1"/>
  <c r="BW16" i="28" s="1"/>
  <c r="CB16" i="28" a="1"/>
  <c r="CB16" i="28" s="1"/>
  <c r="CI16" i="28" a="1"/>
  <c r="CI16" i="28" s="1"/>
  <c r="CO16" i="28" a="1"/>
  <c r="CO16" i="28" s="1"/>
  <c r="BR16" i="28" a="1"/>
  <c r="BR16" i="28" s="1"/>
  <c r="CE16" i="28" a="1"/>
  <c r="CE16" i="28" s="1"/>
  <c r="BK16" i="28" a="1"/>
  <c r="BK16" i="28" s="1"/>
  <c r="BX16" i="28" a="1"/>
  <c r="BX16" i="28" s="1"/>
  <c r="CJ16" i="28" a="1"/>
  <c r="CJ16" i="28" s="1"/>
  <c r="BL16" i="28" a="1"/>
  <c r="BL16" i="28" s="1"/>
  <c r="BO16" i="28" a="1"/>
  <c r="BO16" i="28" s="1"/>
  <c r="CA16" i="28" a="1"/>
  <c r="CA16" i="28" s="1"/>
  <c r="CC16" i="28" a="1"/>
  <c r="CC16" i="28" s="1"/>
  <c r="CP16" i="28" a="1"/>
  <c r="CP16" i="28" s="1"/>
  <c r="BM16" i="28" a="1"/>
  <c r="BM16" i="28" s="1"/>
  <c r="BQ16" i="28" a="1"/>
  <c r="BQ16" i="28" s="1"/>
  <c r="BU16" i="28" a="1"/>
  <c r="BU16" i="28" s="1"/>
  <c r="BY16" i="28" a="1"/>
  <c r="BY16" i="28" s="1"/>
  <c r="CD16" i="28" a="1"/>
  <c r="CD16" i="28" s="1"/>
  <c r="BH16" i="28" a="1"/>
  <c r="BH16" i="28" s="1"/>
  <c r="CK16" i="28" a="1"/>
  <c r="CK16" i="28" s="1"/>
  <c r="CQ16" i="28" a="1"/>
  <c r="CQ16" i="28" s="1"/>
  <c r="B39" i="12"/>
  <c r="C39" i="12" s="1"/>
  <c r="D39" i="12" s="1"/>
  <c r="A40" i="12"/>
  <c r="BB14" i="22"/>
  <c r="H33" i="22" s="1"/>
  <c r="BA14" i="22"/>
  <c r="H32" i="22" s="1"/>
  <c r="AZ14" i="22"/>
  <c r="H31" i="22" s="1"/>
  <c r="AY14" i="22"/>
  <c r="H30" i="22" s="1"/>
  <c r="AX14" i="22"/>
  <c r="H29" i="22" s="1"/>
  <c r="AW14" i="22"/>
  <c r="H28" i="22" s="1"/>
  <c r="AV14" i="22"/>
  <c r="H27" i="22" s="1"/>
  <c r="AU14" i="22"/>
  <c r="H26" i="22" s="1"/>
  <c r="AT14" i="22"/>
  <c r="H25" i="22" s="1"/>
  <c r="AS14" i="22"/>
  <c r="H24" i="22" s="1"/>
  <c r="AR14" i="22"/>
  <c r="H23" i="22" s="1"/>
  <c r="AQ14" i="22"/>
  <c r="H22" i="22" s="1"/>
  <c r="AP14" i="22"/>
  <c r="H21" i="22" s="1"/>
  <c r="AO14" i="22"/>
  <c r="H20" i="22" s="1"/>
  <c r="AN14" i="22"/>
  <c r="H19" i="22" s="1"/>
  <c r="AM14" i="22"/>
  <c r="H18" i="22" s="1"/>
  <c r="AL14" i="22"/>
  <c r="H17" i="22" s="1"/>
  <c r="AK14" i="22"/>
  <c r="H16" i="22" s="1"/>
  <c r="AJ14" i="22"/>
  <c r="H15" i="22" s="1"/>
  <c r="AI14" i="22"/>
  <c r="H14" i="22" s="1"/>
  <c r="H13" i="22"/>
  <c r="AG14" i="22"/>
  <c r="H12" i="22" s="1"/>
  <c r="AF14" i="22"/>
  <c r="H11" i="22" s="1"/>
  <c r="AE14" i="22"/>
  <c r="H10" i="22" s="1"/>
  <c r="AD14" i="22"/>
  <c r="H9" i="22" s="1"/>
  <c r="AC14" i="22"/>
  <c r="H8" i="22" s="1"/>
  <c r="AB14" i="22"/>
  <c r="H7" i="22" s="1"/>
  <c r="AA14" i="22"/>
  <c r="H6" i="22" s="1"/>
  <c r="Z14" i="22"/>
  <c r="H5" i="22" s="1"/>
  <c r="Y14" i="22"/>
  <c r="H4" i="22" s="1"/>
  <c r="X14" i="22"/>
  <c r="H3" i="22" s="1"/>
  <c r="W14" i="22"/>
  <c r="V18" i="22"/>
  <c r="D33" i="22"/>
  <c r="BA13" i="22"/>
  <c r="D32" i="22" s="1"/>
  <c r="AZ13" i="22"/>
  <c r="D31" i="22" s="1"/>
  <c r="AY13" i="22"/>
  <c r="D30" i="22" s="1"/>
  <c r="AX13" i="22"/>
  <c r="D29" i="22" s="1"/>
  <c r="AW13" i="22"/>
  <c r="D28" i="22" s="1"/>
  <c r="AV13" i="22"/>
  <c r="D27" i="22" s="1"/>
  <c r="AU13" i="22"/>
  <c r="D26" i="22" s="1"/>
  <c r="AT13" i="22"/>
  <c r="D25" i="22" s="1"/>
  <c r="AS13" i="22"/>
  <c r="D24" i="22" s="1"/>
  <c r="AR13" i="22"/>
  <c r="D23" i="22" s="1"/>
  <c r="AQ13" i="22"/>
  <c r="D22" i="22" s="1"/>
  <c r="AP13" i="22"/>
  <c r="D21" i="22" s="1"/>
  <c r="AO13" i="22"/>
  <c r="D20" i="22" s="1"/>
  <c r="AN13" i="22"/>
  <c r="D19" i="22" s="1"/>
  <c r="AM13" i="22"/>
  <c r="D18" i="22" s="1"/>
  <c r="AL13" i="22"/>
  <c r="D17" i="22" s="1"/>
  <c r="AK13" i="22"/>
  <c r="D16" i="22" s="1"/>
  <c r="AJ13" i="22"/>
  <c r="D15" i="22" s="1"/>
  <c r="AI13" i="22"/>
  <c r="D14" i="22" s="1"/>
  <c r="AH13" i="22"/>
  <c r="D13" i="22" s="1"/>
  <c r="AG13" i="22"/>
  <c r="D12" i="22" s="1"/>
  <c r="AF13" i="22"/>
  <c r="D11" i="22" s="1"/>
  <c r="AE13" i="22"/>
  <c r="D10" i="22" s="1"/>
  <c r="AD13" i="22"/>
  <c r="D9" i="22" s="1"/>
  <c r="D8" i="22"/>
  <c r="AB13" i="22"/>
  <c r="D7" i="22" s="1"/>
  <c r="AA13" i="22"/>
  <c r="D6" i="22" s="1"/>
  <c r="Z13" i="22"/>
  <c r="D5" i="22" s="1"/>
  <c r="Y13" i="22"/>
  <c r="D4" i="22" s="1"/>
  <c r="X13" i="22"/>
  <c r="D3" i="22" s="1"/>
  <c r="W13" i="22"/>
  <c r="V13" i="22"/>
  <c r="C4" i="22"/>
  <c r="V17" i="22" l="1"/>
  <c r="V15" i="22"/>
  <c r="T3" i="28"/>
  <c r="T16" i="28" s="1" a="1"/>
  <c r="T16" i="28" s="1"/>
  <c r="J3" i="22"/>
  <c r="M17" i="22"/>
  <c r="Q98" i="24"/>
  <c r="R98" i="24" s="1"/>
  <c r="P99" i="24"/>
  <c r="N17" i="28" a="1"/>
  <c r="N17" i="28" s="1"/>
  <c r="P17" i="28" a="1"/>
  <c r="P17" i="28" s="1"/>
  <c r="L17" i="28" a="1"/>
  <c r="L17" i="28" s="1"/>
  <c r="M17" i="28" a="1"/>
  <c r="M17" i="28" s="1"/>
  <c r="O17" i="28" a="1"/>
  <c r="O17" i="28" s="1"/>
  <c r="Q17" i="28" a="1"/>
  <c r="Q17" i="28" s="1"/>
  <c r="R17" i="28" a="1"/>
  <c r="R17" i="28" s="1"/>
  <c r="I17" i="28" a="1"/>
  <c r="I17" i="28" s="1"/>
  <c r="S17" i="28" a="1"/>
  <c r="S17" i="28" s="1"/>
  <c r="J17" i="28" a="1"/>
  <c r="J17" i="28" s="1"/>
  <c r="T17" i="28" a="1"/>
  <c r="T17" i="28" s="1"/>
  <c r="K17" i="28" a="1"/>
  <c r="K17" i="28" s="1"/>
  <c r="E17" i="28" a="1"/>
  <c r="E17" i="28" s="1"/>
  <c r="H17" i="28" a="1"/>
  <c r="H17" i="28" s="1"/>
  <c r="D17" i="28" a="1"/>
  <c r="D17" i="28" s="1"/>
  <c r="T5" i="28" a="1"/>
  <c r="T5" i="28" s="1"/>
  <c r="T6" i="28" a="1"/>
  <c r="T6" i="28" s="1"/>
  <c r="T7" i="28" a="1"/>
  <c r="T7" i="28" s="1"/>
  <c r="T8" i="28" a="1"/>
  <c r="T8" i="28" s="1"/>
  <c r="T9" i="28" a="1"/>
  <c r="T9" i="28" s="1"/>
  <c r="T10" i="28" a="1"/>
  <c r="T10" i="28" s="1"/>
  <c r="T11" i="28" a="1"/>
  <c r="T11" i="28" s="1"/>
  <c r="T12" i="28" a="1"/>
  <c r="T12" i="28" s="1"/>
  <c r="T13" i="28" a="1"/>
  <c r="T13" i="28" s="1"/>
  <c r="T14" i="28" a="1"/>
  <c r="T14" i="28" s="1"/>
  <c r="T15" i="28" a="1"/>
  <c r="T15" i="28" s="1"/>
  <c r="S5" i="28" a="1"/>
  <c r="S5" i="28" s="1"/>
  <c r="S6" i="28" a="1"/>
  <c r="S6" i="28" s="1"/>
  <c r="S7" i="28" a="1"/>
  <c r="S7" i="28" s="1"/>
  <c r="S8" i="28" a="1"/>
  <c r="S8" i="28" s="1"/>
  <c r="S9" i="28" a="1"/>
  <c r="S9" i="28" s="1"/>
  <c r="S10" i="28" a="1"/>
  <c r="S10" i="28" s="1"/>
  <c r="S11" i="28" a="1"/>
  <c r="S11" i="28" s="1"/>
  <c r="S12" i="28" a="1"/>
  <c r="S12" i="28" s="1"/>
  <c r="S13" i="28" a="1"/>
  <c r="S13" i="28" s="1"/>
  <c r="S14" i="28" a="1"/>
  <c r="S14" i="28" s="1"/>
  <c r="S15" i="28" a="1"/>
  <c r="S15" i="28" s="1"/>
  <c r="U9" i="32"/>
  <c r="AB9" i="32" s="1"/>
  <c r="BH36" i="32" s="1"/>
  <c r="U12" i="32"/>
  <c r="AB12" i="32" s="1"/>
  <c r="BH39" i="32" s="1"/>
  <c r="U11" i="32"/>
  <c r="AB11" i="32" s="1"/>
  <c r="BH38" i="32" s="1"/>
  <c r="U10" i="32"/>
  <c r="AB10" i="32" s="1"/>
  <c r="BH37" i="32" s="1"/>
  <c r="U6" i="32"/>
  <c r="AB6" i="32" s="1"/>
  <c r="U7" i="32"/>
  <c r="AB7" i="32" s="1"/>
  <c r="U8" i="32"/>
  <c r="AB8" i="32" s="1"/>
  <c r="X13" i="32"/>
  <c r="AG13" i="32" s="1"/>
  <c r="C6" i="32"/>
  <c r="AR6" i="32" s="1"/>
  <c r="AZ6" i="32" s="1"/>
  <c r="D5" i="32"/>
  <c r="C15" i="32"/>
  <c r="AR15" i="32" s="1"/>
  <c r="AZ15" i="32" s="1"/>
  <c r="C5" i="32"/>
  <c r="AR5" i="32" s="1"/>
  <c r="AZ5" i="32" s="1"/>
  <c r="C13" i="32"/>
  <c r="AR13" i="32" s="1"/>
  <c r="AZ13" i="32" s="1"/>
  <c r="C21" i="32"/>
  <c r="AR21" i="32" s="1"/>
  <c r="AZ21" i="32" s="1"/>
  <c r="C29" i="32"/>
  <c r="AR29" i="32" s="1"/>
  <c r="AZ29" i="32" s="1"/>
  <c r="D4" i="32"/>
  <c r="D12" i="32"/>
  <c r="D20" i="32"/>
  <c r="D28" i="32"/>
  <c r="C30" i="32"/>
  <c r="AR30" i="32" s="1"/>
  <c r="AZ30" i="32" s="1"/>
  <c r="C23" i="32"/>
  <c r="AR23" i="32" s="1"/>
  <c r="AZ23" i="32" s="1"/>
  <c r="D30" i="32"/>
  <c r="D13" i="32"/>
  <c r="C31" i="32"/>
  <c r="AR31" i="32" s="1"/>
  <c r="AZ31" i="32" s="1"/>
  <c r="C8" i="32"/>
  <c r="AR8" i="32" s="1"/>
  <c r="AZ8" i="32" s="1"/>
  <c r="C16" i="32"/>
  <c r="AR16" i="32" s="1"/>
  <c r="AZ16" i="32" s="1"/>
  <c r="C24" i="32"/>
  <c r="AR24" i="32" s="1"/>
  <c r="AZ24" i="32" s="1"/>
  <c r="C32" i="32"/>
  <c r="AR32" i="32" s="1"/>
  <c r="AZ32" i="32" s="1"/>
  <c r="D7" i="32"/>
  <c r="D15" i="32"/>
  <c r="D23" i="32"/>
  <c r="D31" i="32"/>
  <c r="D21" i="32"/>
  <c r="B3" i="32"/>
  <c r="D22" i="32"/>
  <c r="C9" i="32"/>
  <c r="AR9" i="32" s="1"/>
  <c r="AZ9" i="32" s="1"/>
  <c r="C17" i="32"/>
  <c r="AR17" i="32" s="1"/>
  <c r="AZ17" i="32" s="1"/>
  <c r="C25" i="32"/>
  <c r="AR25" i="32" s="1"/>
  <c r="AZ25" i="32" s="1"/>
  <c r="C33" i="32"/>
  <c r="AR33" i="32" s="1"/>
  <c r="AZ33" i="32" s="1"/>
  <c r="D8" i="32"/>
  <c r="D16" i="32"/>
  <c r="D24" i="32"/>
  <c r="D32" i="32"/>
  <c r="C22" i="32"/>
  <c r="AR22" i="32" s="1"/>
  <c r="AZ22" i="32" s="1"/>
  <c r="C7" i="32"/>
  <c r="AR7" i="32" s="1"/>
  <c r="AZ7" i="32" s="1"/>
  <c r="B4" i="32"/>
  <c r="C10" i="32"/>
  <c r="AR10" i="32" s="1"/>
  <c r="AZ10" i="32" s="1"/>
  <c r="C18" i="32"/>
  <c r="AR18" i="32" s="1"/>
  <c r="AZ18" i="32" s="1"/>
  <c r="C26" i="32"/>
  <c r="AR26" i="32" s="1"/>
  <c r="AZ26" i="32" s="1"/>
  <c r="D9" i="32"/>
  <c r="D17" i="32"/>
  <c r="D25" i="32"/>
  <c r="D33" i="32"/>
  <c r="D29" i="32"/>
  <c r="D6" i="32"/>
  <c r="C3" i="32"/>
  <c r="C11" i="32"/>
  <c r="AR11" i="32" s="1"/>
  <c r="AZ11" i="32" s="1"/>
  <c r="C19" i="32"/>
  <c r="AR19" i="32" s="1"/>
  <c r="AZ19" i="32" s="1"/>
  <c r="C27" i="32"/>
  <c r="AR27" i="32" s="1"/>
  <c r="AZ27" i="32" s="1"/>
  <c r="D10" i="32"/>
  <c r="D18" i="32"/>
  <c r="D26" i="32"/>
  <c r="C14" i="32"/>
  <c r="AR14" i="32" s="1"/>
  <c r="AZ14" i="32" s="1"/>
  <c r="D14" i="32"/>
  <c r="C4" i="32"/>
  <c r="C12" i="32"/>
  <c r="AR12" i="32" s="1"/>
  <c r="AZ12" i="32" s="1"/>
  <c r="C20" i="32"/>
  <c r="AR20" i="32" s="1"/>
  <c r="AZ20" i="32" s="1"/>
  <c r="C28" i="32"/>
  <c r="AR28" i="32" s="1"/>
  <c r="AZ28" i="32" s="1"/>
  <c r="D3" i="32"/>
  <c r="D11" i="32"/>
  <c r="D19" i="32"/>
  <c r="D27" i="32"/>
  <c r="K13" i="32"/>
  <c r="BD54" i="28" a="1"/>
  <c r="BD54" i="28" s="1"/>
  <c r="BN54" i="28" a="1"/>
  <c r="BN54" i="28" s="1"/>
  <c r="DE121" i="28"/>
  <c r="DE148" i="28"/>
  <c r="DE67" i="28"/>
  <c r="DE40" i="28"/>
  <c r="DE175" i="28"/>
  <c r="DE94" i="28"/>
  <c r="R14" i="11"/>
  <c r="CZ169" i="28"/>
  <c r="CZ142" i="28"/>
  <c r="CZ196" i="28"/>
  <c r="CZ88" i="28"/>
  <c r="CZ115" i="28"/>
  <c r="DD85" i="28"/>
  <c r="DD58" i="28"/>
  <c r="DD30" i="28"/>
  <c r="R1" i="28"/>
  <c r="BP1" i="28"/>
  <c r="N8" i="22"/>
  <c r="N9" i="22"/>
  <c r="N17" i="22"/>
  <c r="N25" i="22"/>
  <c r="N33" i="22"/>
  <c r="N16" i="22"/>
  <c r="N24" i="22"/>
  <c r="N32" i="22"/>
  <c r="M23" i="22"/>
  <c r="N23" i="22"/>
  <c r="N10" i="22"/>
  <c r="N18" i="22"/>
  <c r="N26" i="22"/>
  <c r="M15" i="22"/>
  <c r="N15" i="22"/>
  <c r="M31" i="22"/>
  <c r="N31" i="22"/>
  <c r="M8" i="22"/>
  <c r="M11" i="22"/>
  <c r="N11" i="22"/>
  <c r="M12" i="22"/>
  <c r="N12" i="22"/>
  <c r="M28" i="22"/>
  <c r="N28" i="22"/>
  <c r="M5" i="22"/>
  <c r="N5" i="22"/>
  <c r="M13" i="22"/>
  <c r="N13" i="22"/>
  <c r="M21" i="22"/>
  <c r="N21" i="22"/>
  <c r="M29" i="22"/>
  <c r="N29" i="22"/>
  <c r="M7" i="22"/>
  <c r="N7" i="22"/>
  <c r="M19" i="22"/>
  <c r="N19" i="22"/>
  <c r="M27" i="22"/>
  <c r="N27" i="22"/>
  <c r="M4" i="22"/>
  <c r="N4" i="22"/>
  <c r="M20" i="22"/>
  <c r="N20" i="22"/>
  <c r="N6" i="22"/>
  <c r="N14" i="22"/>
  <c r="N22" i="22"/>
  <c r="N30" i="22"/>
  <c r="M3" i="22"/>
  <c r="N3" i="22"/>
  <c r="M16" i="22"/>
  <c r="M24" i="22"/>
  <c r="M32" i="22"/>
  <c r="M9" i="22"/>
  <c r="M25" i="22"/>
  <c r="M33" i="22"/>
  <c r="M10" i="22"/>
  <c r="M18" i="22"/>
  <c r="M26" i="22"/>
  <c r="M6" i="22"/>
  <c r="M14" i="22"/>
  <c r="M22" i="22"/>
  <c r="M30" i="22"/>
  <c r="F10" i="22"/>
  <c r="F18" i="22"/>
  <c r="F26" i="22"/>
  <c r="F9" i="22"/>
  <c r="F11" i="22"/>
  <c r="F19" i="22"/>
  <c r="F27" i="22"/>
  <c r="F4" i="22"/>
  <c r="G4" i="22" s="1"/>
  <c r="F12" i="22"/>
  <c r="F20" i="22"/>
  <c r="F28" i="22"/>
  <c r="F33" i="22"/>
  <c r="F13" i="22"/>
  <c r="F21" i="22"/>
  <c r="F29" i="22"/>
  <c r="F25" i="22"/>
  <c r="F14" i="22"/>
  <c r="F22" i="22"/>
  <c r="F30" i="22"/>
  <c r="F7" i="22"/>
  <c r="F15" i="22"/>
  <c r="F23" i="22"/>
  <c r="F31" i="22"/>
  <c r="F17" i="22"/>
  <c r="F8" i="22"/>
  <c r="F16" i="22"/>
  <c r="F24" i="22"/>
  <c r="F32" i="22"/>
  <c r="F3" i="22"/>
  <c r="F6" i="22"/>
  <c r="BC17" i="28" a="1"/>
  <c r="BC17" i="28" s="1"/>
  <c r="U3" i="28"/>
  <c r="U17" i="28" s="1" a="1"/>
  <c r="U17" i="28" s="1"/>
  <c r="B18" i="28"/>
  <c r="CR17" i="28" a="1"/>
  <c r="CR17" i="28" s="1"/>
  <c r="CS17" i="28" a="1"/>
  <c r="CS17" i="28" s="1"/>
  <c r="CT17" i="28" a="1"/>
  <c r="CT17" i="28" s="1"/>
  <c r="CU17" i="28" a="1"/>
  <c r="CU17" i="28" s="1"/>
  <c r="CV17" i="28" a="1"/>
  <c r="CV17" i="28" s="1"/>
  <c r="CW17" i="28" a="1"/>
  <c r="CW17" i="28" s="1"/>
  <c r="BS17" i="28" a="1"/>
  <c r="BS17" i="28" s="1"/>
  <c r="CE17" i="28" a="1"/>
  <c r="CE17" i="28" s="1"/>
  <c r="BG17" i="28" a="1"/>
  <c r="BG17" i="28" s="1"/>
  <c r="BM17" i="28" a="1"/>
  <c r="BM17" i="28" s="1"/>
  <c r="BT17" i="28" a="1"/>
  <c r="BT17" i="28" s="1"/>
  <c r="BY17" i="28" a="1"/>
  <c r="BY17" i="28" s="1"/>
  <c r="CF17" i="28" a="1"/>
  <c r="CF17" i="28" s="1"/>
  <c r="CK17" i="28" a="1"/>
  <c r="CK17" i="28" s="1"/>
  <c r="CQ17" i="28" a="1"/>
  <c r="CQ17" i="28" s="1"/>
  <c r="BI17" i="28" a="1"/>
  <c r="BI17" i="28" s="1"/>
  <c r="CA17" i="28" a="1"/>
  <c r="CA17" i="28" s="1"/>
  <c r="CG17" i="28" a="1"/>
  <c r="CG17" i="28" s="1"/>
  <c r="CM17" i="28" a="1"/>
  <c r="CM17" i="28" s="1"/>
  <c r="BJ17" i="28" a="1"/>
  <c r="BJ17" i="28" s="1"/>
  <c r="BO17" i="28" a="1"/>
  <c r="BO17" i="28" s="1"/>
  <c r="BV17" i="28" a="1"/>
  <c r="BV17" i="28" s="1"/>
  <c r="CB17" i="28" a="1"/>
  <c r="CB17" i="28" s="1"/>
  <c r="CN17" i="28" a="1"/>
  <c r="CN17" i="28" s="1"/>
  <c r="BL17" i="28" a="1"/>
  <c r="BL17" i="28" s="1"/>
  <c r="BX17" i="28" a="1"/>
  <c r="BX17" i="28" s="1"/>
  <c r="CJ17" i="28" a="1"/>
  <c r="CJ17" i="28" s="1"/>
  <c r="BP17" i="28" a="1"/>
  <c r="BP17" i="28" s="1"/>
  <c r="CC17" i="28" a="1"/>
  <c r="CC17" i="28" s="1"/>
  <c r="CO17" i="28" a="1"/>
  <c r="CO17" i="28" s="1"/>
  <c r="BQ17" i="28" a="1"/>
  <c r="BQ17" i="28" s="1"/>
  <c r="CD17" i="28" a="1"/>
  <c r="CD17" i="28" s="1"/>
  <c r="BH17" i="28" a="1"/>
  <c r="BH17" i="28" s="1"/>
  <c r="BU17" i="28" a="1"/>
  <c r="BU17" i="28" s="1"/>
  <c r="CH17" i="28" a="1"/>
  <c r="CH17" i="28" s="1"/>
  <c r="CI17" i="28" a="1"/>
  <c r="CI17" i="28" s="1"/>
  <c r="CL17" i="28" a="1"/>
  <c r="CL17" i="28" s="1"/>
  <c r="BK17" i="28" a="1"/>
  <c r="BK17" i="28" s="1"/>
  <c r="CP17" i="28" a="1"/>
  <c r="CP17" i="28" s="1"/>
  <c r="BR17" i="28" a="1"/>
  <c r="BR17" i="28" s="1"/>
  <c r="BW17" i="28" a="1"/>
  <c r="BW17" i="28" s="1"/>
  <c r="BZ17" i="28" a="1"/>
  <c r="BZ17" i="28" s="1"/>
  <c r="B40" i="12"/>
  <c r="C40" i="12" s="1"/>
  <c r="D40" i="12" s="1"/>
  <c r="A41" i="12"/>
  <c r="F5" i="22"/>
  <c r="K5" i="22" s="1"/>
  <c r="J4" i="22"/>
  <c r="W17" i="22"/>
  <c r="X17" i="22" s="1"/>
  <c r="Y17" i="22" s="1"/>
  <c r="Z17" i="22" s="1"/>
  <c r="AA17" i="22" s="1"/>
  <c r="AB17" i="22" s="1"/>
  <c r="AC17" i="22" s="1"/>
  <c r="AD17" i="22" s="1"/>
  <c r="AE17" i="22" s="1"/>
  <c r="AF17" i="22" s="1"/>
  <c r="AG17" i="22" s="1"/>
  <c r="AH17" i="22" s="1"/>
  <c r="AI17" i="22" s="1"/>
  <c r="AJ17" i="22" s="1"/>
  <c r="AK17" i="22" s="1"/>
  <c r="AL17" i="22" s="1"/>
  <c r="AM17" i="22" s="1"/>
  <c r="AN17" i="22" s="1"/>
  <c r="AO17" i="22" s="1"/>
  <c r="AP17" i="22" s="1"/>
  <c r="AQ17" i="22" s="1"/>
  <c r="AR17" i="22" s="1"/>
  <c r="AS17" i="22" s="1"/>
  <c r="AT17" i="22" s="1"/>
  <c r="AU17" i="22" s="1"/>
  <c r="AV17" i="22" s="1"/>
  <c r="AW17" i="22" s="1"/>
  <c r="AX17" i="22" s="1"/>
  <c r="AY17" i="22" s="1"/>
  <c r="AZ17" i="22" s="1"/>
  <c r="BA17" i="22" s="1"/>
  <c r="BB17" i="22" s="1"/>
  <c r="V16" i="22"/>
  <c r="W16" i="22" s="1"/>
  <c r="X16" i="22" s="1"/>
  <c r="Y16" i="22" s="1"/>
  <c r="W15" i="22"/>
  <c r="X15" i="22"/>
  <c r="W18" i="22"/>
  <c r="X18" i="22" s="1"/>
  <c r="Y18" i="22" s="1"/>
  <c r="Y15" i="22"/>
  <c r="V19" i="22"/>
  <c r="K6" i="22" l="1"/>
  <c r="G3" i="22"/>
  <c r="I3" i="22" s="1"/>
  <c r="Q99" i="24"/>
  <c r="R99" i="24" s="1"/>
  <c r="P100" i="24"/>
  <c r="M18" i="28" a="1"/>
  <c r="M18" i="28" s="1"/>
  <c r="U18" i="28" a="1"/>
  <c r="U18" i="28" s="1"/>
  <c r="K18" i="28" a="1"/>
  <c r="K18" i="28" s="1"/>
  <c r="T18" i="28" a="1"/>
  <c r="T18" i="28" s="1"/>
  <c r="N18" i="28" a="1"/>
  <c r="N18" i="28" s="1"/>
  <c r="O18" i="28" a="1"/>
  <c r="O18" i="28" s="1"/>
  <c r="P18" i="28" a="1"/>
  <c r="P18" i="28" s="1"/>
  <c r="Q18" i="28" a="1"/>
  <c r="Q18" i="28" s="1"/>
  <c r="R18" i="28" a="1"/>
  <c r="R18" i="28" s="1"/>
  <c r="I18" i="28" a="1"/>
  <c r="I18" i="28" s="1"/>
  <c r="S18" i="28" a="1"/>
  <c r="S18" i="28" s="1"/>
  <c r="J18" i="28" a="1"/>
  <c r="J18" i="28" s="1"/>
  <c r="H18" i="28" a="1"/>
  <c r="H18" i="28" s="1"/>
  <c r="D18" i="28" a="1"/>
  <c r="D18" i="28" s="1"/>
  <c r="L18" i="28" a="1"/>
  <c r="L18" i="28" s="1"/>
  <c r="E18" i="28" a="1"/>
  <c r="E18" i="28" s="1"/>
  <c r="U5" i="28" a="1"/>
  <c r="U5" i="28" s="1"/>
  <c r="U6" i="28" a="1"/>
  <c r="U6" i="28" s="1"/>
  <c r="U7" i="28" a="1"/>
  <c r="U7" i="28" s="1"/>
  <c r="U8" i="28" a="1"/>
  <c r="U8" i="28" s="1"/>
  <c r="U9" i="28" a="1"/>
  <c r="U9" i="28" s="1"/>
  <c r="U10" i="28" a="1"/>
  <c r="U10" i="28" s="1"/>
  <c r="U11" i="28" a="1"/>
  <c r="U11" i="28" s="1"/>
  <c r="U12" i="28" a="1"/>
  <c r="U12" i="28" s="1"/>
  <c r="U13" i="28" a="1"/>
  <c r="U13" i="28" s="1"/>
  <c r="U14" i="28" a="1"/>
  <c r="U14" i="28" s="1"/>
  <c r="U15" i="28" a="1"/>
  <c r="U15" i="28" s="1"/>
  <c r="U16" i="28" a="1"/>
  <c r="U16" i="28" s="1"/>
  <c r="AP4" i="11"/>
  <c r="U13" i="32"/>
  <c r="AB13" i="32" s="1"/>
  <c r="BH40" i="32" s="1"/>
  <c r="AD14" i="11"/>
  <c r="AI14" i="32"/>
  <c r="AT14" i="32" s="1"/>
  <c r="BB14" i="32" s="1"/>
  <c r="BN55" i="28" a="1"/>
  <c r="BN55" i="28" s="1"/>
  <c r="BD55" i="28" a="1"/>
  <c r="BD55" i="28" s="1"/>
  <c r="DE95" i="28"/>
  <c r="DE122" i="28"/>
  <c r="DE176" i="28"/>
  <c r="DE68" i="28"/>
  <c r="DE149" i="28"/>
  <c r="R15" i="11"/>
  <c r="CZ197" i="28"/>
  <c r="CZ170" i="28"/>
  <c r="CZ143" i="28"/>
  <c r="CZ116" i="28"/>
  <c r="DD86" i="28"/>
  <c r="DD59" i="28"/>
  <c r="DD31" i="28"/>
  <c r="S1" i="28"/>
  <c r="BQ1" i="28"/>
  <c r="BC18" i="28" a="1"/>
  <c r="BC18" i="28" s="1"/>
  <c r="B19" i="28"/>
  <c r="CT18" i="28" a="1"/>
  <c r="CT18" i="28" s="1"/>
  <c r="CU18" i="28" a="1"/>
  <c r="CU18" i="28" s="1"/>
  <c r="CV18" i="28" a="1"/>
  <c r="CV18" i="28" s="1"/>
  <c r="CW18" i="28" a="1"/>
  <c r="CW18" i="28" s="1"/>
  <c r="CR18" i="28" a="1"/>
  <c r="CR18" i="28" s="1"/>
  <c r="CS18" i="28" a="1"/>
  <c r="CS18" i="28" s="1"/>
  <c r="BP18" i="28" a="1"/>
  <c r="BP18" i="28" s="1"/>
  <c r="BG18" i="28" a="1"/>
  <c r="BG18" i="28" s="1"/>
  <c r="BM18" i="28" a="1"/>
  <c r="BM18" i="28" s="1"/>
  <c r="BH18" i="28" a="1"/>
  <c r="BH18" i="28" s="1"/>
  <c r="BQ18" i="28" a="1"/>
  <c r="BQ18" i="28" s="1"/>
  <c r="BX18" i="28" a="1"/>
  <c r="BX18" i="28" s="1"/>
  <c r="CO18" i="28" a="1"/>
  <c r="CO18" i="28" s="1"/>
  <c r="BJ18" i="28" a="1"/>
  <c r="BJ18" i="28" s="1"/>
  <c r="BR18" i="28" a="1"/>
  <c r="BR18" i="28" s="1"/>
  <c r="BZ18" i="28" a="1"/>
  <c r="BZ18" i="28" s="1"/>
  <c r="CK18" i="28" a="1"/>
  <c r="CK18" i="28" s="1"/>
  <c r="CP18" i="28" a="1"/>
  <c r="CP18" i="28" s="1"/>
  <c r="BK18" i="28" a="1"/>
  <c r="BK18" i="28" s="1"/>
  <c r="BS18" i="28" a="1"/>
  <c r="BS18" i="28" s="1"/>
  <c r="CE18" i="28" a="1"/>
  <c r="CE18" i="28" s="1"/>
  <c r="CL18" i="28" a="1"/>
  <c r="CL18" i="28" s="1"/>
  <c r="CQ18" i="28" a="1"/>
  <c r="CQ18" i="28" s="1"/>
  <c r="BU18" i="28" a="1"/>
  <c r="BU18" i="28" s="1"/>
  <c r="CG18" i="28" a="1"/>
  <c r="CG18" i="28" s="1"/>
  <c r="CM18" i="28" a="1"/>
  <c r="CM18" i="28" s="1"/>
  <c r="BO18" i="28" a="1"/>
  <c r="BO18" i="28" s="1"/>
  <c r="BV18" i="28" a="1"/>
  <c r="BV18" i="28" s="1"/>
  <c r="CB18" i="28" a="1"/>
  <c r="CB18" i="28" s="1"/>
  <c r="CH18" i="28" a="1"/>
  <c r="CH18" i="28" s="1"/>
  <c r="CA18" i="28" a="1"/>
  <c r="CA18" i="28" s="1"/>
  <c r="BI18" i="28" a="1"/>
  <c r="BI18" i="28" s="1"/>
  <c r="CC18" i="28" a="1"/>
  <c r="CC18" i="28" s="1"/>
  <c r="BL18" i="28" a="1"/>
  <c r="BL18" i="28" s="1"/>
  <c r="CD18" i="28" a="1"/>
  <c r="CD18" i="28" s="1"/>
  <c r="CF18" i="28" a="1"/>
  <c r="CF18" i="28" s="1"/>
  <c r="CI18" i="28" a="1"/>
  <c r="CI18" i="28" s="1"/>
  <c r="BT18" i="28" a="1"/>
  <c r="BT18" i="28" s="1"/>
  <c r="CJ18" i="28" a="1"/>
  <c r="CJ18" i="28" s="1"/>
  <c r="BW18" i="28" a="1"/>
  <c r="BW18" i="28" s="1"/>
  <c r="BY18" i="28" a="1"/>
  <c r="BY18" i="28" s="1"/>
  <c r="CN18" i="28" a="1"/>
  <c r="CN18" i="28" s="1"/>
  <c r="V3" i="28"/>
  <c r="B41" i="12"/>
  <c r="C41" i="12" s="1"/>
  <c r="D41" i="12" s="1"/>
  <c r="A42" i="12"/>
  <c r="Z18" i="22"/>
  <c r="AA18" i="22" s="1"/>
  <c r="AB18" i="22" s="1"/>
  <c r="AC18" i="22" s="1"/>
  <c r="AD18" i="22" s="1"/>
  <c r="AE18" i="22" s="1"/>
  <c r="AF18" i="22" s="1"/>
  <c r="AG18" i="22" s="1"/>
  <c r="AH18" i="22" s="1"/>
  <c r="AI18" i="22" s="1"/>
  <c r="AJ18" i="22" s="1"/>
  <c r="AK18" i="22" s="1"/>
  <c r="AL18" i="22" s="1"/>
  <c r="AM18" i="22" s="1"/>
  <c r="AN18" i="22" s="1"/>
  <c r="AO18" i="22" s="1"/>
  <c r="AP18" i="22" s="1"/>
  <c r="AQ18" i="22" s="1"/>
  <c r="AR18" i="22" s="1"/>
  <c r="AS18" i="22" s="1"/>
  <c r="AT18" i="22" s="1"/>
  <c r="AU18" i="22" s="1"/>
  <c r="AV18" i="22" s="1"/>
  <c r="AW18" i="22" s="1"/>
  <c r="AX18" i="22" s="1"/>
  <c r="AY18" i="22" s="1"/>
  <c r="AZ18" i="22" s="1"/>
  <c r="BA18" i="22" s="1"/>
  <c r="BB18" i="22" s="1"/>
  <c r="W19" i="22"/>
  <c r="X19" i="22" s="1"/>
  <c r="Y19" i="22" s="1"/>
  <c r="AK3" i="11" l="1"/>
  <c r="Q100" i="24"/>
  <c r="R100" i="24" s="1"/>
  <c r="P101" i="24"/>
  <c r="V5" i="28" a="1"/>
  <c r="V5" i="28" s="1"/>
  <c r="V6" i="28" a="1"/>
  <c r="V6" i="28" s="1"/>
  <c r="V7" i="28" a="1"/>
  <c r="V7" i="28" s="1"/>
  <c r="V8" i="28" a="1"/>
  <c r="V8" i="28" s="1"/>
  <c r="V9" i="28" a="1"/>
  <c r="V9" i="28" s="1"/>
  <c r="V10" i="28" a="1"/>
  <c r="V10" i="28" s="1"/>
  <c r="V11" i="28" a="1"/>
  <c r="V11" i="28" s="1"/>
  <c r="V12" i="28" a="1"/>
  <c r="V12" i="28" s="1"/>
  <c r="V13" i="28" a="1"/>
  <c r="V13" i="28" s="1"/>
  <c r="V14" i="28" a="1"/>
  <c r="V14" i="28" s="1"/>
  <c r="V15" i="28" a="1"/>
  <c r="V15" i="28" s="1"/>
  <c r="V16" i="28" a="1"/>
  <c r="V16" i="28" s="1"/>
  <c r="V17" i="28" a="1"/>
  <c r="V17" i="28" s="1"/>
  <c r="V18" i="28" a="1"/>
  <c r="V18" i="28" s="1"/>
  <c r="L19" i="28" a="1"/>
  <c r="L19" i="28" s="1"/>
  <c r="T19" i="28" a="1"/>
  <c r="T19" i="28" s="1"/>
  <c r="P19" i="28" a="1"/>
  <c r="P19" i="28" s="1"/>
  <c r="N19" i="28" a="1"/>
  <c r="N19" i="28" s="1"/>
  <c r="O19" i="28" a="1"/>
  <c r="O19" i="28" s="1"/>
  <c r="Q19" i="28" a="1"/>
  <c r="Q19" i="28" s="1"/>
  <c r="R19" i="28" a="1"/>
  <c r="R19" i="28" s="1"/>
  <c r="I19" i="28" a="1"/>
  <c r="I19" i="28" s="1"/>
  <c r="S19" i="28" a="1"/>
  <c r="S19" i="28" s="1"/>
  <c r="J19" i="28" a="1"/>
  <c r="J19" i="28" s="1"/>
  <c r="U19" i="28" a="1"/>
  <c r="U19" i="28" s="1"/>
  <c r="K19" i="28" a="1"/>
  <c r="K19" i="28" s="1"/>
  <c r="V19" i="28" a="1"/>
  <c r="V19" i="28" s="1"/>
  <c r="M19" i="28" a="1"/>
  <c r="M19" i="28" s="1"/>
  <c r="H19" i="28" a="1"/>
  <c r="H19" i="28" s="1"/>
  <c r="D19" i="28" a="1"/>
  <c r="D19" i="28" s="1"/>
  <c r="E19" i="28" a="1"/>
  <c r="E19" i="28" s="1"/>
  <c r="AP5" i="11"/>
  <c r="I4" i="22"/>
  <c r="AJ3" i="11"/>
  <c r="X14" i="32"/>
  <c r="AG14" i="32" s="1"/>
  <c r="AD15" i="11"/>
  <c r="K14" i="32"/>
  <c r="AI15" i="32"/>
  <c r="AT15" i="32" s="1"/>
  <c r="BB15" i="32" s="1"/>
  <c r="BN56" i="28" a="1"/>
  <c r="BN56" i="28" s="1"/>
  <c r="BD56" i="28" a="1"/>
  <c r="BD56" i="28" s="1"/>
  <c r="DB173" i="28"/>
  <c r="DC173" i="28" s="1"/>
  <c r="DB33" i="28"/>
  <c r="DC33" i="28" s="1"/>
  <c r="DB5" i="28"/>
  <c r="DC5" i="28" s="1"/>
  <c r="DB89" i="28"/>
  <c r="DC89" i="28" s="1"/>
  <c r="DB117" i="28"/>
  <c r="DC117" i="28" s="1"/>
  <c r="DB145" i="28"/>
  <c r="DC145" i="28" s="1"/>
  <c r="DB61" i="28"/>
  <c r="DC61" i="28" s="1"/>
  <c r="DE96" i="28"/>
  <c r="DE150" i="28"/>
  <c r="DE123" i="28"/>
  <c r="DE177" i="28"/>
  <c r="R16" i="11"/>
  <c r="CZ144" i="28"/>
  <c r="CZ171" i="28"/>
  <c r="CZ198" i="28"/>
  <c r="DD87" i="28"/>
  <c r="DD60" i="28"/>
  <c r="DD32" i="28"/>
  <c r="T1" i="28"/>
  <c r="BR1" i="28"/>
  <c r="BC19" i="28" a="1"/>
  <c r="BC19" i="28" s="1"/>
  <c r="W3" i="28"/>
  <c r="W19" i="28" s="1" a="1"/>
  <c r="W19" i="28" s="1"/>
  <c r="B20" i="28"/>
  <c r="CV19" i="28" a="1"/>
  <c r="CV19" i="28" s="1"/>
  <c r="CW19" i="28" a="1"/>
  <c r="CW19" i="28" s="1"/>
  <c r="CR19" i="28" a="1"/>
  <c r="CR19" i="28" s="1"/>
  <c r="CS19" i="28" a="1"/>
  <c r="CS19" i="28" s="1"/>
  <c r="CT19" i="28" a="1"/>
  <c r="CT19" i="28" s="1"/>
  <c r="CU19" i="28" a="1"/>
  <c r="CU19" i="28" s="1"/>
  <c r="BP19" i="28" a="1"/>
  <c r="BP19" i="28" s="1"/>
  <c r="BW19" i="28" a="1"/>
  <c r="BW19" i="28" s="1"/>
  <c r="CB19" i="28" a="1"/>
  <c r="CB19" i="28" s="1"/>
  <c r="CN19" i="28" a="1"/>
  <c r="CN19" i="28" s="1"/>
  <c r="BR19" i="28" a="1"/>
  <c r="BR19" i="28" s="1"/>
  <c r="BX19" i="28" a="1"/>
  <c r="BX19" i="28" s="1"/>
  <c r="CD19" i="28" a="1"/>
  <c r="CD19" i="28" s="1"/>
  <c r="CP19" i="28" a="1"/>
  <c r="CP19" i="28" s="1"/>
  <c r="BG19" i="28" a="1"/>
  <c r="BG19" i="28" s="1"/>
  <c r="BM19" i="28" a="1"/>
  <c r="BM19" i="28" s="1"/>
  <c r="BS19" i="28" a="1"/>
  <c r="BS19" i="28" s="1"/>
  <c r="CE19" i="28" a="1"/>
  <c r="CE19" i="28" s="1"/>
  <c r="CJ19" i="28" a="1"/>
  <c r="CJ19" i="28" s="1"/>
  <c r="CQ19" i="28" a="1"/>
  <c r="CQ19" i="28" s="1"/>
  <c r="BI19" i="28" a="1"/>
  <c r="BI19" i="28" s="1"/>
  <c r="BZ19" i="28" a="1"/>
  <c r="BZ19" i="28" s="1"/>
  <c r="CL19" i="28" a="1"/>
  <c r="CL19" i="28" s="1"/>
  <c r="BJ19" i="28" a="1"/>
  <c r="BJ19" i="28" s="1"/>
  <c r="BO19" i="28" a="1"/>
  <c r="BO19" i="28" s="1"/>
  <c r="BU19" i="28" a="1"/>
  <c r="BU19" i="28" s="1"/>
  <c r="CG19" i="28" a="1"/>
  <c r="CG19" i="28" s="1"/>
  <c r="BL19" i="28" a="1"/>
  <c r="BL19" i="28" s="1"/>
  <c r="CA19" i="28" a="1"/>
  <c r="CA19" i="28" s="1"/>
  <c r="CC19" i="28" a="1"/>
  <c r="CC19" i="28" s="1"/>
  <c r="CF19" i="28" a="1"/>
  <c r="CF19" i="28" s="1"/>
  <c r="BQ19" i="28" a="1"/>
  <c r="BQ19" i="28" s="1"/>
  <c r="CH19" i="28" a="1"/>
  <c r="CH19" i="28" s="1"/>
  <c r="BT19" i="28" a="1"/>
  <c r="BT19" i="28" s="1"/>
  <c r="CI19" i="28" a="1"/>
  <c r="CI19" i="28" s="1"/>
  <c r="BV19" i="28" a="1"/>
  <c r="BV19" i="28" s="1"/>
  <c r="CK19" i="28" a="1"/>
  <c r="CK19" i="28" s="1"/>
  <c r="BH19" i="28" a="1"/>
  <c r="BH19" i="28" s="1"/>
  <c r="BK19" i="28" a="1"/>
  <c r="BK19" i="28" s="1"/>
  <c r="BY19" i="28" a="1"/>
  <c r="BY19" i="28" s="1"/>
  <c r="CM19" i="28" a="1"/>
  <c r="CM19" i="28" s="1"/>
  <c r="CO19" i="28" a="1"/>
  <c r="CO19" i="28" s="1"/>
  <c r="B42" i="12"/>
  <c r="C42" i="12" s="1"/>
  <c r="D42" i="12" s="1"/>
  <c r="A43" i="12"/>
  <c r="L6" i="22"/>
  <c r="K7" i="22" l="1"/>
  <c r="Q101" i="24"/>
  <c r="R101" i="24" s="1"/>
  <c r="P102" i="24"/>
  <c r="AH54" i="41"/>
  <c r="K20" i="28" a="1"/>
  <c r="K20" i="28" s="1"/>
  <c r="S20" i="28" a="1"/>
  <c r="S20" i="28" s="1"/>
  <c r="L20" i="28" a="1"/>
  <c r="L20" i="28" s="1"/>
  <c r="U20" i="28" a="1"/>
  <c r="U20" i="28" s="1"/>
  <c r="O20" i="28" a="1"/>
  <c r="O20" i="28" s="1"/>
  <c r="P20" i="28" a="1"/>
  <c r="P20" i="28" s="1"/>
  <c r="Q20" i="28" a="1"/>
  <c r="Q20" i="28" s="1"/>
  <c r="R20" i="28" a="1"/>
  <c r="R20" i="28" s="1"/>
  <c r="I20" i="28" a="1"/>
  <c r="I20" i="28" s="1"/>
  <c r="T20" i="28" a="1"/>
  <c r="T20" i="28" s="1"/>
  <c r="J20" i="28" a="1"/>
  <c r="J20" i="28" s="1"/>
  <c r="V20" i="28" a="1"/>
  <c r="V20" i="28" s="1"/>
  <c r="M20" i="28" a="1"/>
  <c r="M20" i="28" s="1"/>
  <c r="W20" i="28" a="1"/>
  <c r="W20" i="28" s="1"/>
  <c r="H20" i="28" a="1"/>
  <c r="H20" i="28" s="1"/>
  <c r="D20" i="28" a="1"/>
  <c r="D20" i="28" s="1"/>
  <c r="N20" i="28" a="1"/>
  <c r="N20" i="28" s="1"/>
  <c r="E20" i="28" a="1"/>
  <c r="E20" i="28" s="1"/>
  <c r="W5" i="28" a="1"/>
  <c r="W5" i="28" s="1"/>
  <c r="W6" i="28" a="1"/>
  <c r="W6" i="28" s="1"/>
  <c r="W7" i="28" a="1"/>
  <c r="W7" i="28" s="1"/>
  <c r="W8" i="28" a="1"/>
  <c r="W8" i="28" s="1"/>
  <c r="W9" i="28" a="1"/>
  <c r="W9" i="28" s="1"/>
  <c r="W10" i="28" a="1"/>
  <c r="W10" i="28" s="1"/>
  <c r="W11" i="28" a="1"/>
  <c r="W11" i="28" s="1"/>
  <c r="W12" i="28" a="1"/>
  <c r="W12" i="28" s="1"/>
  <c r="W13" i="28" a="1"/>
  <c r="W13" i="28" s="1"/>
  <c r="W14" i="28" a="1"/>
  <c r="W14" i="28" s="1"/>
  <c r="W15" i="28" a="1"/>
  <c r="W15" i="28" s="1"/>
  <c r="W16" i="28" a="1"/>
  <c r="W16" i="28" s="1"/>
  <c r="W17" i="28" a="1"/>
  <c r="W17" i="28" s="1"/>
  <c r="W18" i="28" a="1"/>
  <c r="W18" i="28" s="1"/>
  <c r="AP6" i="11"/>
  <c r="AP7" i="11"/>
  <c r="AM3" i="11"/>
  <c r="U14" i="32"/>
  <c r="AB14" i="32" s="1"/>
  <c r="BH41" i="32" s="1"/>
  <c r="X15" i="32"/>
  <c r="AG15" i="32" s="1"/>
  <c r="AD16" i="11"/>
  <c r="K15" i="32"/>
  <c r="AI16" i="32"/>
  <c r="AT16" i="32" s="1"/>
  <c r="BB16" i="32" s="1"/>
  <c r="AD17" i="11"/>
  <c r="AI17" i="32"/>
  <c r="AT17" i="32" s="1"/>
  <c r="BB17" i="32" s="1"/>
  <c r="BD57" i="28" a="1"/>
  <c r="BD57" i="28" s="1"/>
  <c r="BN57" i="28" a="1"/>
  <c r="BN57" i="28" s="1"/>
  <c r="DI5" i="28"/>
  <c r="DI89" i="28"/>
  <c r="DI33" i="28"/>
  <c r="DI117" i="28"/>
  <c r="DI173" i="28"/>
  <c r="DI61" i="28"/>
  <c r="DI145" i="28"/>
  <c r="DB118" i="28"/>
  <c r="DB90" i="28"/>
  <c r="DB34" i="28"/>
  <c r="DC34" i="28" s="1"/>
  <c r="DB174" i="28"/>
  <c r="DC174" i="28" s="1"/>
  <c r="DB146" i="28"/>
  <c r="DB6" i="28"/>
  <c r="DC6" i="28" s="1"/>
  <c r="DB62" i="28"/>
  <c r="DC62" i="28" s="1"/>
  <c r="DE151" i="28"/>
  <c r="DE124" i="28"/>
  <c r="DE178" i="28"/>
  <c r="R17" i="11"/>
  <c r="CZ172" i="28"/>
  <c r="CZ199" i="28"/>
  <c r="DD88" i="28"/>
  <c r="U1" i="28"/>
  <c r="BS1" i="28"/>
  <c r="BC20" i="28" a="1"/>
  <c r="BC20" i="28" s="1"/>
  <c r="B21" i="28"/>
  <c r="CR20" i="28" a="1"/>
  <c r="CR20" i="28" s="1"/>
  <c r="CS20" i="28" a="1"/>
  <c r="CS20" i="28" s="1"/>
  <c r="CT20" i="28" a="1"/>
  <c r="CT20" i="28" s="1"/>
  <c r="CU20" i="28" a="1"/>
  <c r="CU20" i="28" s="1"/>
  <c r="CV20" i="28" a="1"/>
  <c r="CV20" i="28" s="1"/>
  <c r="CW20" i="28" a="1"/>
  <c r="CW20" i="28" s="1"/>
  <c r="BQ20" i="28" a="1"/>
  <c r="BQ20" i="28" s="1"/>
  <c r="BW20" i="28" a="1"/>
  <c r="BW20" i="28" s="1"/>
  <c r="CC20" i="28" a="1"/>
  <c r="CC20" i="28" s="1"/>
  <c r="CI20" i="28" a="1"/>
  <c r="CI20" i="28" s="1"/>
  <c r="CO20" i="28" a="1"/>
  <c r="CO20" i="28" s="1"/>
  <c r="BK20" i="28" a="1"/>
  <c r="BK20" i="28" s="1"/>
  <c r="BR20" i="28" a="1"/>
  <c r="BR20" i="28" s="1"/>
  <c r="BX20" i="28" a="1"/>
  <c r="BX20" i="28" s="1"/>
  <c r="CE20" i="28" a="1"/>
  <c r="CE20" i="28" s="1"/>
  <c r="CK20" i="28" a="1"/>
  <c r="CK20" i="28" s="1"/>
  <c r="CP20" i="28" a="1"/>
  <c r="CP20" i="28" s="1"/>
  <c r="BL20" i="28" a="1"/>
  <c r="BL20" i="28" s="1"/>
  <c r="BS20" i="28" a="1"/>
  <c r="BS20" i="28" s="1"/>
  <c r="BY20" i="28" a="1"/>
  <c r="BY20" i="28" s="1"/>
  <c r="CQ20" i="28" a="1"/>
  <c r="CQ20" i="28" s="1"/>
  <c r="BH20" i="28" a="1"/>
  <c r="BH20" i="28" s="1"/>
  <c r="BT20" i="28" a="1"/>
  <c r="BT20" i="28" s="1"/>
  <c r="CA20" i="28" a="1"/>
  <c r="CA20" i="28" s="1"/>
  <c r="CM20" i="28" a="1"/>
  <c r="CM20" i="28" s="1"/>
  <c r="BO20" i="28" a="1"/>
  <c r="BO20" i="28" s="1"/>
  <c r="BU20" i="28" a="1"/>
  <c r="BU20" i="28" s="1"/>
  <c r="CB20" i="28" a="1"/>
  <c r="CB20" i="28" s="1"/>
  <c r="CG20" i="28" a="1"/>
  <c r="CG20" i="28" s="1"/>
  <c r="CN20" i="28" a="1"/>
  <c r="CN20" i="28" s="1"/>
  <c r="BM20" i="28" a="1"/>
  <c r="BM20" i="28" s="1"/>
  <c r="CD20" i="28" a="1"/>
  <c r="CD20" i="28" s="1"/>
  <c r="BP20" i="28" a="1"/>
  <c r="BP20" i="28" s="1"/>
  <c r="CF20" i="28" a="1"/>
  <c r="CF20" i="28" s="1"/>
  <c r="CH20" i="28" a="1"/>
  <c r="CH20" i="28" s="1"/>
  <c r="CJ20" i="28" a="1"/>
  <c r="CJ20" i="28" s="1"/>
  <c r="BV20" i="28" a="1"/>
  <c r="BV20" i="28" s="1"/>
  <c r="CL20" i="28" a="1"/>
  <c r="CL20" i="28" s="1"/>
  <c r="BG20" i="28" a="1"/>
  <c r="BG20" i="28" s="1"/>
  <c r="BI20" i="28" a="1"/>
  <c r="BI20" i="28" s="1"/>
  <c r="BJ20" i="28" a="1"/>
  <c r="BJ20" i="28" s="1"/>
  <c r="BZ20" i="28" a="1"/>
  <c r="BZ20" i="28" s="1"/>
  <c r="X3" i="28"/>
  <c r="X14" i="28" s="1" a="1"/>
  <c r="X14" i="28" s="1"/>
  <c r="B43" i="12"/>
  <c r="C43" i="12" s="1"/>
  <c r="D43" i="12" s="1"/>
  <c r="A44" i="12"/>
  <c r="Q102" i="24" l="1"/>
  <c r="R102" i="24" s="1"/>
  <c r="P103" i="24"/>
  <c r="AH53" i="41"/>
  <c r="X5" i="28" a="1"/>
  <c r="X5" i="28" s="1"/>
  <c r="X6" i="28" a="1"/>
  <c r="X6" i="28" s="1"/>
  <c r="X7" i="28" a="1"/>
  <c r="X7" i="28" s="1"/>
  <c r="X8" i="28" a="1"/>
  <c r="X8" i="28" s="1"/>
  <c r="X9" i="28" a="1"/>
  <c r="X9" i="28" s="1"/>
  <c r="X10" i="28" a="1"/>
  <c r="X10" i="28" s="1"/>
  <c r="X11" i="28" a="1"/>
  <c r="X11" i="28" s="1"/>
  <c r="X12" i="28" a="1"/>
  <c r="X12" i="28" s="1"/>
  <c r="X13" i="28" a="1"/>
  <c r="X13" i="28" s="1"/>
  <c r="X15" i="28" a="1"/>
  <c r="X15" i="28" s="1"/>
  <c r="X16" i="28" a="1"/>
  <c r="X16" i="28" s="1"/>
  <c r="X17" i="28" a="1"/>
  <c r="X17" i="28" s="1"/>
  <c r="X18" i="28" a="1"/>
  <c r="X18" i="28" s="1"/>
  <c r="X19" i="28" a="1"/>
  <c r="X19" i="28" s="1"/>
  <c r="J21" i="28" a="1"/>
  <c r="J21" i="28" s="1"/>
  <c r="R21" i="28" a="1"/>
  <c r="R21" i="28" s="1"/>
  <c r="P21" i="28" a="1"/>
  <c r="P21" i="28" s="1"/>
  <c r="O21" i="28" a="1"/>
  <c r="O21" i="28" s="1"/>
  <c r="Q21" i="28" a="1"/>
  <c r="Q21" i="28" s="1"/>
  <c r="S21" i="28" a="1"/>
  <c r="S21" i="28" s="1"/>
  <c r="I21" i="28" a="1"/>
  <c r="I21" i="28" s="1"/>
  <c r="T21" i="28" a="1"/>
  <c r="T21" i="28" s="1"/>
  <c r="K21" i="28" a="1"/>
  <c r="K21" i="28" s="1"/>
  <c r="U21" i="28" a="1"/>
  <c r="U21" i="28" s="1"/>
  <c r="L21" i="28" a="1"/>
  <c r="L21" i="28" s="1"/>
  <c r="V21" i="28" a="1"/>
  <c r="V21" i="28" s="1"/>
  <c r="M21" i="28" a="1"/>
  <c r="M21" i="28" s="1"/>
  <c r="W21" i="28" a="1"/>
  <c r="W21" i="28" s="1"/>
  <c r="N21" i="28" a="1"/>
  <c r="N21" i="28" s="1"/>
  <c r="E21" i="28" a="1"/>
  <c r="E21" i="28" s="1"/>
  <c r="X21" i="28" a="1"/>
  <c r="X21" i="28" s="1"/>
  <c r="H21" i="28" a="1"/>
  <c r="H21" i="28" s="1"/>
  <c r="D21" i="28" a="1"/>
  <c r="D21" i="28" s="1"/>
  <c r="X20" i="28" a="1"/>
  <c r="X20" i="28" s="1"/>
  <c r="U15" i="32"/>
  <c r="AB15" i="32" s="1"/>
  <c r="BH42" i="32" s="1"/>
  <c r="X17" i="32"/>
  <c r="AG17" i="32" s="1"/>
  <c r="X16" i="32"/>
  <c r="AG16" i="32" s="1"/>
  <c r="K16" i="32"/>
  <c r="K17" i="32"/>
  <c r="BN21" i="28" a="1"/>
  <c r="BN21" i="28" s="1"/>
  <c r="BD58" i="28" a="1"/>
  <c r="BD58" i="28" s="1"/>
  <c r="BN58" i="28" a="1"/>
  <c r="BN58" i="28" s="1"/>
  <c r="DL145" i="28"/>
  <c r="DL61" i="28"/>
  <c r="DL173" i="28"/>
  <c r="DL117" i="28"/>
  <c r="DL89" i="28"/>
  <c r="DL33" i="28"/>
  <c r="DL5" i="28"/>
  <c r="DI118" i="28"/>
  <c r="DI62" i="28"/>
  <c r="DI90" i="28"/>
  <c r="DI146" i="28"/>
  <c r="DI174" i="28"/>
  <c r="DI34" i="28"/>
  <c r="DI6" i="28"/>
  <c r="DB119" i="28"/>
  <c r="DB91" i="28"/>
  <c r="DB175" i="28"/>
  <c r="DC175" i="28" s="1"/>
  <c r="DB63" i="28"/>
  <c r="DC63" i="28" s="1"/>
  <c r="DB35" i="28"/>
  <c r="DC35" i="28" s="1"/>
  <c r="DB7" i="28"/>
  <c r="DC7" i="28" s="1"/>
  <c r="DB147" i="28"/>
  <c r="DE152" i="28"/>
  <c r="DE179" i="28"/>
  <c r="L7" i="22"/>
  <c r="R18" i="11"/>
  <c r="CZ200" i="28"/>
  <c r="V1" i="28"/>
  <c r="BT1" i="28"/>
  <c r="BC21" i="28" a="1"/>
  <c r="BC21" i="28" s="1"/>
  <c r="Y3" i="28"/>
  <c r="Y21" i="28" s="1" a="1"/>
  <c r="Y21" i="28" s="1"/>
  <c r="B22" i="28"/>
  <c r="CR21" i="28" a="1"/>
  <c r="CR21" i="28" s="1"/>
  <c r="CS21" i="28" a="1"/>
  <c r="CS21" i="28" s="1"/>
  <c r="CT21" i="28" a="1"/>
  <c r="CT21" i="28" s="1"/>
  <c r="CU21" i="28" a="1"/>
  <c r="CU21" i="28" s="1"/>
  <c r="CV21" i="28" a="1"/>
  <c r="CV21" i="28" s="1"/>
  <c r="CW21" i="28" a="1"/>
  <c r="CW21" i="28" s="1"/>
  <c r="BL21" i="28" a="1"/>
  <c r="BL21" i="28" s="1"/>
  <c r="BQ21" i="28" a="1"/>
  <c r="BQ21" i="28" s="1"/>
  <c r="BW21" i="28" a="1"/>
  <c r="BW21" i="28" s="1"/>
  <c r="CI21" i="28" a="1"/>
  <c r="CI21" i="28" s="1"/>
  <c r="CO21" i="28" a="1"/>
  <c r="CO21" i="28" s="1"/>
  <c r="BG21" i="28" a="1"/>
  <c r="BG21" i="28" s="1"/>
  <c r="BR21" i="28" a="1"/>
  <c r="BR21" i="28" s="1"/>
  <c r="BY21" i="28" a="1"/>
  <c r="BY21" i="28" s="1"/>
  <c r="CD21" i="28" a="1"/>
  <c r="CD21" i="28" s="1"/>
  <c r="CQ21" i="28" a="1"/>
  <c r="CQ21" i="28" s="1"/>
  <c r="BH21" i="28" a="1"/>
  <c r="BH21" i="28" s="1"/>
  <c r="BS21" i="28" a="1"/>
  <c r="BS21" i="28" s="1"/>
  <c r="CE21" i="28" a="1"/>
  <c r="CE21" i="28" s="1"/>
  <c r="CK21" i="28" a="1"/>
  <c r="CK21" i="28" s="1"/>
  <c r="BI21" i="28" a="1"/>
  <c r="BI21" i="28" s="1"/>
  <c r="BO21" i="28" a="1"/>
  <c r="BO21" i="28" s="1"/>
  <c r="BU21" i="28" a="1"/>
  <c r="BU21" i="28" s="1"/>
  <c r="CG21" i="28" a="1"/>
  <c r="CG21" i="28" s="1"/>
  <c r="CL21" i="28" a="1"/>
  <c r="CL21" i="28" s="1"/>
  <c r="BJ21" i="28" a="1"/>
  <c r="BJ21" i="28" s="1"/>
  <c r="BP21" i="28" a="1"/>
  <c r="BP21" i="28" s="1"/>
  <c r="BV21" i="28" a="1"/>
  <c r="BV21" i="28" s="1"/>
  <c r="CA21" i="28" a="1"/>
  <c r="CA21" i="28" s="1"/>
  <c r="CH21" i="28" a="1"/>
  <c r="CH21" i="28" s="1"/>
  <c r="CM21" i="28" a="1"/>
  <c r="CM21" i="28" s="1"/>
  <c r="CF21" i="28" a="1"/>
  <c r="CF21" i="28" s="1"/>
  <c r="BT21" i="28" a="1"/>
  <c r="BT21" i="28" s="1"/>
  <c r="CJ21" i="28" a="1"/>
  <c r="CJ21" i="28" s="1"/>
  <c r="BX21" i="28" a="1"/>
  <c r="BX21" i="28" s="1"/>
  <c r="CN21" i="28" a="1"/>
  <c r="CN21" i="28" s="1"/>
  <c r="BK21" i="28" a="1"/>
  <c r="BK21" i="28" s="1"/>
  <c r="BZ21" i="28" a="1"/>
  <c r="BZ21" i="28" s="1"/>
  <c r="CP21" i="28" a="1"/>
  <c r="CP21" i="28" s="1"/>
  <c r="BM21" i="28" a="1"/>
  <c r="BM21" i="28" s="1"/>
  <c r="CB21" i="28" a="1"/>
  <c r="CB21" i="28" s="1"/>
  <c r="CC21" i="28" a="1"/>
  <c r="CC21" i="28" s="1"/>
  <c r="B44" i="12"/>
  <c r="C44" i="12" s="1"/>
  <c r="D44" i="12" s="1"/>
  <c r="A45" i="12"/>
  <c r="K8" i="22"/>
  <c r="Q103" i="24" l="1"/>
  <c r="R103" i="24" s="1"/>
  <c r="P104" i="24"/>
  <c r="AH55" i="41"/>
  <c r="I22" i="28" a="1"/>
  <c r="I22" i="28" s="1"/>
  <c r="L22" i="28" a="1"/>
  <c r="L22" i="28" s="1"/>
  <c r="T22" i="28" a="1"/>
  <c r="T22" i="28" s="1"/>
  <c r="P22" i="28" a="1"/>
  <c r="P22" i="28" s="1"/>
  <c r="Y22" i="28" a="1"/>
  <c r="Y22" i="28" s="1"/>
  <c r="Q22" i="28" a="1"/>
  <c r="Q22" i="28" s="1"/>
  <c r="R22" i="28" a="1"/>
  <c r="R22" i="28" s="1"/>
  <c r="J22" i="28" a="1"/>
  <c r="J22" i="28" s="1"/>
  <c r="S22" i="28" a="1"/>
  <c r="S22" i="28" s="1"/>
  <c r="K22" i="28" a="1"/>
  <c r="K22" i="28" s="1"/>
  <c r="U22" i="28" a="1"/>
  <c r="U22" i="28" s="1"/>
  <c r="N22" i="28" a="1"/>
  <c r="N22" i="28" s="1"/>
  <c r="W22" i="28" a="1"/>
  <c r="W22" i="28" s="1"/>
  <c r="V22" i="28" a="1"/>
  <c r="V22" i="28" s="1"/>
  <c r="X22" i="28" a="1"/>
  <c r="X22" i="28" s="1"/>
  <c r="E22" i="28" a="1"/>
  <c r="E22" i="28" s="1"/>
  <c r="H22" i="28" a="1"/>
  <c r="H22" i="28" s="1"/>
  <c r="D22" i="28" a="1"/>
  <c r="D22" i="28" s="1"/>
  <c r="M22" i="28" a="1"/>
  <c r="M22" i="28" s="1"/>
  <c r="O22" i="28" a="1"/>
  <c r="O22" i="28" s="1"/>
  <c r="Y5" i="28" a="1"/>
  <c r="Y5" i="28" s="1"/>
  <c r="Y6" i="28" a="1"/>
  <c r="Y6" i="28" s="1"/>
  <c r="Y7" i="28" a="1"/>
  <c r="Y7" i="28" s="1"/>
  <c r="Y8" i="28" a="1"/>
  <c r="Y8" i="28" s="1"/>
  <c r="Y9" i="28" a="1"/>
  <c r="Y9" i="28" s="1"/>
  <c r="Y10" i="28" a="1"/>
  <c r="Y10" i="28" s="1"/>
  <c r="Y11" i="28" a="1"/>
  <c r="Y11" i="28" s="1"/>
  <c r="Y12" i="28" a="1"/>
  <c r="Y12" i="28" s="1"/>
  <c r="Y13" i="28" a="1"/>
  <c r="Y13" i="28" s="1"/>
  <c r="Y14" i="28" a="1"/>
  <c r="Y14" i="28" s="1"/>
  <c r="Y15" i="28" a="1"/>
  <c r="Y15" i="28" s="1"/>
  <c r="Y16" i="28" a="1"/>
  <c r="Y16" i="28" s="1"/>
  <c r="Y17" i="28" a="1"/>
  <c r="Y17" i="28" s="1"/>
  <c r="Y18" i="28" a="1"/>
  <c r="Y18" i="28" s="1"/>
  <c r="Y19" i="28" a="1"/>
  <c r="Y19" i="28" s="1"/>
  <c r="Y20" i="28" a="1"/>
  <c r="Y20" i="28" s="1"/>
  <c r="BN16" i="28"/>
  <c r="BN17" i="28" s="1"/>
  <c r="F19" i="32"/>
  <c r="AP8" i="11"/>
  <c r="U16" i="32"/>
  <c r="AB16" i="32" s="1"/>
  <c r="BH43" i="32" s="1"/>
  <c r="U17" i="32"/>
  <c r="AB17" i="32" s="1"/>
  <c r="BH44" i="32" s="1"/>
  <c r="AG3" i="11"/>
  <c r="AI18" i="32"/>
  <c r="AT18" i="32" s="1"/>
  <c r="BB18" i="32" s="1"/>
  <c r="AD18" i="11"/>
  <c r="BD59" i="28" a="1"/>
  <c r="BD59" i="28" s="1"/>
  <c r="BN59" i="28" a="1"/>
  <c r="BN59" i="28" s="1"/>
  <c r="DL6" i="28"/>
  <c r="DL62" i="28"/>
  <c r="DL118" i="28"/>
  <c r="DL34" i="28"/>
  <c r="DL90" i="28"/>
  <c r="DL174" i="28"/>
  <c r="DL146" i="28"/>
  <c r="DI35" i="28"/>
  <c r="DI63" i="28"/>
  <c r="DI147" i="28"/>
  <c r="DI175" i="28"/>
  <c r="DI91" i="28"/>
  <c r="DI119" i="28"/>
  <c r="DI7" i="28"/>
  <c r="DB8" i="28"/>
  <c r="DC8" i="28" s="1"/>
  <c r="DB120" i="28"/>
  <c r="DB64" i="28"/>
  <c r="DC64" i="28" s="1"/>
  <c r="DB92" i="28"/>
  <c r="DB148" i="28"/>
  <c r="DB176" i="28"/>
  <c r="DC176" i="28" s="1"/>
  <c r="DB36" i="28"/>
  <c r="DC36" i="28" s="1"/>
  <c r="DE18" i="28"/>
  <c r="DE180" i="28"/>
  <c r="L8" i="22"/>
  <c r="CX21" i="28"/>
  <c r="R19" i="11"/>
  <c r="DD90" i="28"/>
  <c r="DC90" i="28" s="1"/>
  <c r="W1" i="28"/>
  <c r="BU1" i="28"/>
  <c r="BC22" i="28" a="1"/>
  <c r="BC22" i="28" s="1"/>
  <c r="B23" i="28"/>
  <c r="CT22" i="28" a="1"/>
  <c r="CT22" i="28" s="1"/>
  <c r="CU22" i="28" a="1"/>
  <c r="CU22" i="28" s="1"/>
  <c r="CV22" i="28" a="1"/>
  <c r="CV22" i="28" s="1"/>
  <c r="CW22" i="28" a="1"/>
  <c r="CW22" i="28" s="1"/>
  <c r="CR22" i="28" a="1"/>
  <c r="CR22" i="28" s="1"/>
  <c r="CS22" i="28" a="1"/>
  <c r="CS22" i="28" s="1"/>
  <c r="BN22" i="28" a="1"/>
  <c r="BN22" i="28" s="1"/>
  <c r="BU22" i="28" a="1"/>
  <c r="BU22" i="28" s="1"/>
  <c r="BZ22" i="28" a="1"/>
  <c r="BZ22" i="28" s="1"/>
  <c r="CF22" i="28" a="1"/>
  <c r="CF22" i="28" s="1"/>
  <c r="CM22" i="28" a="1"/>
  <c r="CM22" i="28" s="1"/>
  <c r="BH22" i="28" a="1"/>
  <c r="BH22" i="28" s="1"/>
  <c r="CA22" i="28" a="1"/>
  <c r="CA22" i="28" s="1"/>
  <c r="CG22" i="28" a="1"/>
  <c r="CG22" i="28" s="1"/>
  <c r="BI22" i="28" a="1"/>
  <c r="BI22" i="28" s="1"/>
  <c r="BO22" i="28" a="1"/>
  <c r="BO22" i="28" s="1"/>
  <c r="BV22" i="28" a="1"/>
  <c r="BV22" i="28" s="1"/>
  <c r="CB22" i="28" a="1"/>
  <c r="CB22" i="28" s="1"/>
  <c r="CH22" i="28" a="1"/>
  <c r="CH22" i="28" s="1"/>
  <c r="CN22" i="28" a="1"/>
  <c r="CN22" i="28" s="1"/>
  <c r="BJ22" i="28" a="1"/>
  <c r="BJ22" i="28" s="1"/>
  <c r="BP22" i="28" a="1"/>
  <c r="BP22" i="28" s="1"/>
  <c r="CC22" i="28" a="1"/>
  <c r="CC22" i="28" s="1"/>
  <c r="CI22" i="28" a="1"/>
  <c r="CI22" i="28" s="1"/>
  <c r="CO22" i="28" a="1"/>
  <c r="CO22" i="28" s="1"/>
  <c r="BK22" i="28" a="1"/>
  <c r="BK22" i="28" s="1"/>
  <c r="BQ22" i="28" a="1"/>
  <c r="BQ22" i="28" s="1"/>
  <c r="BW22" i="28" a="1"/>
  <c r="BW22" i="28" s="1"/>
  <c r="CD22" i="28" a="1"/>
  <c r="CD22" i="28" s="1"/>
  <c r="CJ22" i="28" a="1"/>
  <c r="CJ22" i="28" s="1"/>
  <c r="CP22" i="28" a="1"/>
  <c r="CP22" i="28" s="1"/>
  <c r="BL22" i="28" a="1"/>
  <c r="BL22" i="28" s="1"/>
  <c r="BR22" i="28" a="1"/>
  <c r="BR22" i="28" s="1"/>
  <c r="CK22" i="28" a="1"/>
  <c r="CK22" i="28" s="1"/>
  <c r="CQ22" i="28" a="1"/>
  <c r="CQ22" i="28" s="1"/>
  <c r="BS22" i="28" a="1"/>
  <c r="BS22" i="28" s="1"/>
  <c r="BT22" i="28" a="1"/>
  <c r="BT22" i="28" s="1"/>
  <c r="BX22" i="28" a="1"/>
  <c r="BX22" i="28" s="1"/>
  <c r="BY22" i="28" a="1"/>
  <c r="BY22" i="28" s="1"/>
  <c r="CE22" i="28" a="1"/>
  <c r="CE22" i="28" s="1"/>
  <c r="BG22" i="28" a="1"/>
  <c r="BG22" i="28" s="1"/>
  <c r="BM22" i="28" a="1"/>
  <c r="BM22" i="28" s="1"/>
  <c r="CL22" i="28" a="1"/>
  <c r="CL22" i="28" s="1"/>
  <c r="Z3" i="28"/>
  <c r="A46" i="12"/>
  <c r="B45" i="12"/>
  <c r="C45" i="12" s="1"/>
  <c r="D45" i="12" s="1"/>
  <c r="K9" i="22"/>
  <c r="K10" i="22" s="1"/>
  <c r="Q104" i="24" l="1"/>
  <c r="R104" i="24" s="1"/>
  <c r="P105" i="24"/>
  <c r="Z5" i="28" a="1"/>
  <c r="Z5" i="28" s="1"/>
  <c r="Z6" i="28" a="1"/>
  <c r="Z6" i="28" s="1"/>
  <c r="Z7" i="28" a="1"/>
  <c r="Z7" i="28" s="1"/>
  <c r="Z8" i="28" a="1"/>
  <c r="Z8" i="28" s="1"/>
  <c r="Z9" i="28" a="1"/>
  <c r="Z9" i="28" s="1"/>
  <c r="Z10" i="28" a="1"/>
  <c r="Z10" i="28" s="1"/>
  <c r="Z11" i="28" a="1"/>
  <c r="Z11" i="28" s="1"/>
  <c r="Z12" i="28" a="1"/>
  <c r="Z12" i="28" s="1"/>
  <c r="Z13" i="28" a="1"/>
  <c r="Z13" i="28" s="1"/>
  <c r="Z14" i="28" a="1"/>
  <c r="Z14" i="28" s="1"/>
  <c r="Z15" i="28" a="1"/>
  <c r="Z15" i="28" s="1"/>
  <c r="Z16" i="28" a="1"/>
  <c r="Z16" i="28" s="1"/>
  <c r="Z17" i="28" a="1"/>
  <c r="Z17" i="28" s="1"/>
  <c r="Z18" i="28" a="1"/>
  <c r="Z18" i="28" s="1"/>
  <c r="Z19" i="28" a="1"/>
  <c r="Z19" i="28" s="1"/>
  <c r="Z20" i="28" a="1"/>
  <c r="Z20" i="28" s="1"/>
  <c r="Z21" i="28" a="1"/>
  <c r="Z21" i="28" s="1"/>
  <c r="Z22" i="28" a="1"/>
  <c r="Z22" i="28" s="1"/>
  <c r="K23" i="28" a="1"/>
  <c r="K23" i="28" s="1"/>
  <c r="S23" i="28" a="1"/>
  <c r="S23" i="28" s="1"/>
  <c r="L23" i="28" a="1"/>
  <c r="L23" i="28" s="1"/>
  <c r="U23" i="28" a="1"/>
  <c r="U23" i="28" s="1"/>
  <c r="M23" i="28" a="1"/>
  <c r="M23" i="28" s="1"/>
  <c r="V23" i="28" a="1"/>
  <c r="V23" i="28" s="1"/>
  <c r="N23" i="28" a="1"/>
  <c r="N23" i="28" s="1"/>
  <c r="W23" i="28" a="1"/>
  <c r="W23" i="28" s="1"/>
  <c r="O23" i="28" a="1"/>
  <c r="O23" i="28" s="1"/>
  <c r="X23" i="28" a="1"/>
  <c r="X23" i="28" s="1"/>
  <c r="P23" i="28" a="1"/>
  <c r="P23" i="28" s="1"/>
  <c r="Y23" i="28" a="1"/>
  <c r="Y23" i="28" s="1"/>
  <c r="I23" i="28" a="1"/>
  <c r="I23" i="28" s="1"/>
  <c r="R23" i="28" a="1"/>
  <c r="R23" i="28" s="1"/>
  <c r="Q23" i="28" a="1"/>
  <c r="Q23" i="28" s="1"/>
  <c r="T23" i="28" a="1"/>
  <c r="T23" i="28" s="1"/>
  <c r="Z23" i="28" a="1"/>
  <c r="Z23" i="28" s="1"/>
  <c r="E23" i="28" a="1"/>
  <c r="E23" i="28" s="1"/>
  <c r="H23" i="28" a="1"/>
  <c r="H23" i="28" s="1"/>
  <c r="D23" i="28" a="1"/>
  <c r="D23" i="28" s="1"/>
  <c r="J23" i="28" a="1"/>
  <c r="J23" i="28" s="1"/>
  <c r="AP9" i="11"/>
  <c r="X18" i="32"/>
  <c r="AG18" i="32" s="1"/>
  <c r="AG4" i="11"/>
  <c r="K18" i="32"/>
  <c r="AI19" i="32"/>
  <c r="AT19" i="32" s="1"/>
  <c r="BB19" i="32" s="1"/>
  <c r="AD19" i="11"/>
  <c r="BN60" i="28" a="1"/>
  <c r="BN60" i="28" s="1"/>
  <c r="BD60" i="28" a="1"/>
  <c r="BD60" i="28" s="1"/>
  <c r="DL7" i="28"/>
  <c r="DL35" i="28"/>
  <c r="DL119" i="28"/>
  <c r="DL91" i="28"/>
  <c r="DL175" i="28"/>
  <c r="DL147" i="28"/>
  <c r="DL63" i="28"/>
  <c r="F20" i="32"/>
  <c r="BN18" i="28"/>
  <c r="DI36" i="28"/>
  <c r="DI176" i="28"/>
  <c r="DI148" i="28"/>
  <c r="DI92" i="28"/>
  <c r="DI64" i="28"/>
  <c r="DI120" i="28"/>
  <c r="DI8" i="28"/>
  <c r="DB9" i="28"/>
  <c r="DC9" i="28" s="1"/>
  <c r="DB121" i="28"/>
  <c r="DB65" i="28"/>
  <c r="DC65" i="28" s="1"/>
  <c r="DB149" i="28"/>
  <c r="DB93" i="28"/>
  <c r="DB177" i="28"/>
  <c r="DC177" i="28" s="1"/>
  <c r="DB37" i="28"/>
  <c r="DC37" i="28" s="1"/>
  <c r="F14" i="32"/>
  <c r="CX16" i="28"/>
  <c r="DE19" i="28"/>
  <c r="DE46" i="28"/>
  <c r="DE13" i="28"/>
  <c r="L9" i="22"/>
  <c r="CX22" i="28"/>
  <c r="R20" i="11"/>
  <c r="DD91" i="28"/>
  <c r="DC91" i="28" s="1"/>
  <c r="X1" i="28"/>
  <c r="BV1" i="28"/>
  <c r="BC23" i="28" a="1"/>
  <c r="BC23" i="28" s="1"/>
  <c r="AA3" i="28"/>
  <c r="AA23" i="28" s="1" a="1"/>
  <c r="AA23" i="28" s="1"/>
  <c r="B24" i="28"/>
  <c r="CV23" i="28" a="1"/>
  <c r="CV23" i="28" s="1"/>
  <c r="CW23" i="28" a="1"/>
  <c r="CW23" i="28" s="1"/>
  <c r="CR23" i="28" a="1"/>
  <c r="CR23" i="28" s="1"/>
  <c r="CS23" i="28" a="1"/>
  <c r="CS23" i="28" s="1"/>
  <c r="CT23" i="28" a="1"/>
  <c r="CT23" i="28" s="1"/>
  <c r="CU23" i="28" a="1"/>
  <c r="CU23" i="28" s="1"/>
  <c r="BU23" i="28" a="1"/>
  <c r="BU23" i="28" s="1"/>
  <c r="CA23" i="28" a="1"/>
  <c r="CA23" i="28" s="1"/>
  <c r="CG23" i="28" a="1"/>
  <c r="CG23" i="28" s="1"/>
  <c r="BI23" i="28" a="1"/>
  <c r="BI23" i="28" s="1"/>
  <c r="BP23" i="28" a="1"/>
  <c r="BP23" i="28" s="1"/>
  <c r="BV23" i="28" a="1"/>
  <c r="BV23" i="28" s="1"/>
  <c r="CB23" i="28" a="1"/>
  <c r="CB23" i="28" s="1"/>
  <c r="CH23" i="28" a="1"/>
  <c r="CH23" i="28" s="1"/>
  <c r="CN23" i="28" a="1"/>
  <c r="CN23" i="28" s="1"/>
  <c r="BJ23" i="28" a="1"/>
  <c r="BJ23" i="28" s="1"/>
  <c r="CC23" i="28" a="1"/>
  <c r="CC23" i="28" s="1"/>
  <c r="CI23" i="28" a="1"/>
  <c r="CI23" i="28" s="1"/>
  <c r="BK23" i="28" a="1"/>
  <c r="BK23" i="28" s="1"/>
  <c r="BQ23" i="28" a="1"/>
  <c r="BQ23" i="28" s="1"/>
  <c r="BW23" i="28" a="1"/>
  <c r="BW23" i="28" s="1"/>
  <c r="CD23" i="28" a="1"/>
  <c r="CD23" i="28" s="1"/>
  <c r="CJ23" i="28" a="1"/>
  <c r="CJ23" i="28" s="1"/>
  <c r="CO23" i="28" a="1"/>
  <c r="CO23" i="28" s="1"/>
  <c r="BL23" i="28" a="1"/>
  <c r="BL23" i="28" s="1"/>
  <c r="BR23" i="28" a="1"/>
  <c r="BR23" i="28" s="1"/>
  <c r="BX23" i="28" a="1"/>
  <c r="BX23" i="28" s="1"/>
  <c r="CK23" i="28" a="1"/>
  <c r="CK23" i="28" s="1"/>
  <c r="CP23" i="28" a="1"/>
  <c r="CP23" i="28" s="1"/>
  <c r="BG23" i="28" a="1"/>
  <c r="BG23" i="28" s="1"/>
  <c r="BM23" i="28" a="1"/>
  <c r="BM23" i="28" s="1"/>
  <c r="BN23" i="28" a="1"/>
  <c r="BN23" i="28" s="1"/>
  <c r="CE23" i="28" a="1"/>
  <c r="CE23" i="28" s="1"/>
  <c r="BO23" i="28" a="1"/>
  <c r="BO23" i="28" s="1"/>
  <c r="CF23" i="28" a="1"/>
  <c r="CF23" i="28" s="1"/>
  <c r="BS23" i="28" a="1"/>
  <c r="BS23" i="28" s="1"/>
  <c r="CL23" i="28" a="1"/>
  <c r="CL23" i="28" s="1"/>
  <c r="BT23" i="28" a="1"/>
  <c r="BT23" i="28" s="1"/>
  <c r="CM23" i="28" a="1"/>
  <c r="CM23" i="28" s="1"/>
  <c r="BY23" i="28" a="1"/>
  <c r="BY23" i="28" s="1"/>
  <c r="CQ23" i="28" a="1"/>
  <c r="CQ23" i="28" s="1"/>
  <c r="BH23" i="28" a="1"/>
  <c r="BH23" i="28" s="1"/>
  <c r="BZ23" i="28" a="1"/>
  <c r="BZ23" i="28" s="1"/>
  <c r="B46" i="12"/>
  <c r="C46" i="12" s="1"/>
  <c r="D46" i="12" s="1"/>
  <c r="A47" i="12"/>
  <c r="Q105" i="24" l="1"/>
  <c r="R105" i="24" s="1"/>
  <c r="P106" i="24"/>
  <c r="J24" i="28" a="1"/>
  <c r="J24" i="28" s="1"/>
  <c r="R24" i="28" a="1"/>
  <c r="R24" i="28" s="1"/>
  <c r="Z24" i="28" a="1"/>
  <c r="Z24" i="28" s="1"/>
  <c r="P24" i="28" a="1"/>
  <c r="P24" i="28" s="1"/>
  <c r="Q24" i="28" a="1"/>
  <c r="Q24" i="28" s="1"/>
  <c r="AA24" i="28" a="1"/>
  <c r="AA24" i="28" s="1"/>
  <c r="I24" i="28" a="1"/>
  <c r="I24" i="28" s="1"/>
  <c r="S24" i="28" a="1"/>
  <c r="S24" i="28" s="1"/>
  <c r="K24" i="28" a="1"/>
  <c r="K24" i="28" s="1"/>
  <c r="T24" i="28" a="1"/>
  <c r="T24" i="28" s="1"/>
  <c r="L24" i="28" a="1"/>
  <c r="L24" i="28" s="1"/>
  <c r="U24" i="28" a="1"/>
  <c r="U24" i="28" s="1"/>
  <c r="N24" i="28" a="1"/>
  <c r="N24" i="28" s="1"/>
  <c r="W24" i="28" a="1"/>
  <c r="W24" i="28" s="1"/>
  <c r="M24" i="28" a="1"/>
  <c r="M24" i="28" s="1"/>
  <c r="O24" i="28" a="1"/>
  <c r="O24" i="28" s="1"/>
  <c r="V24" i="28" a="1"/>
  <c r="V24" i="28" s="1"/>
  <c r="X24" i="28" a="1"/>
  <c r="X24" i="28" s="1"/>
  <c r="E24" i="28" a="1"/>
  <c r="E24" i="28" s="1"/>
  <c r="Y24" i="28" a="1"/>
  <c r="Y24" i="28" s="1"/>
  <c r="H24" i="28" a="1"/>
  <c r="H24" i="28" s="1"/>
  <c r="D24" i="28" a="1"/>
  <c r="D24" i="28" s="1"/>
  <c r="AA5" i="28" a="1"/>
  <c r="AA5" i="28" s="1"/>
  <c r="AA6" i="28" a="1"/>
  <c r="AA6" i="28" s="1"/>
  <c r="AA7" i="28" a="1"/>
  <c r="AA7" i="28" s="1"/>
  <c r="AA8" i="28" a="1"/>
  <c r="AA8" i="28" s="1"/>
  <c r="AA9" i="28" a="1"/>
  <c r="AA9" i="28" s="1"/>
  <c r="AA10" i="28" a="1"/>
  <c r="AA10" i="28" s="1"/>
  <c r="AA11" i="28" a="1"/>
  <c r="AA11" i="28" s="1"/>
  <c r="AA12" i="28" a="1"/>
  <c r="AA12" i="28" s="1"/>
  <c r="AA13" i="28" a="1"/>
  <c r="AA13" i="28" s="1"/>
  <c r="AA14" i="28" a="1"/>
  <c r="AA14" i="28" s="1"/>
  <c r="AA15" i="28" a="1"/>
  <c r="AA15" i="28" s="1"/>
  <c r="AA16" i="28" a="1"/>
  <c r="AA16" i="28" s="1"/>
  <c r="AA17" i="28" a="1"/>
  <c r="AA17" i="28" s="1"/>
  <c r="AA18" i="28" a="1"/>
  <c r="AA18" i="28" s="1"/>
  <c r="AA19" i="28" a="1"/>
  <c r="AA19" i="28" s="1"/>
  <c r="AA20" i="28" a="1"/>
  <c r="AA20" i="28" s="1"/>
  <c r="AA21" i="28" a="1"/>
  <c r="AA21" i="28" s="1"/>
  <c r="AA22" i="28" a="1"/>
  <c r="AA22" i="28" s="1"/>
  <c r="AP10" i="11"/>
  <c r="X19" i="32"/>
  <c r="AG19" i="32" s="1"/>
  <c r="U18" i="32"/>
  <c r="AB18" i="32" s="1"/>
  <c r="BH45" i="32" s="1"/>
  <c r="AG5" i="11"/>
  <c r="B23" i="25" s="1"/>
  <c r="AD20" i="11"/>
  <c r="K19" i="32"/>
  <c r="AI20" i="32"/>
  <c r="AT20" i="32" s="1"/>
  <c r="BB20" i="32" s="1"/>
  <c r="BN61" i="28" a="1"/>
  <c r="BN61" i="28" s="1"/>
  <c r="BD61" i="28" a="1"/>
  <c r="BD61" i="28" s="1"/>
  <c r="DL120" i="28"/>
  <c r="DL64" i="28"/>
  <c r="DL8" i="28"/>
  <c r="DL92" i="28"/>
  <c r="DL148" i="28"/>
  <c r="DL176" i="28"/>
  <c r="DL36" i="28"/>
  <c r="F21" i="32"/>
  <c r="BN19" i="28"/>
  <c r="DI37" i="28"/>
  <c r="DI177" i="28"/>
  <c r="DI93" i="28"/>
  <c r="DI149" i="28"/>
  <c r="DI65" i="28"/>
  <c r="DI121" i="28"/>
  <c r="DI9" i="28"/>
  <c r="DB38" i="28"/>
  <c r="DC38" i="28" s="1"/>
  <c r="DB122" i="28"/>
  <c r="DB178" i="28"/>
  <c r="DC178" i="28" s="1"/>
  <c r="DB150" i="28"/>
  <c r="DB66" i="28"/>
  <c r="DC66" i="28" s="1"/>
  <c r="DB94" i="28"/>
  <c r="DB10" i="28"/>
  <c r="DC10" i="28" s="1"/>
  <c r="F15" i="32"/>
  <c r="CX17" i="28"/>
  <c r="DE41" i="28"/>
  <c r="DE14" i="28"/>
  <c r="DE74" i="28"/>
  <c r="CX23" i="28"/>
  <c r="DE20" i="28"/>
  <c r="DE47" i="28"/>
  <c r="L10" i="22"/>
  <c r="R21" i="11"/>
  <c r="DD92" i="28"/>
  <c r="DC92" i="28" s="1"/>
  <c r="Y1" i="28"/>
  <c r="BW1" i="28"/>
  <c r="BC24" i="28" a="1"/>
  <c r="BC24" i="28" s="1"/>
  <c r="BD24" i="28" a="1"/>
  <c r="BD24" i="28" s="1"/>
  <c r="BD16" i="28" s="1"/>
  <c r="BD17" i="28" s="1"/>
  <c r="BD18" i="28" s="1"/>
  <c r="BD19" i="28" s="1"/>
  <c r="BD20" i="28" s="1"/>
  <c r="BD21" i="28" s="1"/>
  <c r="BD22" i="28" s="1"/>
  <c r="BD23" i="28" s="1"/>
  <c r="B25" i="28"/>
  <c r="CR24" i="28" a="1"/>
  <c r="CR24" i="28" s="1"/>
  <c r="CS24" i="28" a="1"/>
  <c r="CS24" i="28" s="1"/>
  <c r="CT24" i="28" a="1"/>
  <c r="CT24" i="28" s="1"/>
  <c r="CU24" i="28" a="1"/>
  <c r="CU24" i="28" s="1"/>
  <c r="CV24" i="28" a="1"/>
  <c r="CV24" i="28" s="1"/>
  <c r="CW24" i="28" a="1"/>
  <c r="CW24" i="28" s="1"/>
  <c r="BJ24" i="28" a="1"/>
  <c r="BJ24" i="28" s="1"/>
  <c r="BQ24" i="28" a="1"/>
  <c r="BQ24" i="28" s="1"/>
  <c r="BY24" i="28" a="1"/>
  <c r="BY24" i="28" s="1"/>
  <c r="CF24" i="28" a="1"/>
  <c r="CF24" i="28" s="1"/>
  <c r="BK24" i="28" a="1"/>
  <c r="BK24" i="28" s="1"/>
  <c r="BR24" i="28" a="1"/>
  <c r="BR24" i="28" s="1"/>
  <c r="BZ24" i="28" a="1"/>
  <c r="BZ24" i="28" s="1"/>
  <c r="CG24" i="28" a="1"/>
  <c r="CG24" i="28" s="1"/>
  <c r="CN24" i="28" a="1"/>
  <c r="CN24" i="28" s="1"/>
  <c r="BL24" i="28" a="1"/>
  <c r="BL24" i="28" s="1"/>
  <c r="BS24" i="28" a="1"/>
  <c r="BS24" i="28" s="1"/>
  <c r="CA24" i="28" a="1"/>
  <c r="CA24" i="28" s="1"/>
  <c r="CH24" i="28" a="1"/>
  <c r="CH24" i="28" s="1"/>
  <c r="CO24" i="28" a="1"/>
  <c r="CO24" i="28" s="1"/>
  <c r="BG24" i="28" a="1"/>
  <c r="BG24" i="28" s="1"/>
  <c r="BN24" i="28" a="1"/>
  <c r="BN24" i="28" s="1"/>
  <c r="BU24" i="28" a="1"/>
  <c r="BU24" i="28" s="1"/>
  <c r="CC24" i="28" a="1"/>
  <c r="CC24" i="28" s="1"/>
  <c r="CJ24" i="28" a="1"/>
  <c r="CJ24" i="28" s="1"/>
  <c r="CQ24" i="28" a="1"/>
  <c r="CQ24" i="28" s="1"/>
  <c r="BP24" i="28" a="1"/>
  <c r="BP24" i="28" s="1"/>
  <c r="CE24" i="28" a="1"/>
  <c r="CE24" i="28" s="1"/>
  <c r="BT24" i="28" a="1"/>
  <c r="BT24" i="28" s="1"/>
  <c r="CI24" i="28" a="1"/>
  <c r="CI24" i="28" s="1"/>
  <c r="BV24" i="28" a="1"/>
  <c r="BV24" i="28" s="1"/>
  <c r="CK24" i="28" a="1"/>
  <c r="CK24" i="28" s="1"/>
  <c r="BH24" i="28" a="1"/>
  <c r="BH24" i="28" s="1"/>
  <c r="BW24" i="28" a="1"/>
  <c r="BW24" i="28" s="1"/>
  <c r="CL24" i="28" a="1"/>
  <c r="CL24" i="28" s="1"/>
  <c r="BI24" i="28" a="1"/>
  <c r="BI24" i="28" s="1"/>
  <c r="BX24" i="28" a="1"/>
  <c r="BX24" i="28" s="1"/>
  <c r="CM24" i="28" a="1"/>
  <c r="CM24" i="28" s="1"/>
  <c r="BM24" i="28" a="1"/>
  <c r="BM24" i="28" s="1"/>
  <c r="CB24" i="28" a="1"/>
  <c r="CB24" i="28" s="1"/>
  <c r="CP24" i="28" a="1"/>
  <c r="CP24" i="28" s="1"/>
  <c r="BO24" i="28" a="1"/>
  <c r="BO24" i="28" s="1"/>
  <c r="CD24" i="28" a="1"/>
  <c r="CD24" i="28" s="1"/>
  <c r="AB3" i="28"/>
  <c r="B47" i="12"/>
  <c r="C47" i="12" s="1"/>
  <c r="D47" i="12" s="1"/>
  <c r="K11" i="22"/>
  <c r="Q106" i="24" l="1"/>
  <c r="R106" i="24" s="1"/>
  <c r="P107" i="24"/>
  <c r="AB5" i="28" a="1"/>
  <c r="AB5" i="28" s="1"/>
  <c r="AB6" i="28" a="1"/>
  <c r="AB6" i="28" s="1"/>
  <c r="AB7" i="28" a="1"/>
  <c r="AB7" i="28" s="1"/>
  <c r="AB8" i="28" a="1"/>
  <c r="AB8" i="28" s="1"/>
  <c r="AB9" i="28" a="1"/>
  <c r="AB9" i="28" s="1"/>
  <c r="AB10" i="28" a="1"/>
  <c r="AB10" i="28" s="1"/>
  <c r="AB11" i="28" a="1"/>
  <c r="AB11" i="28" s="1"/>
  <c r="AB12" i="28" a="1"/>
  <c r="AB12" i="28" s="1"/>
  <c r="AB13" i="28" a="1"/>
  <c r="AB13" i="28" s="1"/>
  <c r="AB14" i="28" a="1"/>
  <c r="AB14" i="28" s="1"/>
  <c r="AB15" i="28" a="1"/>
  <c r="AB15" i="28" s="1"/>
  <c r="AB16" i="28" a="1"/>
  <c r="AB16" i="28" s="1"/>
  <c r="AB17" i="28" a="1"/>
  <c r="AB17" i="28" s="1"/>
  <c r="AB18" i="28" a="1"/>
  <c r="AB18" i="28" s="1"/>
  <c r="AB19" i="28" a="1"/>
  <c r="AB19" i="28" s="1"/>
  <c r="AB20" i="28" a="1"/>
  <c r="AB20" i="28" s="1"/>
  <c r="AB21" i="28" a="1"/>
  <c r="AB21" i="28" s="1"/>
  <c r="AB22" i="28" a="1"/>
  <c r="AB22" i="28" s="1"/>
  <c r="AB23" i="28" a="1"/>
  <c r="AB23" i="28" s="1"/>
  <c r="J25" i="28" a="1"/>
  <c r="J25" i="28" s="1"/>
  <c r="R25" i="28" a="1"/>
  <c r="R25" i="28" s="1"/>
  <c r="Z25" i="28" a="1"/>
  <c r="Z25" i="28" s="1"/>
  <c r="K25" i="28" a="1"/>
  <c r="K25" i="28" s="1"/>
  <c r="S25" i="28" a="1"/>
  <c r="S25" i="28" s="1"/>
  <c r="AA25" i="28" a="1"/>
  <c r="AA25" i="28" s="1"/>
  <c r="L25" i="28" a="1"/>
  <c r="L25" i="28" s="1"/>
  <c r="T25" i="28" a="1"/>
  <c r="T25" i="28" s="1"/>
  <c r="AB25" i="28" a="1"/>
  <c r="AB25" i="28" s="1"/>
  <c r="M25" i="28" a="1"/>
  <c r="M25" i="28" s="1"/>
  <c r="U25" i="28" a="1"/>
  <c r="U25" i="28" s="1"/>
  <c r="O25" i="28" a="1"/>
  <c r="O25" i="28" s="1"/>
  <c r="W25" i="28" a="1"/>
  <c r="W25" i="28" s="1"/>
  <c r="Q25" i="28" a="1"/>
  <c r="Q25" i="28" s="1"/>
  <c r="V25" i="28" a="1"/>
  <c r="V25" i="28" s="1"/>
  <c r="X25" i="28" a="1"/>
  <c r="X25" i="28" s="1"/>
  <c r="Y25" i="28" a="1"/>
  <c r="Y25" i="28" s="1"/>
  <c r="E25" i="28" a="1"/>
  <c r="E25" i="28" s="1"/>
  <c r="I25" i="28" a="1"/>
  <c r="I25" i="28" s="1"/>
  <c r="N25" i="28" a="1"/>
  <c r="N25" i="28" s="1"/>
  <c r="P25" i="28" a="1"/>
  <c r="P25" i="28" s="1"/>
  <c r="H25" i="28" a="1"/>
  <c r="H25" i="28" s="1"/>
  <c r="D25" i="28" a="1"/>
  <c r="D25" i="28" s="1"/>
  <c r="AB24" i="28" a="1"/>
  <c r="AB24" i="28" s="1"/>
  <c r="AP11" i="11"/>
  <c r="I6" i="32"/>
  <c r="S6" i="32" s="1"/>
  <c r="Z6" i="32" s="1"/>
  <c r="X20" i="32"/>
  <c r="AG20" i="32" s="1"/>
  <c r="U19" i="32"/>
  <c r="AB19" i="32" s="1"/>
  <c r="AG6" i="11"/>
  <c r="C23" i="25" s="1"/>
  <c r="C25" i="25" s="1"/>
  <c r="AD21" i="11"/>
  <c r="K20" i="32"/>
  <c r="AI21" i="32"/>
  <c r="AT21" i="32" s="1"/>
  <c r="BB21" i="32" s="1"/>
  <c r="BD62" i="28" a="1"/>
  <c r="BD62" i="28" s="1"/>
  <c r="BN62" i="28" a="1"/>
  <c r="BN62" i="28" s="1"/>
  <c r="DL9" i="28"/>
  <c r="DL121" i="28"/>
  <c r="DL65" i="28"/>
  <c r="DL149" i="28"/>
  <c r="DL93" i="28"/>
  <c r="DL177" i="28"/>
  <c r="DL37" i="28"/>
  <c r="F22" i="32"/>
  <c r="BN20" i="28"/>
  <c r="DI38" i="28"/>
  <c r="DI94" i="28"/>
  <c r="DI66" i="28"/>
  <c r="DI122" i="28"/>
  <c r="DI150" i="28"/>
  <c r="DI178" i="28"/>
  <c r="DI10" i="28"/>
  <c r="DB11" i="28"/>
  <c r="DC11" i="28" s="1"/>
  <c r="DB67" i="28"/>
  <c r="DC67" i="28" s="1"/>
  <c r="DB95" i="28"/>
  <c r="DB39" i="28"/>
  <c r="DC39" i="28" s="1"/>
  <c r="DB123" i="28"/>
  <c r="DB151" i="28"/>
  <c r="DB179" i="28"/>
  <c r="DC179" i="28" s="1"/>
  <c r="E22" i="32"/>
  <c r="F16" i="32"/>
  <c r="CX18" i="28"/>
  <c r="DE75" i="28"/>
  <c r="DE102" i="28"/>
  <c r="DE15" i="28"/>
  <c r="DE42" i="28"/>
  <c r="DE21" i="28"/>
  <c r="DE48" i="28"/>
  <c r="DE69" i="28"/>
  <c r="L11" i="22"/>
  <c r="CX24" i="28"/>
  <c r="R22" i="11"/>
  <c r="DD93" i="28"/>
  <c r="DC93" i="28" s="1"/>
  <c r="Z1" i="28"/>
  <c r="BX1" i="28"/>
  <c r="BC25" i="28" a="1"/>
  <c r="BC25" i="28" s="1"/>
  <c r="BD25" i="28" a="1"/>
  <c r="BD25" i="28" s="1"/>
  <c r="E23" i="32" s="1"/>
  <c r="AC3" i="28"/>
  <c r="AC25" i="28" s="1" a="1"/>
  <c r="AC25" i="28" s="1"/>
  <c r="B26" i="28"/>
  <c r="CR25" i="28" a="1"/>
  <c r="CR25" i="28" s="1"/>
  <c r="CS25" i="28" a="1"/>
  <c r="CS25" i="28" s="1"/>
  <c r="CT25" i="28" a="1"/>
  <c r="CT25" i="28" s="1"/>
  <c r="CU25" i="28" a="1"/>
  <c r="CU25" i="28" s="1"/>
  <c r="CV25" i="28" a="1"/>
  <c r="CV25" i="28" s="1"/>
  <c r="CW25" i="28" a="1"/>
  <c r="CW25" i="28" s="1"/>
  <c r="BH25" i="28" a="1"/>
  <c r="BH25" i="28" s="1"/>
  <c r="BO25" i="28" a="1"/>
  <c r="BO25" i="28" s="1"/>
  <c r="CB25" i="28" a="1"/>
  <c r="CB25" i="28" s="1"/>
  <c r="CI25" i="28" a="1"/>
  <c r="CI25" i="28" s="1"/>
  <c r="CP25" i="28" a="1"/>
  <c r="CP25" i="28" s="1"/>
  <c r="BI25" i="28" a="1"/>
  <c r="BI25" i="28" s="1"/>
  <c r="BV25" i="28" a="1"/>
  <c r="BV25" i="28" s="1"/>
  <c r="CC25" i="28" a="1"/>
  <c r="CC25" i="28" s="1"/>
  <c r="CQ25" i="28" a="1"/>
  <c r="CQ25" i="28" s="1"/>
  <c r="BJ25" i="28" a="1"/>
  <c r="BJ25" i="28" s="1"/>
  <c r="BP25" i="28" a="1"/>
  <c r="BP25" i="28" s="1"/>
  <c r="BW25" i="28" a="1"/>
  <c r="BW25" i="28" s="1"/>
  <c r="CD25" i="28" a="1"/>
  <c r="CD25" i="28" s="1"/>
  <c r="CJ25" i="28" a="1"/>
  <c r="CJ25" i="28" s="1"/>
  <c r="BL25" i="28" a="1"/>
  <c r="BL25" i="28" s="1"/>
  <c r="BR25" i="28" a="1"/>
  <c r="BR25" i="28" s="1"/>
  <c r="CF25" i="28" a="1"/>
  <c r="CF25" i="28" s="1"/>
  <c r="CL25" i="28" a="1"/>
  <c r="CL25" i="28" s="1"/>
  <c r="BT25" i="28" a="1"/>
  <c r="BT25" i="28" s="1"/>
  <c r="BG25" i="28" a="1"/>
  <c r="BG25" i="28" s="1"/>
  <c r="BU25" i="28" a="1"/>
  <c r="BU25" i="28" s="1"/>
  <c r="CH25" i="28" a="1"/>
  <c r="CH25" i="28" s="1"/>
  <c r="BK25" i="28" a="1"/>
  <c r="BK25" i="28" s="1"/>
  <c r="BX25" i="28" a="1"/>
  <c r="BX25" i="28" s="1"/>
  <c r="CK25" i="28" a="1"/>
  <c r="CK25" i="28" s="1"/>
  <c r="BY25" i="28" a="1"/>
  <c r="BY25" i="28" s="1"/>
  <c r="CM25" i="28" a="1"/>
  <c r="CM25" i="28" s="1"/>
  <c r="BM25" i="28" a="1"/>
  <c r="BM25" i="28" s="1"/>
  <c r="BZ25" i="28" a="1"/>
  <c r="BZ25" i="28" s="1"/>
  <c r="CN25" i="28" a="1"/>
  <c r="CN25" i="28" s="1"/>
  <c r="BN25" i="28" a="1"/>
  <c r="BN25" i="28" s="1"/>
  <c r="CA25" i="28" a="1"/>
  <c r="CA25" i="28" s="1"/>
  <c r="CO25" i="28" a="1"/>
  <c r="CO25" i="28" s="1"/>
  <c r="BQ25" i="28" a="1"/>
  <c r="BQ25" i="28" s="1"/>
  <c r="CE25" i="28" a="1"/>
  <c r="CE25" i="28" s="1"/>
  <c r="BS25" i="28" a="1"/>
  <c r="BS25" i="28" s="1"/>
  <c r="CG25" i="28" a="1"/>
  <c r="CG25" i="28" s="1"/>
  <c r="K12" i="22"/>
  <c r="Q107" i="24" l="1"/>
  <c r="R107" i="24" s="1"/>
  <c r="P108" i="24"/>
  <c r="I26" i="28" a="1"/>
  <c r="I26" i="28" s="1"/>
  <c r="Q26" i="28" a="1"/>
  <c r="Q26" i="28" s="1"/>
  <c r="J26" i="28" a="1"/>
  <c r="J26" i="28" s="1"/>
  <c r="R26" i="28" a="1"/>
  <c r="R26" i="28" s="1"/>
  <c r="K26" i="28" a="1"/>
  <c r="K26" i="28" s="1"/>
  <c r="S26" i="28" a="1"/>
  <c r="S26" i="28" s="1"/>
  <c r="AA26" i="28" a="1"/>
  <c r="AA26" i="28" s="1"/>
  <c r="L26" i="28" a="1"/>
  <c r="L26" i="28" s="1"/>
  <c r="T26" i="28" a="1"/>
  <c r="T26" i="28" s="1"/>
  <c r="N26" i="28" a="1"/>
  <c r="N26" i="28" s="1"/>
  <c r="V26" i="28" a="1"/>
  <c r="V26" i="28" s="1"/>
  <c r="U26" i="28" a="1"/>
  <c r="U26" i="28" s="1"/>
  <c r="H26" i="28" a="1"/>
  <c r="H26" i="28" s="1"/>
  <c r="D26" i="28" a="1"/>
  <c r="D26" i="28" s="1"/>
  <c r="W26" i="28" a="1"/>
  <c r="W26" i="28" s="1"/>
  <c r="X26" i="28" a="1"/>
  <c r="X26" i="28" s="1"/>
  <c r="Y26" i="28" a="1"/>
  <c r="Y26" i="28" s="1"/>
  <c r="Z26" i="28" a="1"/>
  <c r="Z26" i="28" s="1"/>
  <c r="M26" i="28" a="1"/>
  <c r="M26" i="28" s="1"/>
  <c r="AB26" i="28" a="1"/>
  <c r="AB26" i="28" s="1"/>
  <c r="E26" i="28" a="1"/>
  <c r="E26" i="28" s="1"/>
  <c r="O26" i="28" a="1"/>
  <c r="O26" i="28" s="1"/>
  <c r="AC26" i="28" a="1"/>
  <c r="AC26" i="28" s="1"/>
  <c r="P26" i="28" a="1"/>
  <c r="P26" i="28" s="1"/>
  <c r="AC5" i="28" a="1"/>
  <c r="AC5" i="28" s="1"/>
  <c r="AC6" i="28" a="1"/>
  <c r="AC6" i="28" s="1"/>
  <c r="AC7" i="28" a="1"/>
  <c r="AC7" i="28" s="1"/>
  <c r="AC8" i="28" a="1"/>
  <c r="AC8" i="28" s="1"/>
  <c r="AC9" i="28" a="1"/>
  <c r="AC9" i="28" s="1"/>
  <c r="AC10" i="28" a="1"/>
  <c r="AC10" i="28" s="1"/>
  <c r="AC11" i="28" a="1"/>
  <c r="AC11" i="28" s="1"/>
  <c r="AC12" i="28" a="1"/>
  <c r="AC12" i="28" s="1"/>
  <c r="AC13" i="28" a="1"/>
  <c r="AC13" i="28" s="1"/>
  <c r="AC14" i="28" a="1"/>
  <c r="AC14" i="28" s="1"/>
  <c r="AC15" i="28" a="1"/>
  <c r="AC15" i="28" s="1"/>
  <c r="AC16" i="28" a="1"/>
  <c r="AC16" i="28" s="1"/>
  <c r="AC17" i="28" a="1"/>
  <c r="AC17" i="28" s="1"/>
  <c r="AC18" i="28" a="1"/>
  <c r="AC18" i="28" s="1"/>
  <c r="AC19" i="28" a="1"/>
  <c r="AC19" i="28" s="1"/>
  <c r="AC20" i="28" a="1"/>
  <c r="AC20" i="28" s="1"/>
  <c r="AC21" i="28" a="1"/>
  <c r="AC21" i="28" s="1"/>
  <c r="AC22" i="28" a="1"/>
  <c r="AC22" i="28" s="1"/>
  <c r="AC23" i="28" a="1"/>
  <c r="AC23" i="28" s="1"/>
  <c r="AC24" i="28" a="1"/>
  <c r="AC24" i="28" s="1"/>
  <c r="AP12" i="11"/>
  <c r="I7" i="32"/>
  <c r="S7" i="32" s="1"/>
  <c r="Z7" i="32" s="1"/>
  <c r="X21" i="32"/>
  <c r="AG21" i="32" s="1"/>
  <c r="U20" i="32"/>
  <c r="AB20" i="32" s="1"/>
  <c r="AG7" i="11"/>
  <c r="D23" i="25" s="1"/>
  <c r="AD22" i="11"/>
  <c r="K21" i="32"/>
  <c r="AI22" i="32"/>
  <c r="AT22" i="32" s="1"/>
  <c r="BB22" i="32" s="1"/>
  <c r="BN63" i="28" a="1"/>
  <c r="BN63" i="28" s="1"/>
  <c r="BD63" i="28" a="1"/>
  <c r="BD63" i="28" s="1"/>
  <c r="DL10" i="28"/>
  <c r="DL178" i="28"/>
  <c r="DL150" i="28"/>
  <c r="DL122" i="28"/>
  <c r="DL66" i="28"/>
  <c r="DL94" i="28"/>
  <c r="DL38" i="28"/>
  <c r="F23" i="32"/>
  <c r="DI151" i="28"/>
  <c r="DI179" i="28"/>
  <c r="DI123" i="28"/>
  <c r="DI39" i="28"/>
  <c r="DI95" i="28"/>
  <c r="DI67" i="28"/>
  <c r="DI11" i="28"/>
  <c r="DB180" i="28"/>
  <c r="DC180" i="28" s="1"/>
  <c r="DB12" i="28"/>
  <c r="DC12" i="28" s="1"/>
  <c r="DB96" i="28"/>
  <c r="DB152" i="28"/>
  <c r="DB124" i="28"/>
  <c r="DB40" i="28"/>
  <c r="DC40" i="28" s="1"/>
  <c r="DB68" i="28"/>
  <c r="DC68" i="28" s="1"/>
  <c r="F17" i="32"/>
  <c r="CX19" i="28"/>
  <c r="E14" i="32"/>
  <c r="CX25" i="28"/>
  <c r="DE22" i="28"/>
  <c r="DE76" i="28"/>
  <c r="DE130" i="28"/>
  <c r="DE49" i="28"/>
  <c r="DE70" i="28"/>
  <c r="DE103" i="28"/>
  <c r="DE43" i="28"/>
  <c r="DE16" i="28"/>
  <c r="DE97" i="28"/>
  <c r="L12" i="22"/>
  <c r="R23" i="11"/>
  <c r="DD94" i="28"/>
  <c r="DC94" i="28" s="1"/>
  <c r="AA1" i="28"/>
  <c r="BY1" i="28"/>
  <c r="BD26" i="28" a="1"/>
  <c r="BD26" i="28" s="1"/>
  <c r="E24" i="32" s="1"/>
  <c r="BC26" i="28" a="1"/>
  <c r="BC26" i="28" s="1"/>
  <c r="B27" i="28"/>
  <c r="CT26" i="28" a="1"/>
  <c r="CT26" i="28" s="1"/>
  <c r="CU26" i="28" a="1"/>
  <c r="CU26" i="28" s="1"/>
  <c r="CV26" i="28" a="1"/>
  <c r="CV26" i="28" s="1"/>
  <c r="CW26" i="28" a="1"/>
  <c r="CW26" i="28" s="1"/>
  <c r="CR26" i="28" a="1"/>
  <c r="CR26" i="28" s="1"/>
  <c r="CS26" i="28" a="1"/>
  <c r="CS26" i="28" s="1"/>
  <c r="BQ26" i="28" a="1"/>
  <c r="BQ26" i="28" s="1"/>
  <c r="BJ26" i="28" a="1"/>
  <c r="BJ26" i="28" s="1"/>
  <c r="BK26" i="28" a="1"/>
  <c r="BK26" i="28" s="1"/>
  <c r="BM26" i="28" a="1"/>
  <c r="BM26" i="28" s="1"/>
  <c r="BH26" i="28" a="1"/>
  <c r="BH26" i="28" s="1"/>
  <c r="BS26" i="28" a="1"/>
  <c r="BS26" i="28" s="1"/>
  <c r="BZ26" i="28" a="1"/>
  <c r="BZ26" i="28" s="1"/>
  <c r="CM26" i="28" a="1"/>
  <c r="CM26" i="28" s="1"/>
  <c r="BI26" i="28" a="1"/>
  <c r="BI26" i="28" s="1"/>
  <c r="BT26" i="28" a="1"/>
  <c r="BT26" i="28" s="1"/>
  <c r="CA26" i="28" a="1"/>
  <c r="CA26" i="28" s="1"/>
  <c r="CG26" i="28" a="1"/>
  <c r="CG26" i="28" s="1"/>
  <c r="CN26" i="28" a="1"/>
  <c r="CN26" i="28" s="1"/>
  <c r="BL26" i="28" a="1"/>
  <c r="BL26" i="28" s="1"/>
  <c r="CB26" i="28" a="1"/>
  <c r="CB26" i="28" s="1"/>
  <c r="CH26" i="28" a="1"/>
  <c r="CH26" i="28" s="1"/>
  <c r="CO26" i="28" a="1"/>
  <c r="CO26" i="28" s="1"/>
  <c r="BN26" i="28" a="1"/>
  <c r="BN26" i="28" s="1"/>
  <c r="BU26" i="28" a="1"/>
  <c r="BU26" i="28" s="1"/>
  <c r="CC26" i="28" a="1"/>
  <c r="CC26" i="28" s="1"/>
  <c r="CI26" i="28" a="1"/>
  <c r="CI26" i="28" s="1"/>
  <c r="BO26" i="28" a="1"/>
  <c r="BO26" i="28" s="1"/>
  <c r="BV26" i="28" a="1"/>
  <c r="BV26" i="28" s="1"/>
  <c r="CJ26" i="28" a="1"/>
  <c r="CJ26" i="28" s="1"/>
  <c r="CP26" i="28" a="1"/>
  <c r="CP26" i="28" s="1"/>
  <c r="BP26" i="28" a="1"/>
  <c r="BP26" i="28" s="1"/>
  <c r="BW26" i="28" a="1"/>
  <c r="BW26" i="28" s="1"/>
  <c r="CD26" i="28" a="1"/>
  <c r="CD26" i="28" s="1"/>
  <c r="CK26" i="28" a="1"/>
  <c r="CK26" i="28" s="1"/>
  <c r="CQ26" i="28" a="1"/>
  <c r="CQ26" i="28" s="1"/>
  <c r="BR26" i="28" a="1"/>
  <c r="BR26" i="28" s="1"/>
  <c r="BX26" i="28" a="1"/>
  <c r="BX26" i="28" s="1"/>
  <c r="CE26" i="28" a="1"/>
  <c r="CE26" i="28" s="1"/>
  <c r="CL26" i="28" a="1"/>
  <c r="CL26" i="28" s="1"/>
  <c r="BG26" i="28" a="1"/>
  <c r="BG26" i="28" s="1"/>
  <c r="BY26" i="28" a="1"/>
  <c r="BY26" i="28" s="1"/>
  <c r="CF26" i="28" a="1"/>
  <c r="CF26" i="28" s="1"/>
  <c r="AD3" i="28"/>
  <c r="AD26" i="28" s="1" a="1"/>
  <c r="AD26" i="28" s="1"/>
  <c r="K13" i="22"/>
  <c r="Q108" i="24" l="1"/>
  <c r="R108" i="24" s="1"/>
  <c r="P109" i="24"/>
  <c r="J27" i="28" a="1"/>
  <c r="J27" i="28" s="1"/>
  <c r="R27" i="28" a="1"/>
  <c r="R27" i="28" s="1"/>
  <c r="M27" i="28" a="1"/>
  <c r="M27" i="28" s="1"/>
  <c r="L27" i="28" a="1"/>
  <c r="L27" i="28" s="1"/>
  <c r="V27" i="28" a="1"/>
  <c r="V27" i="28" s="1"/>
  <c r="AD27" i="28" a="1"/>
  <c r="AD27" i="28" s="1"/>
  <c r="N27" i="28" a="1"/>
  <c r="N27" i="28" s="1"/>
  <c r="W27" i="28" a="1"/>
  <c r="W27" i="28" s="1"/>
  <c r="H27" i="28" a="1"/>
  <c r="H27" i="28" s="1"/>
  <c r="D27" i="28" a="1"/>
  <c r="D27" i="28" s="1"/>
  <c r="O27" i="28" a="1"/>
  <c r="O27" i="28" s="1"/>
  <c r="X27" i="28" a="1"/>
  <c r="X27" i="28" s="1"/>
  <c r="P27" i="28" a="1"/>
  <c r="P27" i="28" s="1"/>
  <c r="Y27" i="28" a="1"/>
  <c r="Y27" i="28" s="1"/>
  <c r="Q27" i="28" a="1"/>
  <c r="Q27" i="28" s="1"/>
  <c r="Z27" i="28" a="1"/>
  <c r="Z27" i="28" s="1"/>
  <c r="S27" i="28" a="1"/>
  <c r="S27" i="28" s="1"/>
  <c r="AA27" i="28" a="1"/>
  <c r="AA27" i="28" s="1"/>
  <c r="I27" i="28" a="1"/>
  <c r="I27" i="28" s="1"/>
  <c r="T27" i="28" a="1"/>
  <c r="T27" i="28" s="1"/>
  <c r="AB27" i="28" a="1"/>
  <c r="AB27" i="28" s="1"/>
  <c r="E27" i="28" a="1"/>
  <c r="E27" i="28" s="1"/>
  <c r="K27" i="28" a="1"/>
  <c r="K27" i="28" s="1"/>
  <c r="U27" i="28" a="1"/>
  <c r="U27" i="28" s="1"/>
  <c r="AC27" i="28" a="1"/>
  <c r="AC27" i="28" s="1"/>
  <c r="AD5" i="28" a="1"/>
  <c r="AD5" i="28" s="1"/>
  <c r="AD6" i="28" a="1"/>
  <c r="AD6" i="28" s="1"/>
  <c r="AD7" i="28" a="1"/>
  <c r="AD7" i="28" s="1"/>
  <c r="AD8" i="28" a="1"/>
  <c r="AD8" i="28" s="1"/>
  <c r="AD9" i="28" a="1"/>
  <c r="AD9" i="28" s="1"/>
  <c r="AD10" i="28" a="1"/>
  <c r="AD10" i="28" s="1"/>
  <c r="AD11" i="28" a="1"/>
  <c r="AD11" i="28" s="1"/>
  <c r="AD12" i="28" a="1"/>
  <c r="AD12" i="28" s="1"/>
  <c r="AD13" i="28" a="1"/>
  <c r="AD13" i="28" s="1"/>
  <c r="AD14" i="28" a="1"/>
  <c r="AD14" i="28" s="1"/>
  <c r="AD15" i="28" a="1"/>
  <c r="AD15" i="28" s="1"/>
  <c r="AD16" i="28" a="1"/>
  <c r="AD16" i="28" s="1"/>
  <c r="AD17" i="28" a="1"/>
  <c r="AD17" i="28" s="1"/>
  <c r="AD18" i="28" a="1"/>
  <c r="AD18" i="28" s="1"/>
  <c r="AD19" i="28" a="1"/>
  <c r="AD19" i="28" s="1"/>
  <c r="AD20" i="28" a="1"/>
  <c r="AD20" i="28" s="1"/>
  <c r="AD21" i="28" a="1"/>
  <c r="AD21" i="28" s="1"/>
  <c r="AD22" i="28" a="1"/>
  <c r="AD22" i="28" s="1"/>
  <c r="AD23" i="28" a="1"/>
  <c r="AD23" i="28" s="1"/>
  <c r="AD24" i="28" a="1"/>
  <c r="AD24" i="28" s="1"/>
  <c r="AD25" i="28" a="1"/>
  <c r="AD25" i="28" s="1"/>
  <c r="AP14" i="11"/>
  <c r="AP13" i="11"/>
  <c r="I8" i="32"/>
  <c r="S8" i="32" s="1"/>
  <c r="Z8" i="32" s="1"/>
  <c r="U21" i="32"/>
  <c r="AB21" i="32" s="1"/>
  <c r="X22" i="32"/>
  <c r="AG22" i="32" s="1"/>
  <c r="AG9" i="11"/>
  <c r="F23" i="25" s="1"/>
  <c r="AG8" i="11"/>
  <c r="E23" i="25" s="1"/>
  <c r="AD23" i="11"/>
  <c r="K22" i="32"/>
  <c r="AI23" i="32"/>
  <c r="AT23" i="32" s="1"/>
  <c r="BB23" i="32" s="1"/>
  <c r="BD64" i="28" a="1"/>
  <c r="BD64" i="28" s="1"/>
  <c r="BN64" i="28" a="1"/>
  <c r="BN64" i="28" s="1"/>
  <c r="AD24" i="11"/>
  <c r="AI24" i="32"/>
  <c r="AT24" i="32" s="1"/>
  <c r="BB24" i="32" s="1"/>
  <c r="DL11" i="28"/>
  <c r="DL67" i="28"/>
  <c r="DL95" i="28"/>
  <c r="DL151" i="28"/>
  <c r="DL39" i="28"/>
  <c r="DL123" i="28"/>
  <c r="DL179" i="28"/>
  <c r="F24" i="32"/>
  <c r="DI180" i="28"/>
  <c r="DI68" i="28"/>
  <c r="DI40" i="28"/>
  <c r="DI124" i="28"/>
  <c r="DI152" i="28"/>
  <c r="DI96" i="28"/>
  <c r="DI12" i="28"/>
  <c r="DB125" i="28"/>
  <c r="DB41" i="28"/>
  <c r="DC41" i="28" s="1"/>
  <c r="DB153" i="28"/>
  <c r="DB13" i="28"/>
  <c r="DC13" i="28" s="1"/>
  <c r="DB97" i="28"/>
  <c r="DB69" i="28"/>
  <c r="DC69" i="28" s="1"/>
  <c r="DB181" i="28"/>
  <c r="DC181" i="28" s="1"/>
  <c r="E15" i="32"/>
  <c r="F18" i="32"/>
  <c r="CX20" i="28"/>
  <c r="DE77" i="28"/>
  <c r="DE131" i="28"/>
  <c r="DE158" i="28"/>
  <c r="DE125" i="28"/>
  <c r="DE44" i="28"/>
  <c r="DE17" i="28"/>
  <c r="DE71" i="28"/>
  <c r="DE98" i="28"/>
  <c r="DE104" i="28"/>
  <c r="DE50" i="28"/>
  <c r="CX26" i="28"/>
  <c r="DE23" i="28"/>
  <c r="L13" i="22"/>
  <c r="R24" i="11"/>
  <c r="DD95" i="28"/>
  <c r="DC95" i="28" s="1"/>
  <c r="AB1" i="28"/>
  <c r="BZ1" i="28"/>
  <c r="BC27" i="28" a="1"/>
  <c r="BC27" i="28" s="1"/>
  <c r="BD27" i="28" a="1"/>
  <c r="BD27" i="28" s="1"/>
  <c r="E25" i="32" s="1"/>
  <c r="AE3" i="28"/>
  <c r="B28" i="28"/>
  <c r="CV27" i="28" a="1"/>
  <c r="CV27" i="28" s="1"/>
  <c r="CW27" i="28" a="1"/>
  <c r="CW27" i="28" s="1"/>
  <c r="CR27" i="28" a="1"/>
  <c r="CR27" i="28" s="1"/>
  <c r="CS27" i="28" a="1"/>
  <c r="CS27" i="28" s="1"/>
  <c r="CT27" i="28" a="1"/>
  <c r="CT27" i="28" s="1"/>
  <c r="CU27" i="28" a="1"/>
  <c r="CU27" i="28" s="1"/>
  <c r="BH27" i="28" a="1"/>
  <c r="BH27" i="28" s="1"/>
  <c r="BP27" i="28" a="1"/>
  <c r="BP27" i="28" s="1"/>
  <c r="BW27" i="28" a="1"/>
  <c r="BW27" i="28" s="1"/>
  <c r="CC27" i="28" a="1"/>
  <c r="CC27" i="28" s="1"/>
  <c r="CQ27" i="28" a="1"/>
  <c r="CQ27" i="28" s="1"/>
  <c r="BI27" i="28" a="1"/>
  <c r="BI27" i="28" s="1"/>
  <c r="BQ27" i="28" a="1"/>
  <c r="BQ27" i="28" s="1"/>
  <c r="BX27" i="28" a="1"/>
  <c r="BX27" i="28" s="1"/>
  <c r="CD27" i="28" a="1"/>
  <c r="CD27" i="28" s="1"/>
  <c r="CJ27" i="28" a="1"/>
  <c r="CJ27" i="28" s="1"/>
  <c r="BJ27" i="28" a="1"/>
  <c r="BJ27" i="28" s="1"/>
  <c r="BY27" i="28" a="1"/>
  <c r="BY27" i="28" s="1"/>
  <c r="CE27" i="28" a="1"/>
  <c r="CE27" i="28" s="1"/>
  <c r="CK27" i="28" a="1"/>
  <c r="CK27" i="28" s="1"/>
  <c r="BK27" i="28" a="1"/>
  <c r="BK27" i="28" s="1"/>
  <c r="BR27" i="28" a="1"/>
  <c r="BR27" i="28" s="1"/>
  <c r="CF27" i="28" a="1"/>
  <c r="CF27" i="28" s="1"/>
  <c r="CL27" i="28" a="1"/>
  <c r="CL27" i="28" s="1"/>
  <c r="BL27" i="28" a="1"/>
  <c r="BL27" i="28" s="1"/>
  <c r="BS27" i="28" a="1"/>
  <c r="BS27" i="28" s="1"/>
  <c r="BZ27" i="28" a="1"/>
  <c r="BZ27" i="28" s="1"/>
  <c r="CG27" i="28" a="1"/>
  <c r="CG27" i="28" s="1"/>
  <c r="CM27" i="28" a="1"/>
  <c r="CM27" i="28" s="1"/>
  <c r="BM27" i="28" a="1"/>
  <c r="BM27" i="28" s="1"/>
  <c r="BT27" i="28" a="1"/>
  <c r="BT27" i="28" s="1"/>
  <c r="CH27" i="28" a="1"/>
  <c r="CH27" i="28" s="1"/>
  <c r="CN27" i="28" a="1"/>
  <c r="CN27" i="28" s="1"/>
  <c r="BN27" i="28" a="1"/>
  <c r="BN27" i="28" s="1"/>
  <c r="BU27" i="28" a="1"/>
  <c r="BU27" i="28" s="1"/>
  <c r="CA27" i="28" a="1"/>
  <c r="CA27" i="28" s="1"/>
  <c r="CO27" i="28" a="1"/>
  <c r="CO27" i="28" s="1"/>
  <c r="BV27" i="28" a="1"/>
  <c r="BV27" i="28" s="1"/>
  <c r="CB27" i="28" a="1"/>
  <c r="CB27" i="28" s="1"/>
  <c r="CI27" i="28" a="1"/>
  <c r="CI27" i="28" s="1"/>
  <c r="CP27" i="28" a="1"/>
  <c r="CP27" i="28" s="1"/>
  <c r="BG27" i="28" a="1"/>
  <c r="BG27" i="28" s="1"/>
  <c r="BO27" i="28" a="1"/>
  <c r="BO27" i="28" s="1"/>
  <c r="K14" i="22"/>
  <c r="Q109" i="24" l="1"/>
  <c r="R109" i="24" s="1"/>
  <c r="P110" i="24"/>
  <c r="M28" i="28" a="1"/>
  <c r="M28" i="28" s="1"/>
  <c r="U28" i="28" a="1"/>
  <c r="U28" i="28" s="1"/>
  <c r="AC28" i="28" a="1"/>
  <c r="AC28" i="28" s="1"/>
  <c r="N28" i="28" a="1"/>
  <c r="N28" i="28" s="1"/>
  <c r="V28" i="28" a="1"/>
  <c r="V28" i="28" s="1"/>
  <c r="AD28" i="28" a="1"/>
  <c r="AD28" i="28" s="1"/>
  <c r="O28" i="28" a="1"/>
  <c r="O28" i="28" s="1"/>
  <c r="W28" i="28" a="1"/>
  <c r="W28" i="28" s="1"/>
  <c r="AE28" i="28" a="1"/>
  <c r="AE28" i="28" s="1"/>
  <c r="H28" i="28" a="1"/>
  <c r="H28" i="28" s="1"/>
  <c r="D28" i="28" a="1"/>
  <c r="D28" i="28" s="1"/>
  <c r="P28" i="28" a="1"/>
  <c r="P28" i="28" s="1"/>
  <c r="X28" i="28" a="1"/>
  <c r="X28" i="28" s="1"/>
  <c r="I28" i="28" a="1"/>
  <c r="I28" i="28" s="1"/>
  <c r="Q28" i="28" a="1"/>
  <c r="Q28" i="28" s="1"/>
  <c r="Y28" i="28" a="1"/>
  <c r="Y28" i="28" s="1"/>
  <c r="J28" i="28" a="1"/>
  <c r="J28" i="28" s="1"/>
  <c r="R28" i="28" a="1"/>
  <c r="R28" i="28" s="1"/>
  <c r="Z28" i="28" a="1"/>
  <c r="Z28" i="28" s="1"/>
  <c r="K28" i="28" a="1"/>
  <c r="K28" i="28" s="1"/>
  <c r="S28" i="28" a="1"/>
  <c r="S28" i="28" s="1"/>
  <c r="AA28" i="28" a="1"/>
  <c r="AA28" i="28" s="1"/>
  <c r="L28" i="28" a="1"/>
  <c r="L28" i="28" s="1"/>
  <c r="T28" i="28" a="1"/>
  <c r="T28" i="28" s="1"/>
  <c r="AB28" i="28" a="1"/>
  <c r="AB28" i="28" s="1"/>
  <c r="E28" i="28" a="1"/>
  <c r="E28" i="28" s="1"/>
  <c r="AE5" i="28" a="1"/>
  <c r="AE5" i="28" s="1"/>
  <c r="AE6" i="28" a="1"/>
  <c r="AE6" i="28" s="1"/>
  <c r="AE7" i="28" a="1"/>
  <c r="AE7" i="28" s="1"/>
  <c r="AE8" i="28" a="1"/>
  <c r="AE8" i="28" s="1"/>
  <c r="AE9" i="28" a="1"/>
  <c r="AE9" i="28" s="1"/>
  <c r="AE10" i="28" a="1"/>
  <c r="AE10" i="28" s="1"/>
  <c r="AE11" i="28" a="1"/>
  <c r="AE11" i="28" s="1"/>
  <c r="AE12" i="28" a="1"/>
  <c r="AE12" i="28" s="1"/>
  <c r="AE13" i="28" a="1"/>
  <c r="AE13" i="28" s="1"/>
  <c r="AE14" i="28" a="1"/>
  <c r="AE14" i="28" s="1"/>
  <c r="AE15" i="28" a="1"/>
  <c r="AE15" i="28" s="1"/>
  <c r="AE16" i="28" a="1"/>
  <c r="AE16" i="28" s="1"/>
  <c r="AE17" i="28" a="1"/>
  <c r="AE17" i="28" s="1"/>
  <c r="AE18" i="28" a="1"/>
  <c r="AE18" i="28" s="1"/>
  <c r="AE19" i="28" a="1"/>
  <c r="AE19" i="28" s="1"/>
  <c r="AE20" i="28" a="1"/>
  <c r="AE20" i="28" s="1"/>
  <c r="AE21" i="28" a="1"/>
  <c r="AE21" i="28" s="1"/>
  <c r="AE22" i="28" a="1"/>
  <c r="AE22" i="28" s="1"/>
  <c r="AE23" i="28" a="1"/>
  <c r="AE23" i="28" s="1"/>
  <c r="AE24" i="28" a="1"/>
  <c r="AE24" i="28" s="1"/>
  <c r="AE25" i="28" a="1"/>
  <c r="AE25" i="28" s="1"/>
  <c r="AE26" i="28" a="1"/>
  <c r="AE26" i="28" s="1"/>
  <c r="AE27" i="28" a="1"/>
  <c r="AE27" i="28" s="1"/>
  <c r="I9" i="32"/>
  <c r="S9" i="32" s="1"/>
  <c r="Z9" i="32" s="1"/>
  <c r="BF36" i="32" s="1"/>
  <c r="X23" i="32"/>
  <c r="AG23" i="32" s="1"/>
  <c r="U22" i="32"/>
  <c r="AB22" i="32" s="1"/>
  <c r="X24" i="32"/>
  <c r="AG24" i="32" s="1"/>
  <c r="L14" i="22"/>
  <c r="K24" i="32"/>
  <c r="K23" i="32"/>
  <c r="BN65" i="28" a="1"/>
  <c r="BN65" i="28" s="1"/>
  <c r="BD65" i="28" a="1"/>
  <c r="BD65" i="28" s="1"/>
  <c r="DL12" i="28"/>
  <c r="DL96" i="28"/>
  <c r="DL152" i="28"/>
  <c r="DL180" i="28"/>
  <c r="DL124" i="28"/>
  <c r="DL40" i="28"/>
  <c r="DL68" i="28"/>
  <c r="F25" i="32"/>
  <c r="DI69" i="28"/>
  <c r="DI97" i="28"/>
  <c r="DI153" i="28"/>
  <c r="DI181" i="28"/>
  <c r="DI41" i="28"/>
  <c r="DI125" i="28"/>
  <c r="DI13" i="28"/>
  <c r="DB42" i="28"/>
  <c r="DC42" i="28" s="1"/>
  <c r="DB98" i="28"/>
  <c r="DB154" i="28"/>
  <c r="DB126" i="28"/>
  <c r="DB70" i="28"/>
  <c r="DC70" i="28" s="1"/>
  <c r="DB14" i="28"/>
  <c r="DC14" i="28" s="1"/>
  <c r="DB182" i="28"/>
  <c r="DC182" i="28" s="1"/>
  <c r="E16" i="32"/>
  <c r="DE51" i="28"/>
  <c r="DE99" i="28"/>
  <c r="DE186" i="28"/>
  <c r="DE24" i="28"/>
  <c r="DE78" i="28"/>
  <c r="DE159" i="28"/>
  <c r="DE45" i="28"/>
  <c r="DE132" i="28"/>
  <c r="DE72" i="28"/>
  <c r="DE153" i="28"/>
  <c r="DE126" i="28"/>
  <c r="DE105" i="28"/>
  <c r="R25" i="11"/>
  <c r="CX27" i="28"/>
  <c r="DD96" i="28"/>
  <c r="DC96" i="28" s="1"/>
  <c r="AC1" i="28"/>
  <c r="CA1" i="28"/>
  <c r="BC28" i="28" a="1"/>
  <c r="BC28" i="28" s="1"/>
  <c r="BD28" i="28" a="1"/>
  <c r="BD28" i="28" s="1"/>
  <c r="E26" i="32" s="1"/>
  <c r="B29" i="28"/>
  <c r="CR28" i="28" a="1"/>
  <c r="CR28" i="28" s="1"/>
  <c r="CS28" i="28" a="1"/>
  <c r="CS28" i="28" s="1"/>
  <c r="CT28" i="28" a="1"/>
  <c r="CT28" i="28" s="1"/>
  <c r="CU28" i="28" a="1"/>
  <c r="CU28" i="28" s="1"/>
  <c r="CV28" i="28" a="1"/>
  <c r="CV28" i="28" s="1"/>
  <c r="CW28" i="28" a="1"/>
  <c r="CW28" i="28" s="1"/>
  <c r="BM28" i="28" a="1"/>
  <c r="BM28" i="28" s="1"/>
  <c r="BT28" i="28" a="1"/>
  <c r="BT28" i="28" s="1"/>
  <c r="CH28" i="28" a="1"/>
  <c r="CH28" i="28" s="1"/>
  <c r="CP28" i="28" a="1"/>
  <c r="CP28" i="28" s="1"/>
  <c r="BG28" i="28" a="1"/>
  <c r="BG28" i="28" s="1"/>
  <c r="BN28" i="28" a="1"/>
  <c r="BN28" i="28" s="1"/>
  <c r="BU28" i="28" a="1"/>
  <c r="BU28" i="28" s="1"/>
  <c r="CB28" i="28" a="1"/>
  <c r="CB28" i="28" s="1"/>
  <c r="CI28" i="28" a="1"/>
  <c r="CI28" i="28" s="1"/>
  <c r="BH28" i="28" a="1"/>
  <c r="BH28" i="28" s="1"/>
  <c r="BO28" i="28" a="1"/>
  <c r="BO28" i="28" s="1"/>
  <c r="BV28" i="28" a="1"/>
  <c r="BV28" i="28" s="1"/>
  <c r="CJ28" i="28" a="1"/>
  <c r="CJ28" i="28" s="1"/>
  <c r="CQ28" i="28" a="1"/>
  <c r="CQ28" i="28" s="1"/>
  <c r="BI28" i="28" a="1"/>
  <c r="BI28" i="28" s="1"/>
  <c r="BP28" i="28" a="1"/>
  <c r="BP28" i="28" s="1"/>
  <c r="BW28" i="28" a="1"/>
  <c r="BW28" i="28" s="1"/>
  <c r="CC28" i="28" a="1"/>
  <c r="CC28" i="28" s="1"/>
  <c r="CK28" i="28" a="1"/>
  <c r="CK28" i="28" s="1"/>
  <c r="BJ28" i="28" a="1"/>
  <c r="BJ28" i="28" s="1"/>
  <c r="BQ28" i="28" a="1"/>
  <c r="BQ28" i="28" s="1"/>
  <c r="BX28" i="28" a="1"/>
  <c r="BX28" i="28" s="1"/>
  <c r="CD28" i="28" a="1"/>
  <c r="CD28" i="28" s="1"/>
  <c r="CL28" i="28" a="1"/>
  <c r="CL28" i="28" s="1"/>
  <c r="BR28" i="28" a="1"/>
  <c r="BR28" i="28" s="1"/>
  <c r="BY28" i="28" a="1"/>
  <c r="BY28" i="28" s="1"/>
  <c r="CE28" i="28" a="1"/>
  <c r="CE28" i="28" s="1"/>
  <c r="CM28" i="28" a="1"/>
  <c r="CM28" i="28" s="1"/>
  <c r="BK28" i="28" a="1"/>
  <c r="BK28" i="28" s="1"/>
  <c r="BS28" i="28" a="1"/>
  <c r="BS28" i="28" s="1"/>
  <c r="BZ28" i="28" a="1"/>
  <c r="BZ28" i="28" s="1"/>
  <c r="CF28" i="28" a="1"/>
  <c r="CF28" i="28" s="1"/>
  <c r="CN28" i="28" a="1"/>
  <c r="CN28" i="28" s="1"/>
  <c r="BL28" i="28" a="1"/>
  <c r="BL28" i="28" s="1"/>
  <c r="CA28" i="28" a="1"/>
  <c r="CA28" i="28" s="1"/>
  <c r="CG28" i="28" a="1"/>
  <c r="CG28" i="28" s="1"/>
  <c r="CO28" i="28" a="1"/>
  <c r="CO28" i="28" s="1"/>
  <c r="AF3" i="28"/>
  <c r="K15" i="22"/>
  <c r="Q110" i="24" l="1"/>
  <c r="R110" i="24" s="1"/>
  <c r="P111" i="24"/>
  <c r="AF5" i="28" a="1"/>
  <c r="AF5" i="28" s="1"/>
  <c r="AF6" i="28" a="1"/>
  <c r="AF6" i="28" s="1"/>
  <c r="AF7" i="28" a="1"/>
  <c r="AF7" i="28" s="1"/>
  <c r="AF8" i="28" a="1"/>
  <c r="AF8" i="28" s="1"/>
  <c r="AF9" i="28" a="1"/>
  <c r="AF9" i="28" s="1"/>
  <c r="AF10" i="28" a="1"/>
  <c r="AF10" i="28" s="1"/>
  <c r="AF11" i="28" a="1"/>
  <c r="AF11" i="28" s="1"/>
  <c r="AF12" i="28" a="1"/>
  <c r="AF12" i="28" s="1"/>
  <c r="AF13" i="28" a="1"/>
  <c r="AF13" i="28" s="1"/>
  <c r="AF14" i="28" a="1"/>
  <c r="AF14" i="28" s="1"/>
  <c r="AF15" i="28" a="1"/>
  <c r="AF15" i="28" s="1"/>
  <c r="AF16" i="28" a="1"/>
  <c r="AF16" i="28" s="1"/>
  <c r="AF17" i="28" a="1"/>
  <c r="AF17" i="28" s="1"/>
  <c r="AF18" i="28" a="1"/>
  <c r="AF18" i="28" s="1"/>
  <c r="AF19" i="28" a="1"/>
  <c r="AF19" i="28" s="1"/>
  <c r="AF20" i="28" a="1"/>
  <c r="AF20" i="28" s="1"/>
  <c r="AF21" i="28" a="1"/>
  <c r="AF21" i="28" s="1"/>
  <c r="AF22" i="28" a="1"/>
  <c r="AF22" i="28" s="1"/>
  <c r="AF23" i="28" a="1"/>
  <c r="AF23" i="28" s="1"/>
  <c r="AF24" i="28" a="1"/>
  <c r="AF24" i="28" s="1"/>
  <c r="AF25" i="28" a="1"/>
  <c r="AF25" i="28" s="1"/>
  <c r="AF26" i="28" a="1"/>
  <c r="AF26" i="28" s="1"/>
  <c r="AF27" i="28" a="1"/>
  <c r="AF27" i="28" s="1"/>
  <c r="AF28" i="28" a="1"/>
  <c r="AF28" i="28" s="1"/>
  <c r="L29" i="28" a="1"/>
  <c r="L29" i="28" s="1"/>
  <c r="T29" i="28" a="1"/>
  <c r="T29" i="28" s="1"/>
  <c r="AB29" i="28" a="1"/>
  <c r="AB29" i="28" s="1"/>
  <c r="E29" i="28" a="1"/>
  <c r="E29" i="28" s="1"/>
  <c r="M29" i="28" a="1"/>
  <c r="M29" i="28" s="1"/>
  <c r="U29" i="28" a="1"/>
  <c r="U29" i="28" s="1"/>
  <c r="AC29" i="28" a="1"/>
  <c r="AC29" i="28" s="1"/>
  <c r="N29" i="28" a="1"/>
  <c r="N29" i="28" s="1"/>
  <c r="V29" i="28" a="1"/>
  <c r="V29" i="28" s="1"/>
  <c r="AD29" i="28" a="1"/>
  <c r="AD29" i="28" s="1"/>
  <c r="O29" i="28" a="1"/>
  <c r="O29" i="28" s="1"/>
  <c r="W29" i="28" a="1"/>
  <c r="W29" i="28" s="1"/>
  <c r="AE29" i="28" a="1"/>
  <c r="AE29" i="28" s="1"/>
  <c r="H29" i="28" a="1"/>
  <c r="H29" i="28" s="1"/>
  <c r="D29" i="28" a="1"/>
  <c r="D29" i="28" s="1"/>
  <c r="P29" i="28" a="1"/>
  <c r="P29" i="28" s="1"/>
  <c r="X29" i="28" a="1"/>
  <c r="X29" i="28" s="1"/>
  <c r="AF29" i="28" a="1"/>
  <c r="AF29" i="28" s="1"/>
  <c r="I29" i="28" a="1"/>
  <c r="I29" i="28" s="1"/>
  <c r="Q29" i="28" a="1"/>
  <c r="Q29" i="28" s="1"/>
  <c r="Y29" i="28" a="1"/>
  <c r="Y29" i="28" s="1"/>
  <c r="J29" i="28" a="1"/>
  <c r="J29" i="28" s="1"/>
  <c r="R29" i="28" a="1"/>
  <c r="R29" i="28" s="1"/>
  <c r="Z29" i="28" a="1"/>
  <c r="Z29" i="28" s="1"/>
  <c r="K29" i="28" a="1"/>
  <c r="K29" i="28" s="1"/>
  <c r="S29" i="28" a="1"/>
  <c r="S29" i="28" s="1"/>
  <c r="AA29" i="28" a="1"/>
  <c r="AA29" i="28" s="1"/>
  <c r="AP15" i="11"/>
  <c r="I10" i="32"/>
  <c r="S10" i="32" s="1"/>
  <c r="Z10" i="32" s="1"/>
  <c r="BF37" i="32" s="1"/>
  <c r="U23" i="32"/>
  <c r="AB23" i="32" s="1"/>
  <c r="U24" i="32"/>
  <c r="AB24" i="32" s="1"/>
  <c r="L15" i="22"/>
  <c r="AG10" i="11"/>
  <c r="G23" i="25" s="1"/>
  <c r="AD25" i="11"/>
  <c r="AI25" i="32"/>
  <c r="AT25" i="32" s="1"/>
  <c r="BB25" i="32" s="1"/>
  <c r="BN66" i="28" a="1"/>
  <c r="BN66" i="28" s="1"/>
  <c r="BD66" i="28" a="1"/>
  <c r="BD66" i="28" s="1"/>
  <c r="B25" i="25"/>
  <c r="DL13" i="28"/>
  <c r="DL125" i="28"/>
  <c r="DL69" i="28"/>
  <c r="DL41" i="28"/>
  <c r="DL181" i="28"/>
  <c r="DL153" i="28"/>
  <c r="DL97" i="28"/>
  <c r="F26" i="32"/>
  <c r="DI182" i="28"/>
  <c r="DI70" i="28"/>
  <c r="DI126" i="28"/>
  <c r="DI42" i="28"/>
  <c r="DI154" i="28"/>
  <c r="DI98" i="28"/>
  <c r="DI14" i="28"/>
  <c r="DB183" i="28"/>
  <c r="DC183" i="28" s="1"/>
  <c r="DB15" i="28"/>
  <c r="DC15" i="28" s="1"/>
  <c r="DB127" i="28"/>
  <c r="DB99" i="28"/>
  <c r="DB71" i="28"/>
  <c r="DC71" i="28" s="1"/>
  <c r="DB155" i="28"/>
  <c r="DB43" i="28"/>
  <c r="DC43" i="28" s="1"/>
  <c r="E17" i="32"/>
  <c r="DE154" i="28"/>
  <c r="DE100" i="28"/>
  <c r="DE25" i="28"/>
  <c r="DE160" i="28"/>
  <c r="DE127" i="28"/>
  <c r="DE133" i="28"/>
  <c r="DE73" i="28"/>
  <c r="DE106" i="28"/>
  <c r="DE79" i="28"/>
  <c r="DE181" i="28"/>
  <c r="DE187" i="28"/>
  <c r="DE52" i="28"/>
  <c r="R26" i="11"/>
  <c r="CX28" i="28"/>
  <c r="DD97" i="28"/>
  <c r="DC97" i="28" s="1"/>
  <c r="AD1" i="28"/>
  <c r="CB1" i="28"/>
  <c r="BC29" i="28" a="1"/>
  <c r="BC29" i="28" s="1"/>
  <c r="BD29" i="28" a="1"/>
  <c r="BD29" i="28" s="1"/>
  <c r="E27" i="32" s="1"/>
  <c r="AG3" i="28"/>
  <c r="AG29" i="28" s="1" a="1"/>
  <c r="AG29" i="28" s="1"/>
  <c r="B30" i="28"/>
  <c r="CR29" i="28" a="1"/>
  <c r="CR29" i="28" s="1"/>
  <c r="CS29" i="28" a="1"/>
  <c r="CS29" i="28" s="1"/>
  <c r="CT29" i="28" a="1"/>
  <c r="CT29" i="28" s="1"/>
  <c r="CU29" i="28" a="1"/>
  <c r="CU29" i="28" s="1"/>
  <c r="CV29" i="28" a="1"/>
  <c r="CV29" i="28" s="1"/>
  <c r="CW29" i="28" a="1"/>
  <c r="CW29" i="28" s="1"/>
  <c r="BU29" i="28" a="1"/>
  <c r="BU29" i="28" s="1"/>
  <c r="CH29" i="28" a="1"/>
  <c r="CH29" i="28" s="1"/>
  <c r="CM29" i="28" a="1"/>
  <c r="CM29" i="28" s="1"/>
  <c r="BG29" i="28" a="1"/>
  <c r="BG29" i="28" s="1"/>
  <c r="BN29" i="28" a="1"/>
  <c r="BN29" i="28" s="1"/>
  <c r="BV29" i="28" a="1"/>
  <c r="BV29" i="28" s="1"/>
  <c r="CB29" i="28" a="1"/>
  <c r="CB29" i="28" s="1"/>
  <c r="CI29" i="28" a="1"/>
  <c r="CI29" i="28" s="1"/>
  <c r="CN29" i="28" a="1"/>
  <c r="CN29" i="28" s="1"/>
  <c r="BH29" i="28" a="1"/>
  <c r="BH29" i="28" s="1"/>
  <c r="BO29" i="28" a="1"/>
  <c r="BO29" i="28" s="1"/>
  <c r="BW29" i="28" a="1"/>
  <c r="BW29" i="28" s="1"/>
  <c r="CC29" i="28" a="1"/>
  <c r="CC29" i="28" s="1"/>
  <c r="BI29" i="28" a="1"/>
  <c r="BI29" i="28" s="1"/>
  <c r="BP29" i="28" a="1"/>
  <c r="BP29" i="28" s="1"/>
  <c r="CD29" i="28" a="1"/>
  <c r="CD29" i="28" s="1"/>
  <c r="CJ29" i="28" a="1"/>
  <c r="CJ29" i="28" s="1"/>
  <c r="CO29" i="28" a="1"/>
  <c r="CO29" i="28" s="1"/>
  <c r="BJ29" i="28" a="1"/>
  <c r="BJ29" i="28" s="1"/>
  <c r="BQ29" i="28" a="1"/>
  <c r="BQ29" i="28" s="1"/>
  <c r="BX29" i="28" a="1"/>
  <c r="BX29" i="28" s="1"/>
  <c r="CE29" i="28" a="1"/>
  <c r="CE29" i="28" s="1"/>
  <c r="CP29" i="28" a="1"/>
  <c r="CP29" i="28" s="1"/>
  <c r="BK29" i="28" a="1"/>
  <c r="BK29" i="28" s="1"/>
  <c r="BR29" i="28" a="1"/>
  <c r="BR29" i="28" s="1"/>
  <c r="BY29" i="28" a="1"/>
  <c r="BY29" i="28" s="1"/>
  <c r="CF29" i="28" a="1"/>
  <c r="CF29" i="28" s="1"/>
  <c r="CK29" i="28" a="1"/>
  <c r="CK29" i="28" s="1"/>
  <c r="CQ29" i="28" a="1"/>
  <c r="CQ29" i="28" s="1"/>
  <c r="BL29" i="28" a="1"/>
  <c r="BL29" i="28" s="1"/>
  <c r="BS29" i="28" a="1"/>
  <c r="BS29" i="28" s="1"/>
  <c r="BZ29" i="28" a="1"/>
  <c r="BZ29" i="28" s="1"/>
  <c r="CL29" i="28" a="1"/>
  <c r="CL29" i="28" s="1"/>
  <c r="CG29" i="28" a="1"/>
  <c r="CG29" i="28" s="1"/>
  <c r="BM29" i="28" a="1"/>
  <c r="BM29" i="28" s="1"/>
  <c r="BT29" i="28" a="1"/>
  <c r="BT29" i="28" s="1"/>
  <c r="CA29" i="28" a="1"/>
  <c r="CA29" i="28" s="1"/>
  <c r="K16" i="22"/>
  <c r="Q111" i="24" l="1"/>
  <c r="R111" i="24" s="1"/>
  <c r="P112" i="24"/>
  <c r="K30" i="28" a="1"/>
  <c r="K30" i="28" s="1"/>
  <c r="S30" i="28" a="1"/>
  <c r="S30" i="28" s="1"/>
  <c r="AA30" i="28" a="1"/>
  <c r="AA30" i="28" s="1"/>
  <c r="L30" i="28" a="1"/>
  <c r="L30" i="28" s="1"/>
  <c r="T30" i="28" a="1"/>
  <c r="T30" i="28" s="1"/>
  <c r="AB30" i="28" a="1"/>
  <c r="AB30" i="28" s="1"/>
  <c r="E30" i="28" a="1"/>
  <c r="E30" i="28" s="1"/>
  <c r="M30" i="28" a="1"/>
  <c r="M30" i="28" s="1"/>
  <c r="U30" i="28" a="1"/>
  <c r="U30" i="28" s="1"/>
  <c r="AC30" i="28" a="1"/>
  <c r="AC30" i="28" s="1"/>
  <c r="N30" i="28" a="1"/>
  <c r="N30" i="28" s="1"/>
  <c r="V30" i="28" a="1"/>
  <c r="V30" i="28" s="1"/>
  <c r="AD30" i="28" a="1"/>
  <c r="AD30" i="28" s="1"/>
  <c r="O30" i="28" a="1"/>
  <c r="O30" i="28" s="1"/>
  <c r="W30" i="28" a="1"/>
  <c r="W30" i="28" s="1"/>
  <c r="AE30" i="28" a="1"/>
  <c r="AE30" i="28" s="1"/>
  <c r="H30" i="28" a="1"/>
  <c r="H30" i="28" s="1"/>
  <c r="D30" i="28" a="1"/>
  <c r="D30" i="28" s="1"/>
  <c r="P30" i="28" a="1"/>
  <c r="P30" i="28" s="1"/>
  <c r="X30" i="28" a="1"/>
  <c r="X30" i="28" s="1"/>
  <c r="AF30" i="28" a="1"/>
  <c r="AF30" i="28" s="1"/>
  <c r="I30" i="28" a="1"/>
  <c r="I30" i="28" s="1"/>
  <c r="Q30" i="28" a="1"/>
  <c r="Q30" i="28" s="1"/>
  <c r="Y30" i="28" a="1"/>
  <c r="Y30" i="28" s="1"/>
  <c r="AG30" i="28" a="1"/>
  <c r="AG30" i="28" s="1"/>
  <c r="J30" i="28" a="1"/>
  <c r="J30" i="28" s="1"/>
  <c r="R30" i="28" a="1"/>
  <c r="R30" i="28" s="1"/>
  <c r="Z30" i="28" a="1"/>
  <c r="Z30" i="28" s="1"/>
  <c r="AG5" i="28" a="1"/>
  <c r="AG5" i="28" s="1"/>
  <c r="AG6" i="28" a="1"/>
  <c r="AG6" i="28" s="1"/>
  <c r="AG7" i="28" a="1"/>
  <c r="AG7" i="28" s="1"/>
  <c r="AG8" i="28" a="1"/>
  <c r="AG8" i="28" s="1"/>
  <c r="AG9" i="28" a="1"/>
  <c r="AG9" i="28" s="1"/>
  <c r="AG10" i="28" a="1"/>
  <c r="AG10" i="28" s="1"/>
  <c r="AG11" i="28" a="1"/>
  <c r="AG11" i="28" s="1"/>
  <c r="AG12" i="28" a="1"/>
  <c r="AG12" i="28" s="1"/>
  <c r="AG13" i="28" a="1"/>
  <c r="AG13" i="28" s="1"/>
  <c r="AG14" i="28" a="1"/>
  <c r="AG14" i="28" s="1"/>
  <c r="AG15" i="28" a="1"/>
  <c r="AG15" i="28" s="1"/>
  <c r="AG16" i="28" a="1"/>
  <c r="AG16" i="28" s="1"/>
  <c r="AG17" i="28" a="1"/>
  <c r="AG17" i="28" s="1"/>
  <c r="AG18" i="28" a="1"/>
  <c r="AG18" i="28" s="1"/>
  <c r="AG19" i="28" a="1"/>
  <c r="AG19" i="28" s="1"/>
  <c r="AG20" i="28" a="1"/>
  <c r="AG20" i="28" s="1"/>
  <c r="AG21" i="28" a="1"/>
  <c r="AG21" i="28" s="1"/>
  <c r="AG22" i="28" a="1"/>
  <c r="AG22" i="28" s="1"/>
  <c r="AG23" i="28" a="1"/>
  <c r="AG23" i="28" s="1"/>
  <c r="AG24" i="28" a="1"/>
  <c r="AG24" i="28" s="1"/>
  <c r="AG25" i="28" a="1"/>
  <c r="AG25" i="28" s="1"/>
  <c r="AG26" i="28" a="1"/>
  <c r="AG26" i="28" s="1"/>
  <c r="AG27" i="28" a="1"/>
  <c r="AG27" i="28" s="1"/>
  <c r="AG28" i="28" a="1"/>
  <c r="AG28" i="28" s="1"/>
  <c r="AP17" i="11"/>
  <c r="I11" i="32"/>
  <c r="S11" i="32" s="1"/>
  <c r="Z11" i="32" s="1"/>
  <c r="BF38" i="32" s="1"/>
  <c r="X25" i="32"/>
  <c r="AG25" i="32" s="1"/>
  <c r="L16" i="22"/>
  <c r="AG12" i="11"/>
  <c r="I23" i="25" s="1"/>
  <c r="AG11" i="11"/>
  <c r="H23" i="25" s="1"/>
  <c r="AD26" i="11"/>
  <c r="K25" i="32"/>
  <c r="AI26" i="32"/>
  <c r="AT26" i="32" s="1"/>
  <c r="BB26" i="32" s="1"/>
  <c r="BD67" i="28" a="1"/>
  <c r="BD67" i="28" s="1"/>
  <c r="BN67" i="28" a="1"/>
  <c r="BN67" i="28" s="1"/>
  <c r="AI27" i="32"/>
  <c r="AT27" i="32" s="1"/>
  <c r="BB27" i="32" s="1"/>
  <c r="AD27" i="11"/>
  <c r="DL182" i="28"/>
  <c r="DL14" i="28"/>
  <c r="DL98" i="28"/>
  <c r="DL154" i="28"/>
  <c r="DL42" i="28"/>
  <c r="DL126" i="28"/>
  <c r="DL70" i="28"/>
  <c r="F27" i="32"/>
  <c r="DI43" i="28"/>
  <c r="DI155" i="28"/>
  <c r="DI71" i="28"/>
  <c r="DI183" i="28"/>
  <c r="DI99" i="28"/>
  <c r="DI127" i="28"/>
  <c r="DI15" i="28"/>
  <c r="DB156" i="28"/>
  <c r="DB16" i="28"/>
  <c r="DC16" i="28" s="1"/>
  <c r="DB184" i="28"/>
  <c r="DC184" i="28" s="1"/>
  <c r="DB128" i="28"/>
  <c r="DB100" i="28"/>
  <c r="DB72" i="28"/>
  <c r="DC72" i="28" s="1"/>
  <c r="DB44" i="28"/>
  <c r="DC44" i="28" s="1"/>
  <c r="E18" i="32"/>
  <c r="DE155" i="28"/>
  <c r="DE134" i="28"/>
  <c r="DE80" i="28"/>
  <c r="DE107" i="28"/>
  <c r="DE101" i="28"/>
  <c r="DE188" i="28"/>
  <c r="DE128" i="28"/>
  <c r="DE26" i="28"/>
  <c r="DE161" i="28"/>
  <c r="DE53" i="28"/>
  <c r="DE182" i="28"/>
  <c r="R27" i="11"/>
  <c r="CX29" i="28"/>
  <c r="DD98" i="28"/>
  <c r="DC98" i="28" s="1"/>
  <c r="AE1" i="28"/>
  <c r="CC1" i="28"/>
  <c r="BC30" i="28" a="1"/>
  <c r="BC30" i="28" s="1"/>
  <c r="BD30" i="28" a="1"/>
  <c r="BD30" i="28" s="1"/>
  <c r="E28" i="32" s="1"/>
  <c r="B31" i="28"/>
  <c r="CT30" i="28" a="1"/>
  <c r="CT30" i="28" s="1"/>
  <c r="CU30" i="28" a="1"/>
  <c r="CU30" i="28" s="1"/>
  <c r="CV30" i="28" a="1"/>
  <c r="CV30" i="28" s="1"/>
  <c r="CW30" i="28" a="1"/>
  <c r="CW30" i="28" s="1"/>
  <c r="CR30" i="28" a="1"/>
  <c r="CR30" i="28" s="1"/>
  <c r="CS30" i="28" a="1"/>
  <c r="CS30" i="28" s="1"/>
  <c r="BI30" i="28" a="1"/>
  <c r="BI30" i="28" s="1"/>
  <c r="BO30" i="28" a="1"/>
  <c r="BO30" i="28" s="1"/>
  <c r="CB30" i="28" a="1"/>
  <c r="CB30" i="28" s="1"/>
  <c r="CH30" i="28" a="1"/>
  <c r="CH30" i="28" s="1"/>
  <c r="BP30" i="28" a="1"/>
  <c r="BP30" i="28" s="1"/>
  <c r="BV30" i="28" a="1"/>
  <c r="BV30" i="28" s="1"/>
  <c r="CC30" i="28" a="1"/>
  <c r="CC30" i="28" s="1"/>
  <c r="CI30" i="28" a="1"/>
  <c r="CI30" i="28" s="1"/>
  <c r="CO30" i="28" a="1"/>
  <c r="CO30" i="28" s="1"/>
  <c r="BJ30" i="28" a="1"/>
  <c r="BJ30" i="28" s="1"/>
  <c r="BQ30" i="28" a="1"/>
  <c r="BQ30" i="28" s="1"/>
  <c r="BW30" i="28" a="1"/>
  <c r="BW30" i="28" s="1"/>
  <c r="CD30" i="28" a="1"/>
  <c r="CD30" i="28" s="1"/>
  <c r="BK30" i="28" a="1"/>
  <c r="BK30" i="28" s="1"/>
  <c r="CE30" i="28" a="1"/>
  <c r="CE30" i="28" s="1"/>
  <c r="CJ30" i="28" a="1"/>
  <c r="CJ30" i="28" s="1"/>
  <c r="CP30" i="28" a="1"/>
  <c r="CP30" i="28" s="1"/>
  <c r="BL30" i="28" a="1"/>
  <c r="BL30" i="28" s="1"/>
  <c r="BR30" i="28" a="1"/>
  <c r="BR30" i="28" s="1"/>
  <c r="BX30" i="28" a="1"/>
  <c r="BX30" i="28" s="1"/>
  <c r="CK30" i="28" a="1"/>
  <c r="CK30" i="28" s="1"/>
  <c r="CQ30" i="28" a="1"/>
  <c r="CQ30" i="28" s="1"/>
  <c r="BG30" i="28" a="1"/>
  <c r="BG30" i="28" s="1"/>
  <c r="BS30" i="28" a="1"/>
  <c r="BS30" i="28" s="1"/>
  <c r="BY30" i="28" a="1"/>
  <c r="BY30" i="28" s="1"/>
  <c r="CF30" i="28" a="1"/>
  <c r="CF30" i="28" s="1"/>
  <c r="CL30" i="28" a="1"/>
  <c r="CL30" i="28" s="1"/>
  <c r="BH30" i="28" a="1"/>
  <c r="BH30" i="28" s="1"/>
  <c r="BM30" i="28" a="1"/>
  <c r="BM30" i="28" s="1"/>
  <c r="BT30" i="28" a="1"/>
  <c r="BT30" i="28" s="1"/>
  <c r="BZ30" i="28" a="1"/>
  <c r="BZ30" i="28" s="1"/>
  <c r="CM30" i="28" a="1"/>
  <c r="CM30" i="28" s="1"/>
  <c r="BN30" i="28" a="1"/>
  <c r="BN30" i="28" s="1"/>
  <c r="BU30" i="28" a="1"/>
  <c r="BU30" i="28" s="1"/>
  <c r="CA30" i="28" a="1"/>
  <c r="CA30" i="28" s="1"/>
  <c r="CG30" i="28" a="1"/>
  <c r="CG30" i="28" s="1"/>
  <c r="CN30" i="28" a="1"/>
  <c r="CN30" i="28" s="1"/>
  <c r="AH3" i="28"/>
  <c r="K17" i="22"/>
  <c r="Q112" i="24" l="1"/>
  <c r="R112" i="24" s="1"/>
  <c r="P113" i="24"/>
  <c r="J31" i="28" a="1"/>
  <c r="J31" i="28" s="1"/>
  <c r="R31" i="28" a="1"/>
  <c r="R31" i="28" s="1"/>
  <c r="Z31" i="28" a="1"/>
  <c r="Z31" i="28" s="1"/>
  <c r="AH31" i="28" a="1"/>
  <c r="AH31" i="28" s="1"/>
  <c r="K31" i="28" a="1"/>
  <c r="K31" i="28" s="1"/>
  <c r="S31" i="28" a="1"/>
  <c r="S31" i="28" s="1"/>
  <c r="AA31" i="28" a="1"/>
  <c r="AA31" i="28" s="1"/>
  <c r="L31" i="28" a="1"/>
  <c r="L31" i="28" s="1"/>
  <c r="T31" i="28" a="1"/>
  <c r="T31" i="28" s="1"/>
  <c r="AB31" i="28" a="1"/>
  <c r="AB31" i="28" s="1"/>
  <c r="E31" i="28" a="1"/>
  <c r="E31" i="28" s="1"/>
  <c r="M31" i="28" a="1"/>
  <c r="M31" i="28" s="1"/>
  <c r="U31" i="28" a="1"/>
  <c r="U31" i="28" s="1"/>
  <c r="AC31" i="28" a="1"/>
  <c r="AC31" i="28" s="1"/>
  <c r="N31" i="28" a="1"/>
  <c r="N31" i="28" s="1"/>
  <c r="V31" i="28" a="1"/>
  <c r="V31" i="28" s="1"/>
  <c r="AD31" i="28" a="1"/>
  <c r="AD31" i="28" s="1"/>
  <c r="O31" i="28" a="1"/>
  <c r="O31" i="28" s="1"/>
  <c r="W31" i="28" a="1"/>
  <c r="W31" i="28" s="1"/>
  <c r="AE31" i="28" a="1"/>
  <c r="AE31" i="28" s="1"/>
  <c r="H31" i="28" a="1"/>
  <c r="H31" i="28" s="1"/>
  <c r="D31" i="28" a="1"/>
  <c r="D31" i="28" s="1"/>
  <c r="P31" i="28" a="1"/>
  <c r="P31" i="28" s="1"/>
  <c r="X31" i="28" a="1"/>
  <c r="X31" i="28" s="1"/>
  <c r="AF31" i="28" a="1"/>
  <c r="AF31" i="28" s="1"/>
  <c r="I31" i="28" a="1"/>
  <c r="I31" i="28" s="1"/>
  <c r="Q31" i="28" a="1"/>
  <c r="Q31" i="28" s="1"/>
  <c r="Y31" i="28" a="1"/>
  <c r="Y31" i="28" s="1"/>
  <c r="AG31" i="28" a="1"/>
  <c r="AG31" i="28" s="1"/>
  <c r="AH5" i="28" a="1"/>
  <c r="AH5" i="28" s="1"/>
  <c r="AH6" i="28" a="1"/>
  <c r="AH6" i="28" s="1"/>
  <c r="AH7" i="28" a="1"/>
  <c r="AH7" i="28" s="1"/>
  <c r="AH8" i="28" a="1"/>
  <c r="AH8" i="28" s="1"/>
  <c r="AH9" i="28" a="1"/>
  <c r="AH9" i="28" s="1"/>
  <c r="AH10" i="28" a="1"/>
  <c r="AH10" i="28" s="1"/>
  <c r="AH11" i="28" a="1"/>
  <c r="AH11" i="28" s="1"/>
  <c r="AH12" i="28" a="1"/>
  <c r="AH12" i="28" s="1"/>
  <c r="AH13" i="28" a="1"/>
  <c r="AH13" i="28" s="1"/>
  <c r="AH14" i="28" a="1"/>
  <c r="AH14" i="28" s="1"/>
  <c r="AH15" i="28" a="1"/>
  <c r="AH15" i="28" s="1"/>
  <c r="AH16" i="28" a="1"/>
  <c r="AH16" i="28" s="1"/>
  <c r="AH17" i="28" a="1"/>
  <c r="AH17" i="28" s="1"/>
  <c r="AH18" i="28" a="1"/>
  <c r="AH18" i="28" s="1"/>
  <c r="AH19" i="28" a="1"/>
  <c r="AH19" i="28" s="1"/>
  <c r="AH20" i="28" a="1"/>
  <c r="AH20" i="28" s="1"/>
  <c r="AH21" i="28" a="1"/>
  <c r="AH21" i="28" s="1"/>
  <c r="AH22" i="28" a="1"/>
  <c r="AH22" i="28" s="1"/>
  <c r="AH23" i="28" a="1"/>
  <c r="AH23" i="28" s="1"/>
  <c r="AH24" i="28" a="1"/>
  <c r="AH24" i="28" s="1"/>
  <c r="AH25" i="28" a="1"/>
  <c r="AH25" i="28" s="1"/>
  <c r="AH26" i="28" a="1"/>
  <c r="AH26" i="28" s="1"/>
  <c r="AH27" i="28" a="1"/>
  <c r="AH27" i="28" s="1"/>
  <c r="AH28" i="28" a="1"/>
  <c r="AH28" i="28" s="1"/>
  <c r="AH29" i="28" a="1"/>
  <c r="AH29" i="28" s="1"/>
  <c r="AH30" i="28" a="1"/>
  <c r="AH30" i="28" s="1"/>
  <c r="X27" i="32"/>
  <c r="AG27" i="32" s="1"/>
  <c r="X26" i="32"/>
  <c r="AG26" i="32" s="1"/>
  <c r="U25" i="32"/>
  <c r="AB25" i="32" s="1"/>
  <c r="L17" i="22"/>
  <c r="K27" i="32"/>
  <c r="K26" i="32"/>
  <c r="BD68" i="28" a="1"/>
  <c r="BD68" i="28" s="1"/>
  <c r="BN68" i="28" a="1"/>
  <c r="BN68" i="28" s="1"/>
  <c r="DL15" i="28"/>
  <c r="DL127" i="28"/>
  <c r="DL99" i="28"/>
  <c r="DL183" i="28"/>
  <c r="DL71" i="28"/>
  <c r="DL43" i="28"/>
  <c r="DL155" i="28"/>
  <c r="F28" i="32"/>
  <c r="DI44" i="28"/>
  <c r="DI72" i="28"/>
  <c r="DI100" i="28"/>
  <c r="DI128" i="28"/>
  <c r="DI184" i="28"/>
  <c r="DI156" i="28"/>
  <c r="DI16" i="28"/>
  <c r="DB45" i="28"/>
  <c r="DC45" i="28" s="1"/>
  <c r="DB101" i="28"/>
  <c r="DB17" i="28"/>
  <c r="DC17" i="28" s="1"/>
  <c r="DB129" i="28"/>
  <c r="DB157" i="28"/>
  <c r="DB185" i="28"/>
  <c r="DC185" i="28" s="1"/>
  <c r="DB73" i="28"/>
  <c r="DC73" i="28" s="1"/>
  <c r="E19" i="32"/>
  <c r="DE156" i="28"/>
  <c r="DE129" i="28"/>
  <c r="DE162" i="28"/>
  <c r="CX30" i="28"/>
  <c r="DE27" i="28"/>
  <c r="DE135" i="28"/>
  <c r="DE189" i="28"/>
  <c r="DE81" i="28"/>
  <c r="DE54" i="28"/>
  <c r="DE108" i="28"/>
  <c r="DE183" i="28"/>
  <c r="R28" i="11"/>
  <c r="DD99" i="28"/>
  <c r="DC99" i="28" s="1"/>
  <c r="AF1" i="28"/>
  <c r="CD1" i="28"/>
  <c r="BC31" i="28" a="1"/>
  <c r="BC31" i="28" s="1"/>
  <c r="BD31" i="28" a="1"/>
  <c r="BD31" i="28" s="1"/>
  <c r="E29" i="32" s="1"/>
  <c r="AI3" i="28"/>
  <c r="B32" i="28"/>
  <c r="CV31" i="28" a="1"/>
  <c r="CV31" i="28" s="1"/>
  <c r="CW31" i="28" a="1"/>
  <c r="CW31" i="28" s="1"/>
  <c r="CR31" i="28" a="1"/>
  <c r="CR31" i="28" s="1"/>
  <c r="CS31" i="28" a="1"/>
  <c r="CS31" i="28" s="1"/>
  <c r="CT31" i="28" a="1"/>
  <c r="CT31" i="28" s="1"/>
  <c r="CU31" i="28" a="1"/>
  <c r="CU31" i="28" s="1"/>
  <c r="BH31" i="28" a="1"/>
  <c r="BH31" i="28" s="1"/>
  <c r="BO31" i="28" a="1"/>
  <c r="BO31" i="28" s="1"/>
  <c r="BP31" i="28" a="1"/>
  <c r="BP31" i="28" s="1"/>
  <c r="BU31" i="28" a="1"/>
  <c r="BU31" i="28" s="1"/>
  <c r="CA31" i="28" a="1"/>
  <c r="CA31" i="28" s="1"/>
  <c r="CG31" i="28" a="1"/>
  <c r="CG31" i="28" s="1"/>
  <c r="CM31" i="28" a="1"/>
  <c r="CM31" i="28" s="1"/>
  <c r="BI31" i="28" a="1"/>
  <c r="BI31" i="28" s="1"/>
  <c r="BV31" i="28" a="1"/>
  <c r="BV31" i="28" s="1"/>
  <c r="CB31" i="28" a="1"/>
  <c r="CB31" i="28" s="1"/>
  <c r="CH31" i="28" a="1"/>
  <c r="CH31" i="28" s="1"/>
  <c r="CN31" i="28" a="1"/>
  <c r="CN31" i="28" s="1"/>
  <c r="BJ31" i="28" a="1"/>
  <c r="BJ31" i="28" s="1"/>
  <c r="BQ31" i="28" a="1"/>
  <c r="BQ31" i="28" s="1"/>
  <c r="BW31" i="28" a="1"/>
  <c r="BW31" i="28" s="1"/>
  <c r="CC31" i="28" a="1"/>
  <c r="CC31" i="28" s="1"/>
  <c r="BK31" i="28" a="1"/>
  <c r="BK31" i="28" s="1"/>
  <c r="BX31" i="28" a="1"/>
  <c r="BX31" i="28" s="1"/>
  <c r="CI31" i="28" a="1"/>
  <c r="CI31" i="28" s="1"/>
  <c r="CO31" i="28" a="1"/>
  <c r="CO31" i="28" s="1"/>
  <c r="BL31" i="28" a="1"/>
  <c r="BL31" i="28" s="1"/>
  <c r="BR31" i="28" a="1"/>
  <c r="BR31" i="28" s="1"/>
  <c r="BY31" i="28" a="1"/>
  <c r="BY31" i="28" s="1"/>
  <c r="CD31" i="28" a="1"/>
  <c r="CD31" i="28" s="1"/>
  <c r="CJ31" i="28" a="1"/>
  <c r="CJ31" i="28" s="1"/>
  <c r="BM31" i="28" a="1"/>
  <c r="BM31" i="28" s="1"/>
  <c r="BS31" i="28" a="1"/>
  <c r="BS31" i="28" s="1"/>
  <c r="CE31" i="28" a="1"/>
  <c r="CE31" i="28" s="1"/>
  <c r="CK31" i="28" a="1"/>
  <c r="CK31" i="28" s="1"/>
  <c r="CP31" i="28" a="1"/>
  <c r="CP31" i="28" s="1"/>
  <c r="BG31" i="28" a="1"/>
  <c r="BG31" i="28" s="1"/>
  <c r="BN31" i="28" a="1"/>
  <c r="BN31" i="28" s="1"/>
  <c r="BT31" i="28" a="1"/>
  <c r="BT31" i="28" s="1"/>
  <c r="BZ31" i="28" a="1"/>
  <c r="BZ31" i="28" s="1"/>
  <c r="CF31" i="28" a="1"/>
  <c r="CF31" i="28" s="1"/>
  <c r="CL31" i="28" a="1"/>
  <c r="CL31" i="28" s="1"/>
  <c r="CQ31" i="28" a="1"/>
  <c r="CQ31" i="28" s="1"/>
  <c r="K18" i="22"/>
  <c r="Q113" i="24" l="1"/>
  <c r="R113" i="24" s="1"/>
  <c r="P114" i="24"/>
  <c r="Q114" i="24" s="1"/>
  <c r="I32" i="28" a="1"/>
  <c r="I32" i="28" s="1"/>
  <c r="Q32" i="28" a="1"/>
  <c r="Q32" i="28" s="1"/>
  <c r="Y32" i="28" a="1"/>
  <c r="Y32" i="28" s="1"/>
  <c r="AG32" i="28" a="1"/>
  <c r="AG32" i="28" s="1"/>
  <c r="J32" i="28" a="1"/>
  <c r="J32" i="28" s="1"/>
  <c r="R32" i="28" a="1"/>
  <c r="R32" i="28" s="1"/>
  <c r="Z32" i="28" a="1"/>
  <c r="Z32" i="28" s="1"/>
  <c r="AH32" i="28" a="1"/>
  <c r="AH32" i="28" s="1"/>
  <c r="K32" i="28" a="1"/>
  <c r="K32" i="28" s="1"/>
  <c r="S32" i="28" a="1"/>
  <c r="S32" i="28" s="1"/>
  <c r="AA32" i="28" a="1"/>
  <c r="AA32" i="28" s="1"/>
  <c r="AI32" i="28" a="1"/>
  <c r="AI32" i="28" s="1"/>
  <c r="L32" i="28" a="1"/>
  <c r="L32" i="28" s="1"/>
  <c r="T32" i="28" a="1"/>
  <c r="T32" i="28" s="1"/>
  <c r="AB32" i="28" a="1"/>
  <c r="AB32" i="28" s="1"/>
  <c r="E32" i="28" a="1"/>
  <c r="E32" i="28" s="1"/>
  <c r="M32" i="28" a="1"/>
  <c r="M32" i="28" s="1"/>
  <c r="U32" i="28" a="1"/>
  <c r="U32" i="28" s="1"/>
  <c r="AC32" i="28" a="1"/>
  <c r="AC32" i="28" s="1"/>
  <c r="N32" i="28" a="1"/>
  <c r="N32" i="28" s="1"/>
  <c r="DB187" i="28" s="1"/>
  <c r="DC187" i="28" s="1"/>
  <c r="V32" i="28" a="1"/>
  <c r="V32" i="28" s="1"/>
  <c r="AD32" i="28" a="1"/>
  <c r="AD32" i="28" s="1"/>
  <c r="O32" i="28" a="1"/>
  <c r="O32" i="28" s="1"/>
  <c r="W32" i="28" a="1"/>
  <c r="W32" i="28" s="1"/>
  <c r="AE32" i="28" a="1"/>
  <c r="AE32" i="28" s="1"/>
  <c r="H32" i="28" a="1"/>
  <c r="H32" i="28" s="1"/>
  <c r="D32" i="28" a="1"/>
  <c r="D32" i="28" s="1"/>
  <c r="P32" i="28" a="1"/>
  <c r="P32" i="28" s="1"/>
  <c r="X32" i="28" a="1"/>
  <c r="X32" i="28" s="1"/>
  <c r="AF32" i="28" a="1"/>
  <c r="AF32" i="28" s="1"/>
  <c r="AI5" i="28" a="1"/>
  <c r="AI5" i="28" s="1"/>
  <c r="AI6" i="28" a="1"/>
  <c r="AI6" i="28" s="1"/>
  <c r="AI7" i="28" a="1"/>
  <c r="AI7" i="28" s="1"/>
  <c r="AI8" i="28" a="1"/>
  <c r="AI8" i="28" s="1"/>
  <c r="AI9" i="28" a="1"/>
  <c r="AI9" i="28" s="1"/>
  <c r="AI10" i="28" a="1"/>
  <c r="AI10" i="28" s="1"/>
  <c r="AI11" i="28" a="1"/>
  <c r="AI11" i="28" s="1"/>
  <c r="AI12" i="28" a="1"/>
  <c r="AI12" i="28" s="1"/>
  <c r="AI13" i="28" a="1"/>
  <c r="AI13" i="28" s="1"/>
  <c r="AI14" i="28" a="1"/>
  <c r="AI14" i="28" s="1"/>
  <c r="AI15" i="28" a="1"/>
  <c r="AI15" i="28" s="1"/>
  <c r="AI16" i="28" a="1"/>
  <c r="AI16" i="28" s="1"/>
  <c r="AI17" i="28" a="1"/>
  <c r="AI17" i="28" s="1"/>
  <c r="AI18" i="28" a="1"/>
  <c r="AI18" i="28" s="1"/>
  <c r="AI19" i="28" a="1"/>
  <c r="AI19" i="28" s="1"/>
  <c r="AI20" i="28" a="1"/>
  <c r="AI20" i="28" s="1"/>
  <c r="AI21" i="28" a="1"/>
  <c r="AI21" i="28" s="1"/>
  <c r="AI22" i="28" a="1"/>
  <c r="AI22" i="28" s="1"/>
  <c r="AI23" i="28" a="1"/>
  <c r="AI23" i="28" s="1"/>
  <c r="AI24" i="28" a="1"/>
  <c r="AI24" i="28" s="1"/>
  <c r="AI25" i="28" a="1"/>
  <c r="AI25" i="28" s="1"/>
  <c r="AI26" i="28" a="1"/>
  <c r="AI26" i="28" s="1"/>
  <c r="AI27" i="28" a="1"/>
  <c r="AI27" i="28" s="1"/>
  <c r="AI28" i="28" a="1"/>
  <c r="AI28" i="28" s="1"/>
  <c r="AI29" i="28" a="1"/>
  <c r="AI29" i="28" s="1"/>
  <c r="AI30" i="28" a="1"/>
  <c r="AI30" i="28" s="1"/>
  <c r="AI31" i="28" a="1"/>
  <c r="AI31" i="28" s="1"/>
  <c r="I12" i="32"/>
  <c r="S12" i="32" s="1"/>
  <c r="Z12" i="32" s="1"/>
  <c r="BF39" i="32" s="1"/>
  <c r="AP18" i="11"/>
  <c r="I13" i="32"/>
  <c r="S13" i="32" s="1"/>
  <c r="Z13" i="32" s="1"/>
  <c r="BF40" i="32" s="1"/>
  <c r="U26" i="32"/>
  <c r="AB26" i="32" s="1"/>
  <c r="U27" i="32"/>
  <c r="AB27" i="32" s="1"/>
  <c r="L18" i="22"/>
  <c r="AG13" i="11"/>
  <c r="J23" i="25" s="1"/>
  <c r="AI28" i="32"/>
  <c r="AT28" i="32" s="1"/>
  <c r="BB28" i="32" s="1"/>
  <c r="AD28" i="11"/>
  <c r="BD69" i="28" a="1"/>
  <c r="BD69" i="28" s="1"/>
  <c r="BN69" i="28" a="1"/>
  <c r="BN69" i="28" s="1"/>
  <c r="DL16" i="28"/>
  <c r="DL156" i="28"/>
  <c r="DL44" i="28"/>
  <c r="DL184" i="28"/>
  <c r="DL128" i="28"/>
  <c r="DL100" i="28"/>
  <c r="DL72" i="28"/>
  <c r="F29" i="32"/>
  <c r="DI45" i="28"/>
  <c r="DI185" i="28"/>
  <c r="DI157" i="28"/>
  <c r="DI73" i="28"/>
  <c r="DI129" i="28"/>
  <c r="DI101" i="28"/>
  <c r="DI17" i="28"/>
  <c r="DB186" i="28"/>
  <c r="DC186" i="28" s="1"/>
  <c r="DB18" i="28"/>
  <c r="DC18" i="28" s="1"/>
  <c r="DB74" i="28"/>
  <c r="DC74" i="28" s="1"/>
  <c r="DB46" i="28"/>
  <c r="DC46" i="28" s="1"/>
  <c r="DB102" i="28"/>
  <c r="DB158" i="28"/>
  <c r="DB130" i="28"/>
  <c r="E20" i="32"/>
  <c r="DE136" i="28"/>
  <c r="DE157" i="28"/>
  <c r="DE28" i="28"/>
  <c r="DE184" i="28"/>
  <c r="DE82" i="28"/>
  <c r="DE163" i="28"/>
  <c r="DE109" i="28"/>
  <c r="DE55" i="28"/>
  <c r="DE190" i="28"/>
  <c r="R29" i="11"/>
  <c r="CX31" i="28"/>
  <c r="DD100" i="28"/>
  <c r="DC100" i="28" s="1"/>
  <c r="AG1" i="28"/>
  <c r="CE1" i="28"/>
  <c r="BD32" i="28" a="1"/>
  <c r="BD32" i="28" s="1"/>
  <c r="E30" i="32" s="1"/>
  <c r="BC32" i="28" a="1"/>
  <c r="BC32" i="28" s="1"/>
  <c r="B33" i="28"/>
  <c r="CR32" i="28" a="1"/>
  <c r="CR32" i="28" s="1"/>
  <c r="CS32" i="28" a="1"/>
  <c r="CS32" i="28" s="1"/>
  <c r="CT32" i="28" a="1"/>
  <c r="CT32" i="28" s="1"/>
  <c r="CU32" i="28" a="1"/>
  <c r="CU32" i="28" s="1"/>
  <c r="CV32" i="28" a="1"/>
  <c r="CV32" i="28" s="1"/>
  <c r="CW32" i="28" a="1"/>
  <c r="CW32" i="28" s="1"/>
  <c r="BG32" i="28" a="1"/>
  <c r="BG32" i="28" s="1"/>
  <c r="BM32" i="28" a="1"/>
  <c r="BM32" i="28" s="1"/>
  <c r="BZ32" i="28" a="1"/>
  <c r="BZ32" i="28" s="1"/>
  <c r="CG32" i="28" a="1"/>
  <c r="CG32" i="28" s="1"/>
  <c r="CL32" i="28" a="1"/>
  <c r="CL32" i="28" s="1"/>
  <c r="BH32" i="28" a="1"/>
  <c r="BH32" i="28" s="1"/>
  <c r="BN32" i="28" a="1"/>
  <c r="BN32" i="28" s="1"/>
  <c r="BT32" i="28" a="1"/>
  <c r="BT32" i="28" s="1"/>
  <c r="CM32" i="28" a="1"/>
  <c r="CM32" i="28" s="1"/>
  <c r="BI32" i="28" a="1"/>
  <c r="BI32" i="28" s="1"/>
  <c r="BO32" i="28" a="1"/>
  <c r="BO32" i="28" s="1"/>
  <c r="BU32" i="28" a="1"/>
  <c r="BU32" i="28" s="1"/>
  <c r="CA32" i="28" a="1"/>
  <c r="CA32" i="28" s="1"/>
  <c r="CH32" i="28" a="1"/>
  <c r="CH32" i="28" s="1"/>
  <c r="CN32" i="28" a="1"/>
  <c r="CN32" i="28" s="1"/>
  <c r="BJ32" i="28" a="1"/>
  <c r="BJ32" i="28" s="1"/>
  <c r="BP32" i="28" a="1"/>
  <c r="BP32" i="28" s="1"/>
  <c r="BV32" i="28" a="1"/>
  <c r="BV32" i="28" s="1"/>
  <c r="CB32" i="28" a="1"/>
  <c r="CB32" i="28" s="1"/>
  <c r="CO32" i="28" a="1"/>
  <c r="CO32" i="28" s="1"/>
  <c r="BQ32" i="28" a="1"/>
  <c r="BQ32" i="28" s="1"/>
  <c r="BW32" i="28" a="1"/>
  <c r="BW32" i="28" s="1"/>
  <c r="CC32" i="28" a="1"/>
  <c r="CC32" i="28" s="1"/>
  <c r="CI32" i="28" a="1"/>
  <c r="CI32" i="28" s="1"/>
  <c r="CP32" i="28" a="1"/>
  <c r="CP32" i="28" s="1"/>
  <c r="BK32" i="28" a="1"/>
  <c r="BK32" i="28" s="1"/>
  <c r="BX32" i="28" a="1"/>
  <c r="BX32" i="28" s="1"/>
  <c r="CD32" i="28" a="1"/>
  <c r="CD32" i="28" s="1"/>
  <c r="CJ32" i="28" a="1"/>
  <c r="CJ32" i="28" s="1"/>
  <c r="BR32" i="28" a="1"/>
  <c r="BR32" i="28" s="1"/>
  <c r="BY32" i="28" a="1"/>
  <c r="BY32" i="28" s="1"/>
  <c r="CE32" i="28" a="1"/>
  <c r="CE32" i="28" s="1"/>
  <c r="CK32" i="28" a="1"/>
  <c r="CK32" i="28" s="1"/>
  <c r="CQ32" i="28" a="1"/>
  <c r="CQ32" i="28" s="1"/>
  <c r="BL32" i="28" a="1"/>
  <c r="BL32" i="28" s="1"/>
  <c r="BS32" i="28" a="1"/>
  <c r="BS32" i="28" s="1"/>
  <c r="CF32" i="28" a="1"/>
  <c r="CF32" i="28" s="1"/>
  <c r="AJ3" i="28"/>
  <c r="AJ32" i="28" s="1" a="1"/>
  <c r="AJ32" i="28" s="1"/>
  <c r="K19" i="22"/>
  <c r="R114" i="24" l="1"/>
  <c r="I14" i="32"/>
  <c r="S14" i="32" s="1"/>
  <c r="Z14" i="32" s="1"/>
  <c r="BF41" i="32" s="1"/>
  <c r="P33" i="28" a="1"/>
  <c r="P33" i="28" s="1"/>
  <c r="X33" i="28" a="1"/>
  <c r="X33" i="28" s="1"/>
  <c r="AF33" i="28" a="1"/>
  <c r="AF33" i="28" s="1"/>
  <c r="I33" i="28" a="1"/>
  <c r="I33" i="28" s="1"/>
  <c r="Q33" i="28" a="1"/>
  <c r="Q33" i="28" s="1"/>
  <c r="Y33" i="28" a="1"/>
  <c r="Y33" i="28" s="1"/>
  <c r="AG33" i="28" a="1"/>
  <c r="AG33" i="28" s="1"/>
  <c r="J33" i="28" a="1"/>
  <c r="J33" i="28" s="1"/>
  <c r="R33" i="28" a="1"/>
  <c r="R33" i="28" s="1"/>
  <c r="Z33" i="28" a="1"/>
  <c r="Z33" i="28" s="1"/>
  <c r="AH33" i="28" a="1"/>
  <c r="AH33" i="28" s="1"/>
  <c r="K33" i="28" a="1"/>
  <c r="K33" i="28" s="1"/>
  <c r="S33" i="28" a="1"/>
  <c r="S33" i="28" s="1"/>
  <c r="AA33" i="28" a="1"/>
  <c r="AA33" i="28" s="1"/>
  <c r="AI33" i="28" a="1"/>
  <c r="AI33" i="28" s="1"/>
  <c r="L33" i="28" a="1"/>
  <c r="L33" i="28" s="1"/>
  <c r="T33" i="28" a="1"/>
  <c r="T33" i="28" s="1"/>
  <c r="AB33" i="28" a="1"/>
  <c r="AB33" i="28" s="1"/>
  <c r="AJ33" i="28" a="1"/>
  <c r="AJ33" i="28" s="1"/>
  <c r="E33" i="28" a="1"/>
  <c r="E33" i="28" s="1"/>
  <c r="M33" i="28" a="1"/>
  <c r="M33" i="28" s="1"/>
  <c r="U33" i="28" a="1"/>
  <c r="U33" i="28" s="1"/>
  <c r="AC33" i="28" a="1"/>
  <c r="AC33" i="28" s="1"/>
  <c r="N33" i="28" a="1"/>
  <c r="N33" i="28" s="1"/>
  <c r="DB188" i="28" s="1"/>
  <c r="DC188" i="28" s="1"/>
  <c r="V33" i="28" a="1"/>
  <c r="V33" i="28" s="1"/>
  <c r="AD33" i="28" a="1"/>
  <c r="AD33" i="28" s="1"/>
  <c r="O33" i="28" a="1"/>
  <c r="O33" i="28" s="1"/>
  <c r="W33" i="28" a="1"/>
  <c r="W33" i="28" s="1"/>
  <c r="AE33" i="28" a="1"/>
  <c r="AE33" i="28" s="1"/>
  <c r="H33" i="28" a="1"/>
  <c r="H33" i="28" s="1"/>
  <c r="D33" i="28" a="1"/>
  <c r="D33" i="28" s="1"/>
  <c r="AJ5" i="28" a="1"/>
  <c r="AJ5" i="28" s="1"/>
  <c r="AJ6" i="28" a="1"/>
  <c r="AJ6" i="28" s="1"/>
  <c r="AJ7" i="28" a="1"/>
  <c r="AJ7" i="28" s="1"/>
  <c r="AJ8" i="28" a="1"/>
  <c r="AJ8" i="28" s="1"/>
  <c r="AJ9" i="28" a="1"/>
  <c r="AJ9" i="28" s="1"/>
  <c r="AJ10" i="28" a="1"/>
  <c r="AJ10" i="28" s="1"/>
  <c r="AJ11" i="28" a="1"/>
  <c r="AJ11" i="28" s="1"/>
  <c r="AJ12" i="28" a="1"/>
  <c r="AJ12" i="28" s="1"/>
  <c r="AJ13" i="28" a="1"/>
  <c r="AJ13" i="28" s="1"/>
  <c r="AJ14" i="28" a="1"/>
  <c r="AJ14" i="28" s="1"/>
  <c r="AJ15" i="28" a="1"/>
  <c r="AJ15" i="28" s="1"/>
  <c r="AJ16" i="28" a="1"/>
  <c r="AJ16" i="28" s="1"/>
  <c r="AJ17" i="28" a="1"/>
  <c r="AJ17" i="28" s="1"/>
  <c r="AJ18" i="28" a="1"/>
  <c r="AJ18" i="28" s="1"/>
  <c r="AJ19" i="28" a="1"/>
  <c r="AJ19" i="28" s="1"/>
  <c r="AJ20" i="28" a="1"/>
  <c r="AJ20" i="28" s="1"/>
  <c r="AJ21" i="28" a="1"/>
  <c r="AJ21" i="28" s="1"/>
  <c r="AJ22" i="28" a="1"/>
  <c r="AJ22" i="28" s="1"/>
  <c r="AJ23" i="28" a="1"/>
  <c r="AJ23" i="28" s="1"/>
  <c r="AJ24" i="28" a="1"/>
  <c r="AJ24" i="28" s="1"/>
  <c r="AJ25" i="28" a="1"/>
  <c r="AJ25" i="28" s="1"/>
  <c r="AJ26" i="28" a="1"/>
  <c r="AJ26" i="28" s="1"/>
  <c r="AJ27" i="28" a="1"/>
  <c r="AJ27" i="28" s="1"/>
  <c r="AJ28" i="28" a="1"/>
  <c r="AJ28" i="28" s="1"/>
  <c r="AJ29" i="28" a="1"/>
  <c r="AJ29" i="28" s="1"/>
  <c r="AJ30" i="28" a="1"/>
  <c r="AJ30" i="28" s="1"/>
  <c r="AJ31" i="28" a="1"/>
  <c r="AJ31" i="28" s="1"/>
  <c r="AP20" i="11"/>
  <c r="AP19" i="11"/>
  <c r="X28" i="32"/>
  <c r="AG28" i="32" s="1"/>
  <c r="L19" i="22"/>
  <c r="AG15" i="11"/>
  <c r="L23" i="25" s="1"/>
  <c r="AG14" i="11"/>
  <c r="K23" i="25" s="1"/>
  <c r="K28" i="32"/>
  <c r="AI29" i="32"/>
  <c r="AT29" i="32" s="1"/>
  <c r="BB29" i="32" s="1"/>
  <c r="AD29" i="11"/>
  <c r="AD30" i="11"/>
  <c r="AI30" i="32"/>
  <c r="AT30" i="32" s="1"/>
  <c r="BB30" i="32" s="1"/>
  <c r="BD70" i="28" a="1"/>
  <c r="BD70" i="28" s="1"/>
  <c r="BN70" i="28" a="1"/>
  <c r="BN70" i="28" s="1"/>
  <c r="DL17" i="28"/>
  <c r="DL101" i="28"/>
  <c r="DL129" i="28"/>
  <c r="DL73" i="28"/>
  <c r="DL157" i="28"/>
  <c r="DL45" i="28"/>
  <c r="DL185" i="28"/>
  <c r="F30" i="32"/>
  <c r="DI158" i="28"/>
  <c r="DI102" i="28"/>
  <c r="DI46" i="28"/>
  <c r="DI74" i="28"/>
  <c r="DI187" i="28"/>
  <c r="DI186" i="28"/>
  <c r="DI130" i="28"/>
  <c r="DI18" i="28"/>
  <c r="DB103" i="28"/>
  <c r="DB75" i="28"/>
  <c r="DC75" i="28" s="1"/>
  <c r="DB47" i="28"/>
  <c r="DC47" i="28" s="1"/>
  <c r="DB159" i="28"/>
  <c r="DB131" i="28"/>
  <c r="DB19" i="28"/>
  <c r="DC19" i="28" s="1"/>
  <c r="E21" i="32"/>
  <c r="DE83" i="28"/>
  <c r="DE191" i="28"/>
  <c r="DE56" i="28"/>
  <c r="CX32" i="28"/>
  <c r="DE29" i="28"/>
  <c r="DE137" i="28"/>
  <c r="DE110" i="28"/>
  <c r="DE185" i="28"/>
  <c r="DE164" i="28"/>
  <c r="R30" i="11"/>
  <c r="DD101" i="28"/>
  <c r="DC101" i="28" s="1"/>
  <c r="AH1" i="28"/>
  <c r="CF1" i="28"/>
  <c r="BC33" i="28" a="1"/>
  <c r="BC33" i="28" s="1"/>
  <c r="BD33" i="28" a="1"/>
  <c r="BD33" i="28" s="1"/>
  <c r="E31" i="32" s="1"/>
  <c r="AK3" i="28"/>
  <c r="B34" i="28"/>
  <c r="CR33" i="28" a="1"/>
  <c r="CR33" i="28" s="1"/>
  <c r="CS33" i="28" a="1"/>
  <c r="CS33" i="28" s="1"/>
  <c r="CT33" i="28" a="1"/>
  <c r="CT33" i="28" s="1"/>
  <c r="CU33" i="28" a="1"/>
  <c r="CU33" i="28" s="1"/>
  <c r="CV33" i="28" a="1"/>
  <c r="CV33" i="28" s="1"/>
  <c r="CW33" i="28" a="1"/>
  <c r="CW33" i="28" s="1"/>
  <c r="BK33" i="28" a="1"/>
  <c r="BK33" i="28" s="1"/>
  <c r="BQ33" i="28" a="1"/>
  <c r="BQ33" i="28" s="1"/>
  <c r="BW33" i="28" a="1"/>
  <c r="BW33" i="28" s="1"/>
  <c r="CD33" i="28" a="1"/>
  <c r="CD33" i="28" s="1"/>
  <c r="CL33" i="28" a="1"/>
  <c r="CL33" i="28" s="1"/>
  <c r="BL33" i="28" a="1"/>
  <c r="BL33" i="28" s="1"/>
  <c r="BX33" i="28" a="1"/>
  <c r="BX33" i="28" s="1"/>
  <c r="CE33" i="28" a="1"/>
  <c r="CE33" i="28" s="1"/>
  <c r="CM33" i="28" a="1"/>
  <c r="CM33" i="28" s="1"/>
  <c r="BG33" i="28" a="1"/>
  <c r="BG33" i="28" s="1"/>
  <c r="BM33" i="28" a="1"/>
  <c r="BM33" i="28" s="1"/>
  <c r="BR33" i="28" a="1"/>
  <c r="BR33" i="28" s="1"/>
  <c r="BY33" i="28" a="1"/>
  <c r="BY33" i="28" s="1"/>
  <c r="CF33" i="28" a="1"/>
  <c r="CF33" i="28" s="1"/>
  <c r="CN33" i="28" a="1"/>
  <c r="CN33" i="28" s="1"/>
  <c r="BH33" i="28" a="1"/>
  <c r="BH33" i="28" s="1"/>
  <c r="BS33" i="28" a="1"/>
  <c r="BS33" i="28" s="1"/>
  <c r="CG33" i="28" a="1"/>
  <c r="CG33" i="28" s="1"/>
  <c r="CO33" i="28" a="1"/>
  <c r="CO33" i="28" s="1"/>
  <c r="BN33" i="28" a="1"/>
  <c r="BN33" i="28" s="1"/>
  <c r="BT33" i="28" a="1"/>
  <c r="BT33" i="28" s="1"/>
  <c r="BZ33" i="28" a="1"/>
  <c r="BZ33" i="28" s="1"/>
  <c r="CH33" i="28" a="1"/>
  <c r="CH33" i="28" s="1"/>
  <c r="CP33" i="28" a="1"/>
  <c r="CP33" i="28" s="1"/>
  <c r="BI33" i="28" a="1"/>
  <c r="BI33" i="28" s="1"/>
  <c r="BU33" i="28" a="1"/>
  <c r="BU33" i="28" s="1"/>
  <c r="CA33" i="28" a="1"/>
  <c r="CA33" i="28" s="1"/>
  <c r="CI33" i="28" a="1"/>
  <c r="CI33" i="28" s="1"/>
  <c r="CQ33" i="28" a="1"/>
  <c r="CQ33" i="28" s="1"/>
  <c r="BJ33" i="28" a="1"/>
  <c r="BJ33" i="28" s="1"/>
  <c r="BO33" i="28" a="1"/>
  <c r="BO33" i="28" s="1"/>
  <c r="CB33" i="28" a="1"/>
  <c r="CB33" i="28" s="1"/>
  <c r="CJ33" i="28" a="1"/>
  <c r="CJ33" i="28" s="1"/>
  <c r="BP33" i="28" a="1"/>
  <c r="BP33" i="28" s="1"/>
  <c r="BV33" i="28" a="1"/>
  <c r="BV33" i="28" s="1"/>
  <c r="CC33" i="28" a="1"/>
  <c r="CC33" i="28" s="1"/>
  <c r="CK33" i="28" a="1"/>
  <c r="CK33" i="28" s="1"/>
  <c r="K20" i="22"/>
  <c r="O34" i="28" l="1" a="1"/>
  <c r="O34" i="28" s="1"/>
  <c r="W34" i="28" a="1"/>
  <c r="W34" i="28" s="1"/>
  <c r="AE34" i="28" a="1"/>
  <c r="AE34" i="28" s="1"/>
  <c r="H34" i="28" a="1"/>
  <c r="H34" i="28" s="1"/>
  <c r="D34" i="28" a="1"/>
  <c r="D34" i="28" s="1"/>
  <c r="P34" i="28" a="1"/>
  <c r="P34" i="28" s="1"/>
  <c r="X34" i="28" a="1"/>
  <c r="X34" i="28" s="1"/>
  <c r="AF34" i="28" a="1"/>
  <c r="AF34" i="28" s="1"/>
  <c r="I34" i="28" a="1"/>
  <c r="I34" i="28" s="1"/>
  <c r="Q34" i="28" a="1"/>
  <c r="Q34" i="28" s="1"/>
  <c r="Y34" i="28" a="1"/>
  <c r="Y34" i="28" s="1"/>
  <c r="AG34" i="28" a="1"/>
  <c r="AG34" i="28" s="1"/>
  <c r="J34" i="28" a="1"/>
  <c r="J34" i="28" s="1"/>
  <c r="R34" i="28" a="1"/>
  <c r="R34" i="28" s="1"/>
  <c r="Z34" i="28" a="1"/>
  <c r="Z34" i="28" s="1"/>
  <c r="AH34" i="28" a="1"/>
  <c r="AH34" i="28" s="1"/>
  <c r="K34" i="28" a="1"/>
  <c r="K34" i="28" s="1"/>
  <c r="S34" i="28" a="1"/>
  <c r="S34" i="28" s="1"/>
  <c r="AA34" i="28" a="1"/>
  <c r="AA34" i="28" s="1"/>
  <c r="AI34" i="28" a="1"/>
  <c r="AI34" i="28" s="1"/>
  <c r="L34" i="28" a="1"/>
  <c r="L34" i="28" s="1"/>
  <c r="T34" i="28" a="1"/>
  <c r="T34" i="28" s="1"/>
  <c r="AB34" i="28" a="1"/>
  <c r="AB34" i="28" s="1"/>
  <c r="AJ34" i="28" a="1"/>
  <c r="AJ34" i="28" s="1"/>
  <c r="E34" i="28" a="1"/>
  <c r="E34" i="28" s="1"/>
  <c r="M34" i="28" a="1"/>
  <c r="M34" i="28" s="1"/>
  <c r="U34" i="28" a="1"/>
  <c r="U34" i="28" s="1"/>
  <c r="AC34" i="28" a="1"/>
  <c r="AC34" i="28" s="1"/>
  <c r="AK34" i="28" a="1"/>
  <c r="AK34" i="28" s="1"/>
  <c r="N34" i="28" a="1"/>
  <c r="N34" i="28" s="1"/>
  <c r="DB189" i="28" s="1"/>
  <c r="DC189" i="28" s="1"/>
  <c r="V34" i="28" a="1"/>
  <c r="V34" i="28" s="1"/>
  <c r="AD34" i="28" a="1"/>
  <c r="AD34" i="28" s="1"/>
  <c r="AK5" i="28" a="1"/>
  <c r="AK5" i="28" s="1"/>
  <c r="AK6" i="28" a="1"/>
  <c r="AK6" i="28" s="1"/>
  <c r="AK7" i="28" a="1"/>
  <c r="AK7" i="28" s="1"/>
  <c r="AK8" i="28" a="1"/>
  <c r="AK8" i="28" s="1"/>
  <c r="AK9" i="28" a="1"/>
  <c r="AK9" i="28" s="1"/>
  <c r="AK10" i="28" a="1"/>
  <c r="AK10" i="28" s="1"/>
  <c r="AK11" i="28" a="1"/>
  <c r="AK11" i="28" s="1"/>
  <c r="AK12" i="28" a="1"/>
  <c r="AK12" i="28" s="1"/>
  <c r="AK13" i="28" a="1"/>
  <c r="AK13" i="28" s="1"/>
  <c r="AK14" i="28" a="1"/>
  <c r="AK14" i="28" s="1"/>
  <c r="AK15" i="28" a="1"/>
  <c r="AK15" i="28" s="1"/>
  <c r="AK16" i="28" a="1"/>
  <c r="AK16" i="28" s="1"/>
  <c r="AK17" i="28" a="1"/>
  <c r="AK17" i="28" s="1"/>
  <c r="AK18" i="28" a="1"/>
  <c r="AK18" i="28" s="1"/>
  <c r="AK19" i="28" a="1"/>
  <c r="AK19" i="28" s="1"/>
  <c r="AK20" i="28" a="1"/>
  <c r="AK20" i="28" s="1"/>
  <c r="AK21" i="28" a="1"/>
  <c r="AK21" i="28" s="1"/>
  <c r="AK22" i="28" a="1"/>
  <c r="AK22" i="28" s="1"/>
  <c r="AK23" i="28" a="1"/>
  <c r="AK23" i="28" s="1"/>
  <c r="AK24" i="28" a="1"/>
  <c r="AK24" i="28" s="1"/>
  <c r="AK25" i="28" a="1"/>
  <c r="AK25" i="28" s="1"/>
  <c r="AK26" i="28" a="1"/>
  <c r="AK26" i="28" s="1"/>
  <c r="AK27" i="28" a="1"/>
  <c r="AK27" i="28" s="1"/>
  <c r="AK28" i="28" a="1"/>
  <c r="AK28" i="28" s="1"/>
  <c r="AK29" i="28" a="1"/>
  <c r="AK29" i="28" s="1"/>
  <c r="AK30" i="28" a="1"/>
  <c r="AK30" i="28" s="1"/>
  <c r="AK31" i="28" a="1"/>
  <c r="AK31" i="28" s="1"/>
  <c r="AK32" i="28" a="1"/>
  <c r="AK32" i="28" s="1"/>
  <c r="AK33" i="28" a="1"/>
  <c r="AK33" i="28" s="1"/>
  <c r="AP21" i="11"/>
  <c r="I15" i="32"/>
  <c r="S15" i="32" s="1"/>
  <c r="Z15" i="32" s="1"/>
  <c r="BF42" i="32" s="1"/>
  <c r="U28" i="32"/>
  <c r="AB28" i="32" s="1"/>
  <c r="X30" i="32"/>
  <c r="AG30" i="32" s="1"/>
  <c r="X29" i="32"/>
  <c r="AG29" i="32" s="1"/>
  <c r="L20" i="22"/>
  <c r="AG16" i="11"/>
  <c r="M23" i="25" s="1"/>
  <c r="K30" i="32"/>
  <c r="K29" i="32"/>
  <c r="BD71" i="28" a="1"/>
  <c r="BD71" i="28" s="1"/>
  <c r="BN71" i="28" a="1"/>
  <c r="BN71" i="28" s="1"/>
  <c r="AD31" i="11"/>
  <c r="AI31" i="32"/>
  <c r="AT31" i="32" s="1"/>
  <c r="BB31" i="32" s="1"/>
  <c r="DL18" i="28"/>
  <c r="DL158" i="28"/>
  <c r="DL130" i="28"/>
  <c r="DL186" i="28"/>
  <c r="DL187" i="28"/>
  <c r="DL74" i="28"/>
  <c r="DL46" i="28"/>
  <c r="DL102" i="28"/>
  <c r="F31" i="32"/>
  <c r="DI159" i="28"/>
  <c r="DI47" i="28"/>
  <c r="DI188" i="28"/>
  <c r="DI75" i="28"/>
  <c r="DI103" i="28"/>
  <c r="DI131" i="28"/>
  <c r="DI19" i="28"/>
  <c r="DB160" i="28"/>
  <c r="DB132" i="28"/>
  <c r="DB20" i="28"/>
  <c r="DC20" i="28" s="1"/>
  <c r="DB104" i="28"/>
  <c r="DB76" i="28"/>
  <c r="DC76" i="28" s="1"/>
  <c r="DB48" i="28"/>
  <c r="DC48" i="28" s="1"/>
  <c r="DE165" i="28"/>
  <c r="DE192" i="28"/>
  <c r="DE57" i="28"/>
  <c r="DE111" i="28"/>
  <c r="DE138" i="28"/>
  <c r="DE30" i="28"/>
  <c r="DE84" i="28"/>
  <c r="R31" i="11"/>
  <c r="CX33" i="28"/>
  <c r="DD102" i="28"/>
  <c r="DC102" i="28" s="1"/>
  <c r="AI1" i="28"/>
  <c r="CG1" i="28"/>
  <c r="BC34" i="28" a="1"/>
  <c r="BC34" i="28" s="1"/>
  <c r="BD34" i="28" a="1"/>
  <c r="BD34" i="28" s="1"/>
  <c r="E32" i="32" s="1"/>
  <c r="B35" i="28"/>
  <c r="CT34" i="28" a="1"/>
  <c r="CT34" i="28" s="1"/>
  <c r="CU34" i="28" a="1"/>
  <c r="CU34" i="28" s="1"/>
  <c r="CV34" i="28" a="1"/>
  <c r="CV34" i="28" s="1"/>
  <c r="CW34" i="28" a="1"/>
  <c r="CW34" i="28" s="1"/>
  <c r="CR34" i="28" a="1"/>
  <c r="CR34" i="28" s="1"/>
  <c r="CS34" i="28" a="1"/>
  <c r="CS34" i="28" s="1"/>
  <c r="BG34" i="28" a="1"/>
  <c r="BG34" i="28" s="1"/>
  <c r="BO34" i="28" a="1"/>
  <c r="BO34" i="28" s="1"/>
  <c r="BW34" i="28" a="1"/>
  <c r="BW34" i="28" s="1"/>
  <c r="CE34" i="28" a="1"/>
  <c r="CE34" i="28" s="1"/>
  <c r="CM34" i="28" a="1"/>
  <c r="CM34" i="28" s="1"/>
  <c r="BH34" i="28" a="1"/>
  <c r="BH34" i="28" s="1"/>
  <c r="BP34" i="28" a="1"/>
  <c r="BP34" i="28" s="1"/>
  <c r="BX34" i="28" a="1"/>
  <c r="BX34" i="28" s="1"/>
  <c r="CF34" i="28" a="1"/>
  <c r="CF34" i="28" s="1"/>
  <c r="CN34" i="28" a="1"/>
  <c r="CN34" i="28" s="1"/>
  <c r="BI34" i="28" a="1"/>
  <c r="BI34" i="28" s="1"/>
  <c r="BQ34" i="28" a="1"/>
  <c r="BQ34" i="28" s="1"/>
  <c r="BY34" i="28" a="1"/>
  <c r="BY34" i="28" s="1"/>
  <c r="CG34" i="28" a="1"/>
  <c r="CG34" i="28" s="1"/>
  <c r="CO34" i="28" a="1"/>
  <c r="CO34" i="28" s="1"/>
  <c r="BJ34" i="28" a="1"/>
  <c r="BJ34" i="28" s="1"/>
  <c r="BR34" i="28" a="1"/>
  <c r="BR34" i="28" s="1"/>
  <c r="BZ34" i="28" a="1"/>
  <c r="BZ34" i="28" s="1"/>
  <c r="CH34" i="28" a="1"/>
  <c r="CH34" i="28" s="1"/>
  <c r="CP34" i="28" a="1"/>
  <c r="CP34" i="28" s="1"/>
  <c r="BK34" i="28" a="1"/>
  <c r="BK34" i="28" s="1"/>
  <c r="BS34" i="28" a="1"/>
  <c r="BS34" i="28" s="1"/>
  <c r="CA34" i="28" a="1"/>
  <c r="CA34" i="28" s="1"/>
  <c r="CI34" i="28" a="1"/>
  <c r="CI34" i="28" s="1"/>
  <c r="CQ34" i="28" a="1"/>
  <c r="CQ34" i="28" s="1"/>
  <c r="BL34" i="28" a="1"/>
  <c r="BL34" i="28" s="1"/>
  <c r="BT34" i="28" a="1"/>
  <c r="BT34" i="28" s="1"/>
  <c r="CB34" i="28" a="1"/>
  <c r="CB34" i="28" s="1"/>
  <c r="CJ34" i="28" a="1"/>
  <c r="CJ34" i="28" s="1"/>
  <c r="BM34" i="28" a="1"/>
  <c r="BM34" i="28" s="1"/>
  <c r="BU34" i="28" a="1"/>
  <c r="BU34" i="28" s="1"/>
  <c r="CC34" i="28" a="1"/>
  <c r="CC34" i="28" s="1"/>
  <c r="CK34" i="28" a="1"/>
  <c r="CK34" i="28" s="1"/>
  <c r="BN34" i="28" a="1"/>
  <c r="BN34" i="28" s="1"/>
  <c r="BV34" i="28" a="1"/>
  <c r="BV34" i="28" s="1"/>
  <c r="CD34" i="28" a="1"/>
  <c r="CD34" i="28" s="1"/>
  <c r="CL34" i="28" a="1"/>
  <c r="CL34" i="28" s="1"/>
  <c r="AL3" i="28"/>
  <c r="AL34" i="28" s="1" a="1"/>
  <c r="AL34" i="28" s="1"/>
  <c r="K21" i="22"/>
  <c r="N35" i="28" l="1" a="1"/>
  <c r="N35" i="28" s="1"/>
  <c r="DB190" i="28" s="1"/>
  <c r="DC190" i="28" s="1"/>
  <c r="V35" i="28" a="1"/>
  <c r="V35" i="28" s="1"/>
  <c r="AD35" i="28" a="1"/>
  <c r="AD35" i="28" s="1"/>
  <c r="AL35" i="28" a="1"/>
  <c r="AL35" i="28" s="1"/>
  <c r="O35" i="28" a="1"/>
  <c r="O35" i="28" s="1"/>
  <c r="O36" i="28" s="1"/>
  <c r="O37" i="28" s="1"/>
  <c r="O38" i="28" s="1"/>
  <c r="O39" i="28" s="1"/>
  <c r="O40" i="28" s="1"/>
  <c r="O41" i="28" s="1"/>
  <c r="O42" i="28" s="1"/>
  <c r="O43" i="28" s="1"/>
  <c r="O44" i="28" s="1"/>
  <c r="O45" i="28" s="1"/>
  <c r="O46" i="28" s="1"/>
  <c r="O47" i="28" s="1"/>
  <c r="O48" i="28" s="1"/>
  <c r="O49" i="28" s="1"/>
  <c r="O50" i="28" s="1"/>
  <c r="O51" i="28" s="1"/>
  <c r="O52" i="28" s="1"/>
  <c r="O53" i="28" s="1"/>
  <c r="O54" i="28" s="1"/>
  <c r="O55" i="28" s="1"/>
  <c r="O56" i="28" s="1"/>
  <c r="O57" i="28" s="1"/>
  <c r="O58" i="28" s="1"/>
  <c r="O59" i="28" s="1"/>
  <c r="O60" i="28" s="1"/>
  <c r="O61" i="28" s="1"/>
  <c r="O62" i="28" s="1"/>
  <c r="O63" i="28" s="1"/>
  <c r="W35" i="28" a="1"/>
  <c r="W35" i="28" s="1"/>
  <c r="AE35" i="28" a="1"/>
  <c r="AE35" i="28" s="1"/>
  <c r="H35" i="28" a="1"/>
  <c r="H35" i="28" s="1"/>
  <c r="D35" i="28" a="1"/>
  <c r="D35" i="28" s="1"/>
  <c r="P35" i="28" a="1"/>
  <c r="P35" i="28" s="1"/>
  <c r="X35" i="28" a="1"/>
  <c r="X35" i="28" s="1"/>
  <c r="AF35" i="28" a="1"/>
  <c r="AF35" i="28" s="1"/>
  <c r="I35" i="28" a="1"/>
  <c r="I35" i="28" s="1"/>
  <c r="Q35" i="28" a="1"/>
  <c r="Q35" i="28" s="1"/>
  <c r="Y35" i="28" a="1"/>
  <c r="Y35" i="28" s="1"/>
  <c r="AG35" i="28" a="1"/>
  <c r="AG35" i="28" s="1"/>
  <c r="J35" i="28" a="1"/>
  <c r="J35" i="28" s="1"/>
  <c r="R35" i="28" a="1"/>
  <c r="R35" i="28" s="1"/>
  <c r="Z35" i="28" a="1"/>
  <c r="Z35" i="28" s="1"/>
  <c r="AH35" i="28" a="1"/>
  <c r="AH35" i="28" s="1"/>
  <c r="K35" i="28" a="1"/>
  <c r="K35" i="28" s="1"/>
  <c r="S35" i="28" a="1"/>
  <c r="S35" i="28" s="1"/>
  <c r="AA35" i="28" a="1"/>
  <c r="AA35" i="28" s="1"/>
  <c r="AI35" i="28" a="1"/>
  <c r="AI35" i="28" s="1"/>
  <c r="L35" i="28" a="1"/>
  <c r="L35" i="28" s="1"/>
  <c r="T35" i="28" a="1"/>
  <c r="T35" i="28" s="1"/>
  <c r="AB35" i="28" a="1"/>
  <c r="AB35" i="28" s="1"/>
  <c r="AJ35" i="28" a="1"/>
  <c r="AJ35" i="28" s="1"/>
  <c r="E35" i="28" a="1"/>
  <c r="E35" i="28" s="1"/>
  <c r="M35" i="28" a="1"/>
  <c r="M35" i="28" s="1"/>
  <c r="U35" i="28" a="1"/>
  <c r="U35" i="28" s="1"/>
  <c r="AC35" i="28" a="1"/>
  <c r="AC35" i="28" s="1"/>
  <c r="AK35" i="28" a="1"/>
  <c r="AK35" i="28" s="1"/>
  <c r="AL5" i="28" a="1"/>
  <c r="AL5" i="28" s="1"/>
  <c r="AL6" i="28" a="1"/>
  <c r="AL6" i="28" s="1"/>
  <c r="AL7" i="28" a="1"/>
  <c r="AL7" i="28" s="1"/>
  <c r="AL8" i="28" a="1"/>
  <c r="AL8" i="28" s="1"/>
  <c r="AL9" i="28" a="1"/>
  <c r="AL9" i="28" s="1"/>
  <c r="AL10" i="28" a="1"/>
  <c r="AL10" i="28" s="1"/>
  <c r="AL11" i="28" a="1"/>
  <c r="AL11" i="28" s="1"/>
  <c r="AL12" i="28" a="1"/>
  <c r="AL12" i="28" s="1"/>
  <c r="AL13" i="28" a="1"/>
  <c r="AL13" i="28" s="1"/>
  <c r="AL14" i="28" a="1"/>
  <c r="AL14" i="28" s="1"/>
  <c r="AL15" i="28" a="1"/>
  <c r="AL15" i="28" s="1"/>
  <c r="AL16" i="28" a="1"/>
  <c r="AL16" i="28" s="1"/>
  <c r="AL17" i="28" a="1"/>
  <c r="AL17" i="28" s="1"/>
  <c r="AL18" i="28" a="1"/>
  <c r="AL18" i="28" s="1"/>
  <c r="AL19" i="28" a="1"/>
  <c r="AL19" i="28" s="1"/>
  <c r="AL20" i="28" a="1"/>
  <c r="AL20" i="28" s="1"/>
  <c r="AL21" i="28" a="1"/>
  <c r="AL21" i="28" s="1"/>
  <c r="AL22" i="28" a="1"/>
  <c r="AL22" i="28" s="1"/>
  <c r="AL23" i="28" a="1"/>
  <c r="AL23" i="28" s="1"/>
  <c r="AL24" i="28" a="1"/>
  <c r="AL24" i="28" s="1"/>
  <c r="AL25" i="28" a="1"/>
  <c r="AL25" i="28" s="1"/>
  <c r="AL26" i="28" a="1"/>
  <c r="AL26" i="28" s="1"/>
  <c r="AL27" i="28" a="1"/>
  <c r="AL27" i="28" s="1"/>
  <c r="AL28" i="28" a="1"/>
  <c r="AL28" i="28" s="1"/>
  <c r="AL29" i="28" a="1"/>
  <c r="AL29" i="28" s="1"/>
  <c r="AL30" i="28" a="1"/>
  <c r="AL30" i="28" s="1"/>
  <c r="AL31" i="28" a="1"/>
  <c r="AL31" i="28" s="1"/>
  <c r="AL32" i="28" a="1"/>
  <c r="AL32" i="28" s="1"/>
  <c r="AL33" i="28" a="1"/>
  <c r="AL33" i="28" s="1"/>
  <c r="AP22" i="11"/>
  <c r="I16" i="32"/>
  <c r="S16" i="32" s="1"/>
  <c r="Z16" i="32" s="1"/>
  <c r="BF43" i="32" s="1"/>
  <c r="X31" i="32"/>
  <c r="AG31" i="32" s="1"/>
  <c r="U29" i="32"/>
  <c r="AB29" i="32" s="1"/>
  <c r="U30" i="32"/>
  <c r="AB30" i="32" s="1"/>
  <c r="L21" i="22"/>
  <c r="AG17" i="11"/>
  <c r="N23" i="25" s="1"/>
  <c r="K31" i="32"/>
  <c r="AD32" i="11"/>
  <c r="AI32" i="32"/>
  <c r="AT32" i="32" s="1"/>
  <c r="BB32" i="32" s="1"/>
  <c r="BD72" i="28" a="1"/>
  <c r="BD72" i="28" s="1"/>
  <c r="BN72" i="28" a="1"/>
  <c r="BN72" i="28" s="1"/>
  <c r="DL103" i="28"/>
  <c r="DL75" i="28"/>
  <c r="DL131" i="28"/>
  <c r="DL188" i="28"/>
  <c r="DL47" i="28"/>
  <c r="DL19" i="28"/>
  <c r="DL159" i="28"/>
  <c r="F32" i="32"/>
  <c r="DI48" i="28"/>
  <c r="DI76" i="28"/>
  <c r="DI160" i="28"/>
  <c r="DI189" i="28"/>
  <c r="DI104" i="28"/>
  <c r="DI132" i="28"/>
  <c r="DI20" i="28"/>
  <c r="DB105" i="28"/>
  <c r="DB77" i="28"/>
  <c r="DC77" i="28" s="1"/>
  <c r="DB49" i="28"/>
  <c r="DC49" i="28" s="1"/>
  <c r="DB161" i="28"/>
  <c r="DB133" i="28"/>
  <c r="DB21" i="28"/>
  <c r="DC21" i="28" s="1"/>
  <c r="DE58" i="28"/>
  <c r="DE166" i="28"/>
  <c r="DE139" i="28"/>
  <c r="DE31" i="28"/>
  <c r="DE193" i="28"/>
  <c r="DE112" i="28"/>
  <c r="DE85" i="28"/>
  <c r="CX34" i="28"/>
  <c r="R32" i="11"/>
  <c r="DD103" i="28"/>
  <c r="DC103" i="28" s="1"/>
  <c r="AJ1" i="28"/>
  <c r="CH1" i="28"/>
  <c r="BC35" i="28" a="1"/>
  <c r="BC35" i="28" s="1"/>
  <c r="BD35" i="28" a="1"/>
  <c r="BD35" i="28" s="1"/>
  <c r="E33" i="32" s="1"/>
  <c r="AM3" i="28"/>
  <c r="CV35" i="28" a="1"/>
  <c r="CV35" i="28" s="1"/>
  <c r="CW35" i="28" a="1"/>
  <c r="CW35" i="28" s="1"/>
  <c r="CR35" i="28" a="1"/>
  <c r="CR35" i="28" s="1"/>
  <c r="CS35" i="28" a="1"/>
  <c r="CS35" i="28" s="1"/>
  <c r="CT35" i="28" a="1"/>
  <c r="CT35" i="28" s="1"/>
  <c r="CU35" i="28" a="1"/>
  <c r="CU35" i="28" s="1"/>
  <c r="BH35" i="28" a="1"/>
  <c r="BH35" i="28" s="1"/>
  <c r="BP35" i="28" a="1"/>
  <c r="BP35" i="28" s="1"/>
  <c r="BX35" i="28" a="1"/>
  <c r="BX35" i="28" s="1"/>
  <c r="CF35" i="28" a="1"/>
  <c r="CF35" i="28" s="1"/>
  <c r="CN35" i="28" a="1"/>
  <c r="CN35" i="28" s="1"/>
  <c r="BT35" i="28" a="1"/>
  <c r="BT35" i="28" s="1"/>
  <c r="CJ35" i="28" a="1"/>
  <c r="CJ35" i="28" s="1"/>
  <c r="BI35" i="28" a="1"/>
  <c r="BI35" i="28" s="1"/>
  <c r="BQ35" i="28" a="1"/>
  <c r="BQ35" i="28" s="1"/>
  <c r="BY35" i="28" a="1"/>
  <c r="BY35" i="28" s="1"/>
  <c r="CG35" i="28" a="1"/>
  <c r="CG35" i="28" s="1"/>
  <c r="CO35" i="28" a="1"/>
  <c r="CO35" i="28" s="1"/>
  <c r="BJ35" i="28" a="1"/>
  <c r="BJ35" i="28" s="1"/>
  <c r="BR35" i="28" a="1"/>
  <c r="BR35" i="28" s="1"/>
  <c r="BZ35" i="28" a="1"/>
  <c r="BZ35" i="28" s="1"/>
  <c r="CH35" i="28" a="1"/>
  <c r="CH35" i="28" s="1"/>
  <c r="CP35" i="28" a="1"/>
  <c r="CP35" i="28" s="1"/>
  <c r="BK35" i="28" a="1"/>
  <c r="BK35" i="28" s="1"/>
  <c r="BS35" i="28" a="1"/>
  <c r="BS35" i="28" s="1"/>
  <c r="CA35" i="28" a="1"/>
  <c r="CA35" i="28" s="1"/>
  <c r="CI35" i="28" a="1"/>
  <c r="CI35" i="28" s="1"/>
  <c r="CQ35" i="28" a="1"/>
  <c r="CQ35" i="28" s="1"/>
  <c r="BL35" i="28" a="1"/>
  <c r="BL35" i="28" s="1"/>
  <c r="CB35" i="28" a="1"/>
  <c r="CB35" i="28" s="1"/>
  <c r="BM35" i="28" a="1"/>
  <c r="BM35" i="28" s="1"/>
  <c r="BU35" i="28" a="1"/>
  <c r="BU35" i="28" s="1"/>
  <c r="CC35" i="28" a="1"/>
  <c r="CC35" i="28" s="1"/>
  <c r="CK35" i="28" a="1"/>
  <c r="CK35" i="28" s="1"/>
  <c r="BN35" i="28" a="1"/>
  <c r="BN35" i="28" s="1"/>
  <c r="BV35" i="28" a="1"/>
  <c r="BV35" i="28" s="1"/>
  <c r="CD35" i="28" a="1"/>
  <c r="CD35" i="28" s="1"/>
  <c r="CL35" i="28" a="1"/>
  <c r="CL35" i="28" s="1"/>
  <c r="BG35" i="28" a="1"/>
  <c r="BG35" i="28" s="1"/>
  <c r="BO35" i="28" a="1"/>
  <c r="BO35" i="28" s="1"/>
  <c r="BW35" i="28" a="1"/>
  <c r="BW35" i="28" s="1"/>
  <c r="CE35" i="28" a="1"/>
  <c r="CE35" i="28" s="1"/>
  <c r="CM35" i="28" a="1"/>
  <c r="CM35" i="28" s="1"/>
  <c r="K22" i="22"/>
  <c r="AM5" i="28" l="1" a="1"/>
  <c r="AM5" i="28" s="1"/>
  <c r="AM6" i="28" a="1"/>
  <c r="AM6" i="28" s="1"/>
  <c r="AM7" i="28" a="1"/>
  <c r="AM7" i="28" s="1"/>
  <c r="AM8" i="28" a="1"/>
  <c r="AM8" i="28" s="1"/>
  <c r="AM9" i="28" a="1"/>
  <c r="AM9" i="28" s="1"/>
  <c r="AM10" i="28" a="1"/>
  <c r="AM10" i="28" s="1"/>
  <c r="AM11" i="28" a="1"/>
  <c r="AM11" i="28" s="1"/>
  <c r="AM12" i="28" a="1"/>
  <c r="AM12" i="28" s="1"/>
  <c r="AM13" i="28" a="1"/>
  <c r="AM13" i="28" s="1"/>
  <c r="AM14" i="28" a="1"/>
  <c r="AM14" i="28" s="1"/>
  <c r="AM15" i="28" a="1"/>
  <c r="AM15" i="28" s="1"/>
  <c r="AM16" i="28" a="1"/>
  <c r="AM16" i="28" s="1"/>
  <c r="AM17" i="28" a="1"/>
  <c r="AM17" i="28" s="1"/>
  <c r="AM18" i="28" a="1"/>
  <c r="AM18" i="28" s="1"/>
  <c r="AM19" i="28" a="1"/>
  <c r="AM19" i="28" s="1"/>
  <c r="AM20" i="28" a="1"/>
  <c r="AM20" i="28" s="1"/>
  <c r="AM21" i="28" a="1"/>
  <c r="AM21" i="28" s="1"/>
  <c r="AM22" i="28" a="1"/>
  <c r="AM22" i="28" s="1"/>
  <c r="AM23" i="28" a="1"/>
  <c r="AM23" i="28" s="1"/>
  <c r="AM24" i="28" a="1"/>
  <c r="AM24" i="28" s="1"/>
  <c r="AM25" i="28" a="1"/>
  <c r="AM25" i="28" s="1"/>
  <c r="AM26" i="28" a="1"/>
  <c r="AM26" i="28" s="1"/>
  <c r="AM27" i="28" a="1"/>
  <c r="AM27" i="28" s="1"/>
  <c r="AM28" i="28" a="1"/>
  <c r="AM28" i="28" s="1"/>
  <c r="AM29" i="28" a="1"/>
  <c r="AM29" i="28" s="1"/>
  <c r="AM30" i="28" a="1"/>
  <c r="AM30" i="28" s="1"/>
  <c r="AM31" i="28" a="1"/>
  <c r="AM31" i="28" s="1"/>
  <c r="AM32" i="28" a="1"/>
  <c r="AM32" i="28" s="1"/>
  <c r="AM33" i="28" a="1"/>
  <c r="AM33" i="28" s="1"/>
  <c r="AM34" i="28" a="1"/>
  <c r="AM34" i="28" s="1"/>
  <c r="AM35" i="28" a="1"/>
  <c r="AM35" i="28" s="1"/>
  <c r="AP23" i="11"/>
  <c r="I17" i="32"/>
  <c r="S17" i="32" s="1"/>
  <c r="Z17" i="32" s="1"/>
  <c r="BF44" i="32" s="1"/>
  <c r="X32" i="32"/>
  <c r="AG32" i="32" s="1"/>
  <c r="U31" i="32"/>
  <c r="AB31" i="32" s="1"/>
  <c r="L22" i="22"/>
  <c r="AG18" i="11"/>
  <c r="O23" i="25" s="1"/>
  <c r="K32" i="32"/>
  <c r="AD33" i="11"/>
  <c r="AT33" i="32"/>
  <c r="BB33" i="32" s="1"/>
  <c r="Z34" i="11"/>
  <c r="DL20" i="28"/>
  <c r="DL132" i="28"/>
  <c r="DL104" i="28"/>
  <c r="DL189" i="28"/>
  <c r="DL160" i="28"/>
  <c r="DL48" i="28"/>
  <c r="DL76" i="28"/>
  <c r="F33" i="32"/>
  <c r="DI105" i="28"/>
  <c r="DI49" i="28"/>
  <c r="DI190" i="28"/>
  <c r="DI77" i="28"/>
  <c r="DI133" i="28"/>
  <c r="DI161" i="28"/>
  <c r="DI21" i="28"/>
  <c r="DB22" i="28"/>
  <c r="DC22" i="28" s="1"/>
  <c r="M36" i="28"/>
  <c r="DB162" i="28"/>
  <c r="DB106" i="28"/>
  <c r="DB78" i="28"/>
  <c r="DC78" i="28" s="1"/>
  <c r="I36" i="28"/>
  <c r="DB50" i="28"/>
  <c r="DC50" i="28" s="1"/>
  <c r="L36" i="28"/>
  <c r="DB134" i="28"/>
  <c r="N36" i="28"/>
  <c r="K36" i="28"/>
  <c r="J36" i="28"/>
  <c r="DE32" i="28"/>
  <c r="DE60" i="28" s="1"/>
  <c r="DH145" i="28" a="1"/>
  <c r="DH145" i="28" s="1"/>
  <c r="DM145" i="28" s="1"/>
  <c r="DM146" i="28" s="1"/>
  <c r="DM147" i="28" s="1"/>
  <c r="DM148" i="28" s="1"/>
  <c r="DM149" i="28" s="1"/>
  <c r="DM150" i="28" s="1"/>
  <c r="DM151" i="28" s="1"/>
  <c r="DM152" i="28" s="1"/>
  <c r="DM153" i="28" s="1"/>
  <c r="DM154" i="28" s="1"/>
  <c r="DM155" i="28" s="1"/>
  <c r="DM156" i="28" s="1"/>
  <c r="DM157" i="28" s="1"/>
  <c r="DM158" i="28" s="1"/>
  <c r="DM159" i="28" s="1"/>
  <c r="DM160" i="28" s="1"/>
  <c r="DH117" i="28" a="1"/>
  <c r="DH117" i="28" s="1"/>
  <c r="DM117" i="28" s="1"/>
  <c r="DM118" i="28" s="1"/>
  <c r="DM119" i="28" s="1"/>
  <c r="DM120" i="28" s="1"/>
  <c r="DM121" i="28" s="1"/>
  <c r="DM122" i="28" s="1"/>
  <c r="DM123" i="28" s="1"/>
  <c r="DM124" i="28" s="1"/>
  <c r="DM125" i="28" s="1"/>
  <c r="DM126" i="28" s="1"/>
  <c r="DM127" i="28" s="1"/>
  <c r="DM128" i="28" s="1"/>
  <c r="DM129" i="28" s="1"/>
  <c r="DM130" i="28" s="1"/>
  <c r="DM131" i="28" s="1"/>
  <c r="DM132" i="28" s="1"/>
  <c r="DH33" i="28" a="1"/>
  <c r="DH33" i="28" s="1"/>
  <c r="DM33" i="28" s="1"/>
  <c r="DM34" i="28" s="1"/>
  <c r="DM35" i="28" s="1"/>
  <c r="DM36" i="28" s="1"/>
  <c r="DM37" i="28" s="1"/>
  <c r="DM38" i="28" s="1"/>
  <c r="DM39" i="28" s="1"/>
  <c r="DM40" i="28" s="1"/>
  <c r="DM41" i="28" s="1"/>
  <c r="DM42" i="28" s="1"/>
  <c r="DM43" i="28" s="1"/>
  <c r="DM44" i="28" s="1"/>
  <c r="DM45" i="28" s="1"/>
  <c r="DM46" i="28" s="1"/>
  <c r="DM47" i="28" s="1"/>
  <c r="DM48" i="28" s="1"/>
  <c r="DH173" i="28" a="1"/>
  <c r="DH173" i="28" s="1"/>
  <c r="DM173" i="28" s="1"/>
  <c r="DM174" i="28" s="1"/>
  <c r="DM175" i="28" s="1"/>
  <c r="DM176" i="28" s="1"/>
  <c r="DM177" i="28" s="1"/>
  <c r="DM178" i="28" s="1"/>
  <c r="DM179" i="28" s="1"/>
  <c r="DM180" i="28" s="1"/>
  <c r="DM181" i="28" s="1"/>
  <c r="DM182" i="28" s="1"/>
  <c r="DM183" i="28" s="1"/>
  <c r="DM184" i="28" s="1"/>
  <c r="DM185" i="28" s="1"/>
  <c r="DM186" i="28" s="1"/>
  <c r="DM187" i="28" s="1"/>
  <c r="DM188" i="28" s="1"/>
  <c r="DM189" i="28" s="1"/>
  <c r="DH61" i="28" a="1"/>
  <c r="DH61" i="28" s="1"/>
  <c r="DM61" i="28" s="1"/>
  <c r="DM62" i="28" s="1"/>
  <c r="DM63" i="28" s="1"/>
  <c r="DM64" i="28" s="1"/>
  <c r="DM65" i="28" s="1"/>
  <c r="DM66" i="28" s="1"/>
  <c r="DM67" i="28" s="1"/>
  <c r="DM68" i="28" s="1"/>
  <c r="DM69" i="28" s="1"/>
  <c r="DM70" i="28" s="1"/>
  <c r="DM71" i="28" s="1"/>
  <c r="DM72" i="28" s="1"/>
  <c r="DM73" i="28" s="1"/>
  <c r="DM74" i="28" s="1"/>
  <c r="DM75" i="28" s="1"/>
  <c r="DM76" i="28" s="1"/>
  <c r="DH89" i="28" a="1"/>
  <c r="DH89" i="28" s="1"/>
  <c r="DM89" i="28" s="1"/>
  <c r="DM90" i="28" s="1"/>
  <c r="DM91" i="28" s="1"/>
  <c r="DM92" i="28" s="1"/>
  <c r="DM93" i="28" s="1"/>
  <c r="DM94" i="28" s="1"/>
  <c r="DM95" i="28" s="1"/>
  <c r="DM96" i="28" s="1"/>
  <c r="DM97" i="28" s="1"/>
  <c r="DM98" i="28" s="1"/>
  <c r="DM99" i="28" s="1"/>
  <c r="DM100" i="28" s="1"/>
  <c r="DM101" i="28" s="1"/>
  <c r="DM102" i="28" s="1"/>
  <c r="DM103" i="28" s="1"/>
  <c r="DM104" i="28" s="1"/>
  <c r="DH5" i="28" a="1"/>
  <c r="DH5" i="28" s="1"/>
  <c r="DM5" i="28" s="1"/>
  <c r="DM6" i="28" s="1"/>
  <c r="DM7" i="28" s="1"/>
  <c r="DM8" i="28" s="1"/>
  <c r="DM9" i="28" s="1"/>
  <c r="DM10" i="28" s="1"/>
  <c r="DM11" i="28" s="1"/>
  <c r="DM12" i="28" s="1"/>
  <c r="DM13" i="28" s="1"/>
  <c r="DM14" i="28" s="1"/>
  <c r="DM15" i="28" s="1"/>
  <c r="DM16" i="28" s="1"/>
  <c r="DM17" i="28" s="1"/>
  <c r="DM18" i="28" s="1"/>
  <c r="DM19" i="28" s="1"/>
  <c r="DM20" i="28" s="1"/>
  <c r="DF5" i="28" a="1"/>
  <c r="DF5" i="28" s="1"/>
  <c r="DG5" i="28" s="1"/>
  <c r="DE113" i="28"/>
  <c r="DE59" i="28"/>
  <c r="DF17" i="28" a="1"/>
  <c r="DF17" i="28" s="1"/>
  <c r="DG17" i="28" s="1"/>
  <c r="DE167" i="28"/>
  <c r="DE194" i="28"/>
  <c r="DE140" i="28"/>
  <c r="DE86" i="28"/>
  <c r="R33" i="11"/>
  <c r="CX35" i="28"/>
  <c r="DF38" i="28" a="1"/>
  <c r="DF38" i="28" s="1"/>
  <c r="DG38" i="28" s="1"/>
  <c r="DF48" i="28" a="1"/>
  <c r="DF48" i="28" s="1"/>
  <c r="DG48" i="28" s="1"/>
  <c r="DF23" i="28" a="1"/>
  <c r="DF23" i="28" s="1"/>
  <c r="DG23" i="28" s="1"/>
  <c r="DF6" i="28" a="1"/>
  <c r="DF6" i="28" s="1"/>
  <c r="DG6" i="28" s="1"/>
  <c r="DF190" i="28" a="1"/>
  <c r="DF190" i="28" s="1"/>
  <c r="DG190" i="28" s="1"/>
  <c r="DF151" i="28" a="1"/>
  <c r="DF151" i="28" s="1"/>
  <c r="DG151" i="28" s="1"/>
  <c r="DF129" i="28" a="1"/>
  <c r="DF129" i="28" s="1"/>
  <c r="DG129" i="28" s="1"/>
  <c r="DF105" i="28" a="1"/>
  <c r="DF105" i="28" s="1"/>
  <c r="DG105" i="28" s="1"/>
  <c r="DF15" i="28" a="1"/>
  <c r="DF15" i="28" s="1"/>
  <c r="DG15" i="28" s="1"/>
  <c r="DF45" i="28" a="1"/>
  <c r="DF45" i="28" s="1"/>
  <c r="DG45" i="28" s="1"/>
  <c r="DF51" i="28" a="1"/>
  <c r="DF51" i="28" s="1"/>
  <c r="DG51" i="28" s="1"/>
  <c r="DF145" i="28" a="1"/>
  <c r="DF145" i="28" s="1"/>
  <c r="DG145" i="28" s="1"/>
  <c r="DF126" i="28" a="1"/>
  <c r="DF126" i="28" s="1"/>
  <c r="DG126" i="28" s="1"/>
  <c r="DF50" i="28" a="1"/>
  <c r="DF50" i="28" s="1"/>
  <c r="DG50" i="28" s="1"/>
  <c r="DF130" i="28" a="1"/>
  <c r="DF130" i="28" s="1"/>
  <c r="DG130" i="28" s="1"/>
  <c r="DF93" i="28" a="1"/>
  <c r="DF93" i="28" s="1"/>
  <c r="DG93" i="28" s="1"/>
  <c r="DF43" i="28" a="1"/>
  <c r="DF43" i="28" s="1"/>
  <c r="DG43" i="28" s="1"/>
  <c r="DF178" i="28" a="1"/>
  <c r="DF178" i="28" s="1"/>
  <c r="DG178" i="28" s="1"/>
  <c r="DF182" i="28" a="1"/>
  <c r="DF182" i="28" s="1"/>
  <c r="DG182" i="28" s="1"/>
  <c r="DF176" i="28" a="1"/>
  <c r="DF176" i="28" s="1"/>
  <c r="DG176" i="28" s="1"/>
  <c r="DF161" i="28" a="1"/>
  <c r="DF161" i="28" s="1"/>
  <c r="DG161" i="28" s="1"/>
  <c r="DF49" i="28" a="1"/>
  <c r="DF49" i="28" s="1"/>
  <c r="DG49" i="28" s="1"/>
  <c r="DF103" i="28" a="1"/>
  <c r="DF103" i="28" s="1"/>
  <c r="DG103" i="28" s="1"/>
  <c r="DF66" i="28" a="1"/>
  <c r="DF66" i="28" s="1"/>
  <c r="DG66" i="28" s="1"/>
  <c r="DF184" i="28" a="1"/>
  <c r="DF184" i="28" s="1"/>
  <c r="DG184" i="28" s="1"/>
  <c r="DF11" i="28" a="1"/>
  <c r="DF11" i="28" s="1"/>
  <c r="DG11" i="28" s="1"/>
  <c r="DF39" i="28" a="1"/>
  <c r="DF39" i="28" s="1"/>
  <c r="DG39" i="28" s="1"/>
  <c r="DF14" i="28" a="1"/>
  <c r="DF14" i="28" s="1"/>
  <c r="DG14" i="28" s="1"/>
  <c r="DF183" i="28" a="1"/>
  <c r="DF183" i="28" s="1"/>
  <c r="DG183" i="28" s="1"/>
  <c r="DF68" i="28" a="1"/>
  <c r="DF68" i="28" s="1"/>
  <c r="DG68" i="28" s="1"/>
  <c r="DF95" i="28" a="1"/>
  <c r="DF95" i="28" s="1"/>
  <c r="DG95" i="28" s="1"/>
  <c r="DF119" i="28" a="1"/>
  <c r="DF119" i="28" s="1"/>
  <c r="DG119" i="28" s="1"/>
  <c r="DF21" i="28" a="1"/>
  <c r="DF21" i="28" s="1"/>
  <c r="DG21" i="28" s="1"/>
  <c r="DF37" i="28" a="1"/>
  <c r="DF37" i="28" s="1"/>
  <c r="DG37" i="28" s="1"/>
  <c r="DF13" i="28" a="1"/>
  <c r="DF13" i="28" s="1"/>
  <c r="DG13" i="28" s="1"/>
  <c r="DF8" i="28" a="1"/>
  <c r="DF8" i="28" s="1"/>
  <c r="DG8" i="28" s="1"/>
  <c r="DF98" i="28" a="1"/>
  <c r="DF98" i="28" s="1"/>
  <c r="DG98" i="28" s="1"/>
  <c r="DF75" i="28" a="1"/>
  <c r="DF75" i="28" s="1"/>
  <c r="DG75" i="28" s="1"/>
  <c r="DF63" i="28" a="1"/>
  <c r="DF63" i="28" s="1"/>
  <c r="DG63" i="28" s="1"/>
  <c r="DF148" i="28" a="1"/>
  <c r="DF148" i="28" s="1"/>
  <c r="DG148" i="28" s="1"/>
  <c r="DF101" i="28" a="1"/>
  <c r="DF101" i="28" s="1"/>
  <c r="DG101" i="28" s="1"/>
  <c r="DF121" i="28" a="1"/>
  <c r="DF121" i="28" s="1"/>
  <c r="DG121" i="28" s="1"/>
  <c r="DF127" i="28" a="1"/>
  <c r="DF127" i="28" s="1"/>
  <c r="DG127" i="28" s="1"/>
  <c r="DF174" i="28" a="1"/>
  <c r="DF174" i="28" s="1"/>
  <c r="DG174" i="28" s="1"/>
  <c r="DF155" i="28" a="1"/>
  <c r="DF155" i="28" s="1"/>
  <c r="DG155" i="28" s="1"/>
  <c r="DF99" i="28" a="1"/>
  <c r="DF99" i="28" s="1"/>
  <c r="DG99" i="28" s="1"/>
  <c r="DF118" i="28" a="1"/>
  <c r="DF118" i="28" s="1"/>
  <c r="DG118" i="28" s="1"/>
  <c r="DF9" i="28" a="1"/>
  <c r="DF9" i="28" s="1"/>
  <c r="DG9" i="28" s="1"/>
  <c r="DF7" i="28" a="1"/>
  <c r="DF7" i="28" s="1"/>
  <c r="DG7" i="28" s="1"/>
  <c r="DF186" i="28" a="1"/>
  <c r="DF186" i="28" s="1"/>
  <c r="DG186" i="28" s="1"/>
  <c r="DF33" i="28" a="1"/>
  <c r="DF33" i="28" s="1"/>
  <c r="DG33" i="28" s="1"/>
  <c r="DF70" i="28" a="1"/>
  <c r="DF70" i="28" s="1"/>
  <c r="DG70" i="28" s="1"/>
  <c r="DF102" i="28" a="1"/>
  <c r="DF102" i="28" s="1"/>
  <c r="DG102" i="28" s="1"/>
  <c r="DF122" i="28" a="1"/>
  <c r="DF122" i="28" s="1"/>
  <c r="DG122" i="28" s="1"/>
  <c r="DF173" i="28" a="1"/>
  <c r="DF173" i="28" s="1"/>
  <c r="DG173" i="28" s="1"/>
  <c r="DF132" i="28" a="1"/>
  <c r="DF132" i="28" s="1"/>
  <c r="DG132" i="28" s="1"/>
  <c r="DF189" i="28" a="1"/>
  <c r="DF189" i="28" s="1"/>
  <c r="DG189" i="28" s="1"/>
  <c r="DF150" i="28" a="1"/>
  <c r="DF150" i="28" s="1"/>
  <c r="DG150" i="28" s="1"/>
  <c r="DF61" i="28" a="1"/>
  <c r="DF61" i="28" s="1"/>
  <c r="DG61" i="28" s="1"/>
  <c r="DF89" i="28" a="1"/>
  <c r="DF89" i="28" s="1"/>
  <c r="DG89" i="28" s="1"/>
  <c r="DF181" i="28" a="1"/>
  <c r="DF181" i="28" s="1"/>
  <c r="DG181" i="28" s="1"/>
  <c r="DF67" i="28" a="1"/>
  <c r="DF67" i="28" s="1"/>
  <c r="DG67" i="28" s="1"/>
  <c r="DF120" i="28" a="1"/>
  <c r="DF120" i="28" s="1"/>
  <c r="DG120" i="28" s="1"/>
  <c r="DF62" i="28" a="1"/>
  <c r="DF62" i="28" s="1"/>
  <c r="DG62" i="28" s="1"/>
  <c r="DF47" i="28" a="1"/>
  <c r="DF47" i="28" s="1"/>
  <c r="DG47" i="28" s="1"/>
  <c r="DF159" i="28" a="1"/>
  <c r="DF159" i="28" s="1"/>
  <c r="DG159" i="28" s="1"/>
  <c r="DF22" i="28" a="1"/>
  <c r="DF22" i="28" s="1"/>
  <c r="DG22" i="28" s="1"/>
  <c r="DF16" i="28" a="1"/>
  <c r="DF16" i="28" s="1"/>
  <c r="DG16" i="28" s="1"/>
  <c r="DF65" i="28" a="1"/>
  <c r="DF65" i="28" s="1"/>
  <c r="DG65" i="28" s="1"/>
  <c r="DF160" i="28" a="1"/>
  <c r="DF160" i="28" s="1"/>
  <c r="DG160" i="28" s="1"/>
  <c r="DF158" i="28" a="1"/>
  <c r="DF158" i="28" s="1"/>
  <c r="DG158" i="28" s="1"/>
  <c r="DF180" i="28" a="1"/>
  <c r="DF180" i="28" s="1"/>
  <c r="DG180" i="28" s="1"/>
  <c r="DF152" i="28" a="1"/>
  <c r="DF152" i="28" s="1"/>
  <c r="DG152" i="28" s="1"/>
  <c r="DF134" i="28" a="1"/>
  <c r="DF134" i="28" s="1"/>
  <c r="DG134" i="28" s="1"/>
  <c r="DF10" i="28" a="1"/>
  <c r="DF10" i="28" s="1"/>
  <c r="DG10" i="28" s="1"/>
  <c r="DF74" i="28" a="1"/>
  <c r="DF74" i="28" s="1"/>
  <c r="DG74" i="28" s="1"/>
  <c r="DF179" i="28" a="1"/>
  <c r="DF179" i="28" s="1"/>
  <c r="DG179" i="28" s="1"/>
  <c r="DF69" i="28" a="1"/>
  <c r="DF69" i="28" s="1"/>
  <c r="DG69" i="28" s="1"/>
  <c r="DF100" i="28" a="1"/>
  <c r="DF100" i="28" s="1"/>
  <c r="DG100" i="28" s="1"/>
  <c r="DF71" i="28" a="1"/>
  <c r="DF71" i="28" s="1"/>
  <c r="DG71" i="28" s="1"/>
  <c r="DF124" i="28" a="1"/>
  <c r="DF124" i="28" s="1"/>
  <c r="DG124" i="28" s="1"/>
  <c r="DF125" i="28" a="1"/>
  <c r="DF125" i="28" s="1"/>
  <c r="DG125" i="28" s="1"/>
  <c r="DF36" i="28" a="1"/>
  <c r="DF36" i="28" s="1"/>
  <c r="DG36" i="28" s="1"/>
  <c r="DF18" i="28" a="1"/>
  <c r="DF18" i="28" s="1"/>
  <c r="DG18" i="28" s="1"/>
  <c r="DF78" i="28" a="1"/>
  <c r="DF78" i="28" s="1"/>
  <c r="DG78" i="28" s="1"/>
  <c r="DF92" i="28" a="1"/>
  <c r="DF92" i="28" s="1"/>
  <c r="DG92" i="28" s="1"/>
  <c r="DF128" i="28" a="1"/>
  <c r="DF128" i="28" s="1"/>
  <c r="DG128" i="28" s="1"/>
  <c r="DF77" i="28" a="1"/>
  <c r="DF77" i="28" s="1"/>
  <c r="DG77" i="28" s="1"/>
  <c r="DF20" i="28" a="1"/>
  <c r="DF20" i="28" s="1"/>
  <c r="DG20" i="28" s="1"/>
  <c r="DF157" i="28" a="1"/>
  <c r="DF157" i="28" s="1"/>
  <c r="DG157" i="28" s="1"/>
  <c r="DF104" i="28" a="1"/>
  <c r="DF104" i="28" s="1"/>
  <c r="DG104" i="28" s="1"/>
  <c r="DF42" i="28" a="1"/>
  <c r="DF42" i="28" s="1"/>
  <c r="DG42" i="28" s="1"/>
  <c r="DF73" i="28" a="1"/>
  <c r="DF73" i="28" s="1"/>
  <c r="DG73" i="28" s="1"/>
  <c r="DF44" i="28" a="1"/>
  <c r="DF44" i="28" s="1"/>
  <c r="DG44" i="28" s="1"/>
  <c r="DF91" i="28" a="1"/>
  <c r="DF91" i="28" s="1"/>
  <c r="DG91" i="28" s="1"/>
  <c r="DF19" i="28" a="1"/>
  <c r="DF19" i="28" s="1"/>
  <c r="DG19" i="28" s="1"/>
  <c r="DF90" i="28" a="1"/>
  <c r="DF90" i="28" s="1"/>
  <c r="DG90" i="28" s="1"/>
  <c r="DF147" i="28" a="1"/>
  <c r="DF147" i="28" s="1"/>
  <c r="DG147" i="28" s="1"/>
  <c r="DF76" i="28" a="1"/>
  <c r="DF76" i="28" s="1"/>
  <c r="DG76" i="28" s="1"/>
  <c r="DF106" i="28" a="1"/>
  <c r="DF106" i="28" s="1"/>
  <c r="DG106" i="28" s="1"/>
  <c r="DF34" i="28" a="1"/>
  <c r="DF34" i="28" s="1"/>
  <c r="DG34" i="28" s="1"/>
  <c r="DF133" i="28" a="1"/>
  <c r="DF133" i="28" s="1"/>
  <c r="DG133" i="28" s="1"/>
  <c r="DF185" i="28" a="1"/>
  <c r="DF185" i="28" s="1"/>
  <c r="DG185" i="28" s="1"/>
  <c r="DF177" i="28" a="1"/>
  <c r="DF177" i="28" s="1"/>
  <c r="DG177" i="28" s="1"/>
  <c r="DF123" i="28" a="1"/>
  <c r="DF123" i="28" s="1"/>
  <c r="DG123" i="28" s="1"/>
  <c r="DF117" i="28" a="1"/>
  <c r="DF117" i="28" s="1"/>
  <c r="DG117" i="28" s="1"/>
  <c r="DF12" i="28" a="1"/>
  <c r="DF12" i="28" s="1"/>
  <c r="DG12" i="28" s="1"/>
  <c r="DF154" i="28" a="1"/>
  <c r="DF154" i="28" s="1"/>
  <c r="DG154" i="28" s="1"/>
  <c r="DF153" i="28" a="1"/>
  <c r="DF153" i="28" s="1"/>
  <c r="DG153" i="28" s="1"/>
  <c r="DF41" i="28" a="1"/>
  <c r="DF41" i="28" s="1"/>
  <c r="DG41" i="28" s="1"/>
  <c r="DF46" i="28" a="1"/>
  <c r="DF46" i="28" s="1"/>
  <c r="DG46" i="28" s="1"/>
  <c r="DF146" i="28" a="1"/>
  <c r="DF146" i="28" s="1"/>
  <c r="DG146" i="28" s="1"/>
  <c r="DF175" i="28" a="1"/>
  <c r="DF175" i="28" s="1"/>
  <c r="DG175" i="28" s="1"/>
  <c r="DF131" i="28" a="1"/>
  <c r="DF131" i="28" s="1"/>
  <c r="DG131" i="28" s="1"/>
  <c r="DF72" i="28" a="1"/>
  <c r="DF72" i="28" s="1"/>
  <c r="DG72" i="28" s="1"/>
  <c r="DF156" i="28" a="1"/>
  <c r="DF156" i="28" s="1"/>
  <c r="DG156" i="28" s="1"/>
  <c r="DF162" i="28" a="1"/>
  <c r="DF162" i="28" s="1"/>
  <c r="DG162" i="28" s="1"/>
  <c r="DF35" i="28" a="1"/>
  <c r="DF35" i="28" s="1"/>
  <c r="DG35" i="28" s="1"/>
  <c r="DF149" i="28" a="1"/>
  <c r="DF149" i="28" s="1"/>
  <c r="DG149" i="28" s="1"/>
  <c r="DF24" i="28" a="1"/>
  <c r="DF24" i="28" s="1"/>
  <c r="DG24" i="28" s="1"/>
  <c r="DF188" i="28" a="1"/>
  <c r="DF188" i="28" s="1"/>
  <c r="DG188" i="28" s="1"/>
  <c r="DF96" i="28" a="1"/>
  <c r="DF96" i="28" s="1"/>
  <c r="DG96" i="28" s="1"/>
  <c r="DF40" i="28" a="1"/>
  <c r="DF40" i="28" s="1"/>
  <c r="DG40" i="28" s="1"/>
  <c r="DF64" i="28" a="1"/>
  <c r="DF64" i="28" s="1"/>
  <c r="DG64" i="28" s="1"/>
  <c r="DF97" i="28" a="1"/>
  <c r="DF97" i="28" s="1"/>
  <c r="DG97" i="28" s="1"/>
  <c r="DF187" i="28" a="1"/>
  <c r="DF187" i="28" s="1"/>
  <c r="DG187" i="28" s="1"/>
  <c r="DF94" i="28" a="1"/>
  <c r="DF94" i="28" s="1"/>
  <c r="DG94" i="28" s="1"/>
  <c r="DF25" i="28" a="1"/>
  <c r="DF25" i="28" s="1"/>
  <c r="DG25" i="28" s="1"/>
  <c r="DF52" i="28" a="1"/>
  <c r="DF52" i="28" s="1"/>
  <c r="DG52" i="28" s="1"/>
  <c r="DF79" i="28" a="1"/>
  <c r="DF79" i="28" s="1"/>
  <c r="DG79" i="28" s="1"/>
  <c r="DF81" i="28" a="1"/>
  <c r="DF81" i="28" s="1"/>
  <c r="DG81" i="28" s="1"/>
  <c r="DF53" i="28" a="1"/>
  <c r="DF53" i="28" s="1"/>
  <c r="DG53" i="28" s="1"/>
  <c r="DF80" i="28" a="1"/>
  <c r="DF80" i="28" s="1"/>
  <c r="DG80" i="28" s="1"/>
  <c r="DF26" i="28" a="1"/>
  <c r="DF26" i="28" s="1"/>
  <c r="DG26" i="28" s="1"/>
  <c r="DF107" i="28" a="1"/>
  <c r="DF107" i="28" s="1"/>
  <c r="DG107" i="28" s="1"/>
  <c r="DF82" i="28" a="1"/>
  <c r="DF82" i="28" s="1"/>
  <c r="DG82" i="28" s="1"/>
  <c r="DF54" i="28" a="1"/>
  <c r="DF54" i="28" s="1"/>
  <c r="DG54" i="28" s="1"/>
  <c r="DF135" i="28" a="1"/>
  <c r="DF135" i="28" s="1"/>
  <c r="DG135" i="28" s="1"/>
  <c r="DF27" i="28" a="1"/>
  <c r="DF27" i="28" s="1"/>
  <c r="DG27" i="28" s="1"/>
  <c r="DF108" i="28" a="1"/>
  <c r="DF108" i="28" s="1"/>
  <c r="DG108" i="28" s="1"/>
  <c r="DF136" i="28" a="1"/>
  <c r="DF136" i="28" s="1"/>
  <c r="DG136" i="28" s="1"/>
  <c r="DF163" i="28" a="1"/>
  <c r="DF163" i="28" s="1"/>
  <c r="DG163" i="28" s="1"/>
  <c r="DF56" i="28" a="1"/>
  <c r="DF56" i="28" s="1"/>
  <c r="DG56" i="28" s="1"/>
  <c r="DF109" i="28" a="1"/>
  <c r="DF109" i="28" s="1"/>
  <c r="DG109" i="28" s="1"/>
  <c r="DF55" i="28" a="1"/>
  <c r="DF55" i="28" s="1"/>
  <c r="DG55" i="28" s="1"/>
  <c r="DF28" i="28" a="1"/>
  <c r="DF28" i="28" s="1"/>
  <c r="DG28" i="28" s="1"/>
  <c r="DF138" i="28" a="1"/>
  <c r="DF138" i="28" s="1"/>
  <c r="DG138" i="28" s="1"/>
  <c r="DF137" i="28" a="1"/>
  <c r="DF137" i="28" s="1"/>
  <c r="DG137" i="28" s="1"/>
  <c r="DF83" i="28" a="1"/>
  <c r="DF83" i="28" s="1"/>
  <c r="DG83" i="28" s="1"/>
  <c r="DF191" i="28" a="1"/>
  <c r="DF191" i="28" s="1"/>
  <c r="DG191" i="28" s="1"/>
  <c r="DF110" i="28" a="1"/>
  <c r="DF110" i="28" s="1"/>
  <c r="DG110" i="28" s="1"/>
  <c r="DF29" i="28" a="1"/>
  <c r="DF29" i="28" s="1"/>
  <c r="DF164" i="28" a="1"/>
  <c r="DF164" i="28" s="1"/>
  <c r="DG164" i="28" s="1"/>
  <c r="DF58" i="28" a="1"/>
  <c r="DF58" i="28" s="1"/>
  <c r="DG58" i="28" s="1"/>
  <c r="DF84" i="28" a="1"/>
  <c r="DF84" i="28" s="1"/>
  <c r="DG84" i="28" s="1"/>
  <c r="DF30" i="28" a="1"/>
  <c r="DF30" i="28" s="1"/>
  <c r="DG30" i="28" s="1"/>
  <c r="DF111" i="28" a="1"/>
  <c r="DF111" i="28" s="1"/>
  <c r="DG111" i="28" s="1"/>
  <c r="DF192" i="28" a="1"/>
  <c r="DF192" i="28" s="1"/>
  <c r="DG192" i="28" s="1"/>
  <c r="DF165" i="28" a="1"/>
  <c r="DF165" i="28" s="1"/>
  <c r="DG165" i="28" s="1"/>
  <c r="DF57" i="28" a="1"/>
  <c r="DF57" i="28" s="1"/>
  <c r="DG57" i="28" s="1"/>
  <c r="DF139" i="28" a="1"/>
  <c r="DF139" i="28" s="1"/>
  <c r="DG139" i="28" s="1"/>
  <c r="DF140" i="28" a="1"/>
  <c r="DF140" i="28" s="1"/>
  <c r="DF31" i="28" a="1"/>
  <c r="DF31" i="28" s="1"/>
  <c r="DG31" i="28" s="1"/>
  <c r="DF193" i="28" a="1"/>
  <c r="DF193" i="28" s="1"/>
  <c r="DG193" i="28" s="1"/>
  <c r="DF85" i="28" a="1"/>
  <c r="DF85" i="28" s="1"/>
  <c r="DG85" i="28" s="1"/>
  <c r="DF112" i="28" a="1"/>
  <c r="DF112" i="28" s="1"/>
  <c r="DG112" i="28" s="1"/>
  <c r="DF166" i="28" a="1"/>
  <c r="DF166" i="28" s="1"/>
  <c r="DG166" i="28" s="1"/>
  <c r="DF168" i="28" a="1"/>
  <c r="DF168" i="28" s="1"/>
  <c r="DF194" i="28" a="1"/>
  <c r="DF194" i="28" s="1"/>
  <c r="DF113" i="28" a="1"/>
  <c r="DF113" i="28" s="1"/>
  <c r="DF167" i="28" a="1"/>
  <c r="DF167" i="28" s="1"/>
  <c r="DF59" i="28" a="1"/>
  <c r="DF59" i="28" s="1"/>
  <c r="DF86" i="28" a="1"/>
  <c r="DF86" i="28" s="1"/>
  <c r="DF32" i="28" a="1"/>
  <c r="DF32" i="28" s="1"/>
  <c r="DF169" i="28" a="1"/>
  <c r="DF169" i="28" s="1"/>
  <c r="DF195" i="28" a="1"/>
  <c r="DF195" i="28" s="1"/>
  <c r="DF87" i="28" a="1"/>
  <c r="DF87" i="28" s="1"/>
  <c r="DF60" i="28" a="1"/>
  <c r="DF60" i="28" s="1"/>
  <c r="DF141" i="28" a="1"/>
  <c r="DF141" i="28" s="1"/>
  <c r="DF114" i="28" a="1"/>
  <c r="DF114" i="28" s="1"/>
  <c r="DF88" i="28" a="1"/>
  <c r="DF88" i="28" s="1"/>
  <c r="DF142" i="28" a="1"/>
  <c r="DF142" i="28" s="1"/>
  <c r="DF196" i="28" a="1"/>
  <c r="DF196" i="28" s="1"/>
  <c r="DF115" i="28" a="1"/>
  <c r="DF115" i="28" s="1"/>
  <c r="DF198" i="28" a="1"/>
  <c r="DF198" i="28" s="1"/>
  <c r="DF143" i="28" a="1"/>
  <c r="DF143" i="28" s="1"/>
  <c r="DF116" i="28" a="1"/>
  <c r="DF116" i="28" s="1"/>
  <c r="DF197" i="28" a="1"/>
  <c r="DF197" i="28" s="1"/>
  <c r="DF170" i="28" a="1"/>
  <c r="DF170" i="28" s="1"/>
  <c r="DF171" i="28" a="1"/>
  <c r="DF171" i="28" s="1"/>
  <c r="DF144" i="28" a="1"/>
  <c r="DF144" i="28" s="1"/>
  <c r="DF200" i="28" a="1"/>
  <c r="DF200" i="28" s="1"/>
  <c r="DF199" i="28" a="1"/>
  <c r="DF199" i="28" s="1"/>
  <c r="DF172" i="28" a="1"/>
  <c r="DF172" i="28" s="1"/>
  <c r="BL37" i="28"/>
  <c r="BL38" i="28"/>
  <c r="BK37" i="28"/>
  <c r="BK38" i="28"/>
  <c r="BM37" i="28"/>
  <c r="BM38" i="28"/>
  <c r="DD104" i="28"/>
  <c r="DC104" i="28" s="1"/>
  <c r="AK1" i="28"/>
  <c r="CI1" i="28"/>
  <c r="AN3" i="28"/>
  <c r="K23" i="22"/>
  <c r="AN5" i="28" l="1" a="1"/>
  <c r="AN5" i="28" s="1"/>
  <c r="AN6" i="28" a="1"/>
  <c r="AN6" i="28" s="1"/>
  <c r="AN7" i="28" a="1"/>
  <c r="AN7" i="28" s="1"/>
  <c r="AN8" i="28" a="1"/>
  <c r="AN8" i="28" s="1"/>
  <c r="AN9" i="28" a="1"/>
  <c r="AN9" i="28" s="1"/>
  <c r="AN10" i="28" a="1"/>
  <c r="AN10" i="28" s="1"/>
  <c r="AN11" i="28" a="1"/>
  <c r="AN11" i="28" s="1"/>
  <c r="AN12" i="28" a="1"/>
  <c r="AN12" i="28" s="1"/>
  <c r="AN13" i="28" a="1"/>
  <c r="AN13" i="28" s="1"/>
  <c r="AN14" i="28" a="1"/>
  <c r="AN14" i="28" s="1"/>
  <c r="AN15" i="28" a="1"/>
  <c r="AN15" i="28" s="1"/>
  <c r="AN16" i="28" a="1"/>
  <c r="AN16" i="28" s="1"/>
  <c r="AN17" i="28" a="1"/>
  <c r="AN17" i="28" s="1"/>
  <c r="AN18" i="28" a="1"/>
  <c r="AN18" i="28" s="1"/>
  <c r="AN19" i="28" a="1"/>
  <c r="AN19" i="28" s="1"/>
  <c r="AN20" i="28" a="1"/>
  <c r="AN20" i="28" s="1"/>
  <c r="AN21" i="28" a="1"/>
  <c r="AN21" i="28" s="1"/>
  <c r="AN22" i="28" a="1"/>
  <c r="AN22" i="28" s="1"/>
  <c r="AN23" i="28" a="1"/>
  <c r="AN23" i="28" s="1"/>
  <c r="AN24" i="28" a="1"/>
  <c r="AN24" i="28" s="1"/>
  <c r="AN25" i="28" a="1"/>
  <c r="AN25" i="28" s="1"/>
  <c r="AN26" i="28" a="1"/>
  <c r="AN26" i="28" s="1"/>
  <c r="AN27" i="28" a="1"/>
  <c r="AN27" i="28" s="1"/>
  <c r="AN28" i="28" a="1"/>
  <c r="AN28" i="28" s="1"/>
  <c r="AN29" i="28" a="1"/>
  <c r="AN29" i="28" s="1"/>
  <c r="AN30" i="28" a="1"/>
  <c r="AN30" i="28" s="1"/>
  <c r="AN31" i="28" a="1"/>
  <c r="AN31" i="28" s="1"/>
  <c r="AN32" i="28" a="1"/>
  <c r="AN32" i="28" s="1"/>
  <c r="AN33" i="28" a="1"/>
  <c r="AN33" i="28" s="1"/>
  <c r="AN34" i="28" a="1"/>
  <c r="AN34" i="28" s="1"/>
  <c r="AN35" i="28" a="1"/>
  <c r="AN35" i="28" s="1"/>
  <c r="AP24" i="11"/>
  <c r="I18" i="32"/>
  <c r="S18" i="32" s="1"/>
  <c r="Z18" i="32" s="1"/>
  <c r="BF45" i="32" s="1"/>
  <c r="X33" i="32"/>
  <c r="AG33" i="32" s="1"/>
  <c r="U32" i="32"/>
  <c r="AB32" i="32" s="1"/>
  <c r="L23" i="22"/>
  <c r="AG19" i="11"/>
  <c r="P23" i="25" s="1"/>
  <c r="K33" i="32"/>
  <c r="DG32" i="28"/>
  <c r="DJ32" i="28" s="1"/>
  <c r="Z35" i="11"/>
  <c r="DM21" i="28"/>
  <c r="DM49" i="28"/>
  <c r="DM105" i="28"/>
  <c r="DM161" i="28"/>
  <c r="DM133" i="28"/>
  <c r="DM77" i="28"/>
  <c r="DM190" i="28"/>
  <c r="DL21" i="28"/>
  <c r="DL105" i="28"/>
  <c r="DL161" i="28"/>
  <c r="DL133" i="28"/>
  <c r="DL77" i="28"/>
  <c r="DL190" i="28"/>
  <c r="DL49" i="28"/>
  <c r="DI134" i="28"/>
  <c r="DI162" i="28"/>
  <c r="DI50" i="28"/>
  <c r="DI78" i="28"/>
  <c r="DI106" i="28"/>
  <c r="DI22" i="28"/>
  <c r="N37" i="28"/>
  <c r="DB191" i="28"/>
  <c r="DC191" i="28" s="1"/>
  <c r="M37" i="28"/>
  <c r="DB163" i="28"/>
  <c r="L37" i="28"/>
  <c r="DB135" i="28"/>
  <c r="I37" i="28"/>
  <c r="DB51" i="28"/>
  <c r="DC51" i="28" s="1"/>
  <c r="J37" i="28"/>
  <c r="DB79" i="28"/>
  <c r="DC79" i="28" s="1"/>
  <c r="K37" i="28"/>
  <c r="DB107" i="28"/>
  <c r="DB23" i="28"/>
  <c r="DC23" i="28" s="1"/>
  <c r="DH32" i="28" a="1"/>
  <c r="DH32" i="28" s="1"/>
  <c r="DJ31" i="28"/>
  <c r="DH85" i="28" a="1"/>
  <c r="DH85" i="28" s="1"/>
  <c r="DJ84" i="28"/>
  <c r="DH139" i="28" a="1"/>
  <c r="DH139" i="28" s="1"/>
  <c r="DJ138" i="28"/>
  <c r="DH28" i="28" a="1"/>
  <c r="DH28" i="28" s="1"/>
  <c r="DJ27" i="28"/>
  <c r="DH82" i="28" a="1"/>
  <c r="DH82" i="28" s="1"/>
  <c r="DJ81" i="28"/>
  <c r="DH41" i="28" a="1"/>
  <c r="DH41" i="28" s="1"/>
  <c r="DJ40" i="28"/>
  <c r="DH73" i="28" a="1"/>
  <c r="DH73" i="28" s="1"/>
  <c r="DJ72" i="28"/>
  <c r="DH13" i="28" a="1"/>
  <c r="DH13" i="28" s="1"/>
  <c r="DJ12" i="28"/>
  <c r="DH77" i="28" a="1"/>
  <c r="DH77" i="28" s="1"/>
  <c r="DJ76" i="28"/>
  <c r="DH105" i="28" a="1"/>
  <c r="DH105" i="28" s="1"/>
  <c r="DJ104" i="28"/>
  <c r="DH37" i="28" a="1"/>
  <c r="DH37" i="28" s="1"/>
  <c r="DJ36" i="28"/>
  <c r="DH75" i="28" a="1"/>
  <c r="DH75" i="28" s="1"/>
  <c r="DJ74" i="28"/>
  <c r="DH17" i="28" a="1"/>
  <c r="DH17" i="28" s="1"/>
  <c r="DJ16" i="28"/>
  <c r="DH90" i="28" a="1"/>
  <c r="DH90" i="28" s="1"/>
  <c r="DJ89" i="28"/>
  <c r="DH71" i="28" a="1"/>
  <c r="DH71" i="28" s="1"/>
  <c r="DJ70" i="28"/>
  <c r="DH175" i="28" a="1"/>
  <c r="DH175" i="28" s="1"/>
  <c r="DJ174" i="28"/>
  <c r="DH9" i="28" a="1"/>
  <c r="DH9" i="28" s="1"/>
  <c r="DJ8" i="28"/>
  <c r="DH15" i="28" a="1"/>
  <c r="DH15" i="28" s="1"/>
  <c r="DJ14" i="28"/>
  <c r="DH177" i="28" a="1"/>
  <c r="DH177" i="28" s="1"/>
  <c r="DJ176" i="28"/>
  <c r="DH146" i="28" a="1"/>
  <c r="DH146" i="28" s="1"/>
  <c r="DJ145" i="28"/>
  <c r="DH7" i="28" a="1"/>
  <c r="DH7" i="28" s="1"/>
  <c r="DJ6" i="28"/>
  <c r="DK5" i="28"/>
  <c r="DN5" i="28" s="1"/>
  <c r="DN6" i="28" s="1"/>
  <c r="DN7" i="28" s="1"/>
  <c r="DN8" i="28" s="1"/>
  <c r="DN9" i="28" s="1"/>
  <c r="DN10" i="28" s="1"/>
  <c r="DN11" i="28" s="1"/>
  <c r="DN12" i="28" s="1"/>
  <c r="DN13" i="28" s="1"/>
  <c r="DN14" i="28" s="1"/>
  <c r="DN15" i="28" s="1"/>
  <c r="DN16" i="28" s="1"/>
  <c r="DN17" i="28" s="1"/>
  <c r="DN18" i="28" s="1"/>
  <c r="DN19" i="28" s="1"/>
  <c r="DN20" i="28" s="1"/>
  <c r="DH59" i="28" a="1"/>
  <c r="DH59" i="28" s="1"/>
  <c r="DJ58" i="28"/>
  <c r="DH29" i="28" a="1"/>
  <c r="DH29" i="28" s="1"/>
  <c r="DJ28" i="28"/>
  <c r="DH136" i="28" a="1"/>
  <c r="DH136" i="28" s="1"/>
  <c r="DJ135" i="28"/>
  <c r="DH80" i="28" a="1"/>
  <c r="DH80" i="28" s="1"/>
  <c r="DJ79" i="28"/>
  <c r="DH97" i="28" a="1"/>
  <c r="DH97" i="28" s="1"/>
  <c r="DJ96" i="28"/>
  <c r="DH132" i="28" a="1"/>
  <c r="DH132" i="28" s="1"/>
  <c r="DJ131" i="28"/>
  <c r="DH118" i="28" a="1"/>
  <c r="DH118" i="28" s="1"/>
  <c r="DJ117" i="28"/>
  <c r="DH148" i="28" a="1"/>
  <c r="DH148" i="28" s="1"/>
  <c r="DJ147" i="28"/>
  <c r="DH158" i="28" a="1"/>
  <c r="DH158" i="28" s="1"/>
  <c r="DJ157" i="28"/>
  <c r="DH126" i="28" a="1"/>
  <c r="DH126" i="28" s="1"/>
  <c r="DJ125" i="28"/>
  <c r="DH11" i="28" a="1"/>
  <c r="DH11" i="28" s="1"/>
  <c r="DJ10" i="28"/>
  <c r="DH23" i="28" a="1"/>
  <c r="DH23" i="28" s="1"/>
  <c r="DJ22" i="28"/>
  <c r="DH62" i="28" a="1"/>
  <c r="DH62" i="28" s="1"/>
  <c r="DJ61" i="28"/>
  <c r="DH34" i="28" a="1"/>
  <c r="DH34" i="28" s="1"/>
  <c r="DJ33" i="28"/>
  <c r="DH128" i="28" a="1"/>
  <c r="DH128" i="28" s="1"/>
  <c r="DJ127" i="28"/>
  <c r="DH14" i="28" a="1"/>
  <c r="DH14" i="28" s="1"/>
  <c r="DJ13" i="28"/>
  <c r="DH40" i="28" a="1"/>
  <c r="DH40" i="28" s="1"/>
  <c r="DJ39" i="28"/>
  <c r="DH183" i="28" a="1"/>
  <c r="DH183" i="28" s="1"/>
  <c r="DJ182" i="28"/>
  <c r="DH52" i="28" a="1"/>
  <c r="DH52" i="28" s="1"/>
  <c r="DJ51" i="28"/>
  <c r="DH24" i="28" a="1"/>
  <c r="DH24" i="28" s="1"/>
  <c r="DJ23" i="28"/>
  <c r="DK89" i="28"/>
  <c r="DN89" i="28" s="1"/>
  <c r="DN90" i="28" s="1"/>
  <c r="DN91" i="28" s="1"/>
  <c r="DN92" i="28" s="1"/>
  <c r="DN93" i="28" s="1"/>
  <c r="DN94" i="28" s="1"/>
  <c r="DN95" i="28" s="1"/>
  <c r="DN96" i="28" s="1"/>
  <c r="DN97" i="28" s="1"/>
  <c r="DN98" i="28" s="1"/>
  <c r="DN99" i="28" s="1"/>
  <c r="DN100" i="28" s="1"/>
  <c r="DN101" i="28" s="1"/>
  <c r="DN102" i="28" s="1"/>
  <c r="DN103" i="28" s="1"/>
  <c r="DN104" i="28" s="1"/>
  <c r="DH140" i="28" a="1"/>
  <c r="DH140" i="28" s="1"/>
  <c r="DJ139" i="28"/>
  <c r="DH165" i="28" a="1"/>
  <c r="DH165" i="28" s="1"/>
  <c r="DJ164" i="28"/>
  <c r="DH56" i="28" a="1"/>
  <c r="DH56" i="28" s="1"/>
  <c r="DJ55" i="28"/>
  <c r="DH55" i="28" a="1"/>
  <c r="DH55" i="28" s="1"/>
  <c r="DJ54" i="28"/>
  <c r="DH53" i="28" a="1"/>
  <c r="DH53" i="28" s="1"/>
  <c r="DJ52" i="28"/>
  <c r="DH189" i="28" a="1"/>
  <c r="DH189" i="28" s="1"/>
  <c r="DJ188" i="28"/>
  <c r="DH176" i="28" a="1"/>
  <c r="DH176" i="28" s="1"/>
  <c r="DJ175" i="28"/>
  <c r="DH124" i="28" a="1"/>
  <c r="DH124" i="28" s="1"/>
  <c r="DJ123" i="28"/>
  <c r="DH91" i="28" a="1"/>
  <c r="DH91" i="28" s="1"/>
  <c r="DJ90" i="28"/>
  <c r="DH21" i="28" a="1"/>
  <c r="DH21" i="28" s="1"/>
  <c r="DJ20" i="28"/>
  <c r="DH125" i="28" a="1"/>
  <c r="DH125" i="28" s="1"/>
  <c r="DJ124" i="28"/>
  <c r="DH135" i="28" a="1"/>
  <c r="DH135" i="28" s="1"/>
  <c r="DJ134" i="28"/>
  <c r="DH160" i="28" a="1"/>
  <c r="DH160" i="28" s="1"/>
  <c r="DJ159" i="28"/>
  <c r="DH151" i="28" a="1"/>
  <c r="DH151" i="28" s="1"/>
  <c r="DJ150" i="28"/>
  <c r="DH187" i="28" a="1"/>
  <c r="DH187" i="28" s="1"/>
  <c r="DJ186" i="28"/>
  <c r="DH122" i="28" a="1"/>
  <c r="DH122" i="28" s="1"/>
  <c r="DJ121" i="28"/>
  <c r="DH38" i="28" a="1"/>
  <c r="DH38" i="28" s="1"/>
  <c r="DJ37" i="28"/>
  <c r="DH12" i="28" a="1"/>
  <c r="DH12" i="28" s="1"/>
  <c r="DJ11" i="28"/>
  <c r="DH179" i="28" a="1"/>
  <c r="DH179" i="28" s="1"/>
  <c r="DJ178" i="28"/>
  <c r="DH46" i="28" a="1"/>
  <c r="DH46" i="28" s="1"/>
  <c r="DJ45" i="28"/>
  <c r="DH49" i="28" a="1"/>
  <c r="DH49" i="28" s="1"/>
  <c r="DJ48" i="28"/>
  <c r="DK61" i="28"/>
  <c r="DN61" i="28" s="1"/>
  <c r="DN62" i="28" s="1"/>
  <c r="DN63" i="28" s="1"/>
  <c r="DN64" i="28" s="1"/>
  <c r="DN65" i="28" s="1"/>
  <c r="DN66" i="28" s="1"/>
  <c r="DN67" i="28" s="1"/>
  <c r="DN68" i="28" s="1"/>
  <c r="DN69" i="28" s="1"/>
  <c r="DN70" i="28" s="1"/>
  <c r="DN71" i="28" s="1"/>
  <c r="DN72" i="28" s="1"/>
  <c r="DN73" i="28" s="1"/>
  <c r="DN74" i="28" s="1"/>
  <c r="DN75" i="28" s="1"/>
  <c r="DN76" i="28" s="1"/>
  <c r="DH58" i="28" a="1"/>
  <c r="DH58" i="28" s="1"/>
  <c r="DJ57" i="28"/>
  <c r="DH110" i="28" a="1"/>
  <c r="DH110" i="28" s="1"/>
  <c r="DJ109" i="28"/>
  <c r="DH83" i="28" a="1"/>
  <c r="DH83" i="28" s="1"/>
  <c r="DJ82" i="28"/>
  <c r="DH26" i="28" a="1"/>
  <c r="DH26" i="28" s="1"/>
  <c r="DJ25" i="28"/>
  <c r="DH25" i="28" a="1"/>
  <c r="DH25" i="28" s="1"/>
  <c r="DJ24" i="28"/>
  <c r="DH147" i="28" a="1"/>
  <c r="DH147" i="28" s="1"/>
  <c r="DJ146" i="28"/>
  <c r="DH178" i="28" a="1"/>
  <c r="DH178" i="28" s="1"/>
  <c r="DJ177" i="28"/>
  <c r="DH20" i="28" a="1"/>
  <c r="DH20" i="28" s="1"/>
  <c r="DJ19" i="28"/>
  <c r="DH78" i="28" a="1"/>
  <c r="DH78" i="28" s="1"/>
  <c r="DJ77" i="28"/>
  <c r="DH6" i="28" a="1"/>
  <c r="DH6" i="28" s="1"/>
  <c r="DJ5" i="28"/>
  <c r="DH153" i="28" a="1"/>
  <c r="DH153" i="28" s="1"/>
  <c r="DJ152" i="28"/>
  <c r="DH48" i="28" a="1"/>
  <c r="DH48" i="28" s="1"/>
  <c r="DJ47" i="28"/>
  <c r="DH190" i="28" a="1"/>
  <c r="DH190" i="28" s="1"/>
  <c r="DJ189" i="28"/>
  <c r="DH8" i="28" a="1"/>
  <c r="DH8" i="28" s="1"/>
  <c r="DJ7" i="28"/>
  <c r="DH102" i="28" a="1"/>
  <c r="DH102" i="28" s="1"/>
  <c r="DJ101" i="28"/>
  <c r="DH22" i="28" a="1"/>
  <c r="DH22" i="28" s="1"/>
  <c r="DJ21" i="28"/>
  <c r="DH185" i="28" a="1"/>
  <c r="DH185" i="28" s="1"/>
  <c r="DJ184" i="28"/>
  <c r="DH44" i="28" a="1"/>
  <c r="DH44" i="28" s="1"/>
  <c r="DJ43" i="28"/>
  <c r="DH16" i="28" a="1"/>
  <c r="DH16" i="28" s="1"/>
  <c r="DJ15" i="28"/>
  <c r="DH39" i="28" a="1"/>
  <c r="DH39" i="28" s="1"/>
  <c r="DJ38" i="28"/>
  <c r="DK173" i="28"/>
  <c r="DN173" i="28" s="1"/>
  <c r="DN174" i="28" s="1"/>
  <c r="DN175" i="28" s="1"/>
  <c r="DN176" i="28" s="1"/>
  <c r="DN177" i="28" s="1"/>
  <c r="DN178" i="28" s="1"/>
  <c r="DN179" i="28" s="1"/>
  <c r="DN180" i="28" s="1"/>
  <c r="DN181" i="28" s="1"/>
  <c r="DN182" i="28" s="1"/>
  <c r="DN183" i="28" s="1"/>
  <c r="DN184" i="28" s="1"/>
  <c r="DN185" i="28" s="1"/>
  <c r="DN186" i="28" s="1"/>
  <c r="DN187" i="28" s="1"/>
  <c r="DN188" i="28" s="1"/>
  <c r="DN189" i="28" s="1"/>
  <c r="DH167" i="28" a="1"/>
  <c r="DH167" i="28" s="1"/>
  <c r="DJ166" i="28"/>
  <c r="DH166" i="28" a="1"/>
  <c r="DH166" i="28" s="1"/>
  <c r="DJ165" i="28"/>
  <c r="DH111" i="28" a="1"/>
  <c r="DH111" i="28" s="1"/>
  <c r="DJ110" i="28"/>
  <c r="DH57" i="28" a="1"/>
  <c r="DH57" i="28" s="1"/>
  <c r="DJ56" i="28"/>
  <c r="DH108" i="28" a="1"/>
  <c r="DH108" i="28" s="1"/>
  <c r="DJ107" i="28"/>
  <c r="DH95" i="28" a="1"/>
  <c r="DH95" i="28" s="1"/>
  <c r="DJ94" i="28"/>
  <c r="DH150" i="28" a="1"/>
  <c r="DH150" i="28" s="1"/>
  <c r="DJ149" i="28"/>
  <c r="DH47" i="28" a="1"/>
  <c r="DH47" i="28" s="1"/>
  <c r="DJ46" i="28"/>
  <c r="DH186" i="28" a="1"/>
  <c r="DH186" i="28" s="1"/>
  <c r="DJ185" i="28"/>
  <c r="DH92" i="28" a="1"/>
  <c r="DH92" i="28" s="1"/>
  <c r="DJ91" i="28"/>
  <c r="DH129" i="28" a="1"/>
  <c r="DH129" i="28" s="1"/>
  <c r="DJ128" i="28"/>
  <c r="DH72" i="28" a="1"/>
  <c r="DH72" i="28" s="1"/>
  <c r="DJ71" i="28"/>
  <c r="DH181" i="28" a="1"/>
  <c r="DH181" i="28" s="1"/>
  <c r="DJ180" i="28"/>
  <c r="DH63" i="28" a="1"/>
  <c r="DH63" i="28" s="1"/>
  <c r="DJ62" i="28"/>
  <c r="DH133" i="28" a="1"/>
  <c r="DH133" i="28" s="1"/>
  <c r="DJ132" i="28"/>
  <c r="DH10" i="28" a="1"/>
  <c r="DH10" i="28" s="1"/>
  <c r="DJ9" i="28"/>
  <c r="DH149" i="28" a="1"/>
  <c r="DH149" i="28" s="1"/>
  <c r="DJ148" i="28"/>
  <c r="DH120" i="28" a="1"/>
  <c r="DH120" i="28" s="1"/>
  <c r="DJ119" i="28"/>
  <c r="DH67" i="28" a="1"/>
  <c r="DH67" i="28" s="1"/>
  <c r="DJ66" i="28"/>
  <c r="DH94" i="28" a="1"/>
  <c r="DH94" i="28" s="1"/>
  <c r="DJ93" i="28"/>
  <c r="DH106" i="28" a="1"/>
  <c r="DH106" i="28" s="1"/>
  <c r="DJ105" i="28"/>
  <c r="DH18" i="28" a="1"/>
  <c r="DH18" i="28" s="1"/>
  <c r="DJ17" i="28"/>
  <c r="DK33" i="28"/>
  <c r="DN33" i="28" s="1"/>
  <c r="DN34" i="28" s="1"/>
  <c r="DN35" i="28" s="1"/>
  <c r="DN36" i="28" s="1"/>
  <c r="DN37" i="28" s="1"/>
  <c r="DN38" i="28" s="1"/>
  <c r="DN39" i="28" s="1"/>
  <c r="DN40" i="28" s="1"/>
  <c r="DN41" i="28" s="1"/>
  <c r="DN42" i="28" s="1"/>
  <c r="DN43" i="28" s="1"/>
  <c r="DN44" i="28" s="1"/>
  <c r="DN45" i="28" s="1"/>
  <c r="DN46" i="28" s="1"/>
  <c r="DN47" i="28" s="1"/>
  <c r="DN48" i="28" s="1"/>
  <c r="DH113" i="28" a="1"/>
  <c r="DH113" i="28" s="1"/>
  <c r="DJ112" i="28"/>
  <c r="DH193" i="28" a="1"/>
  <c r="DH193" i="28" s="1"/>
  <c r="DJ192" i="28"/>
  <c r="DH192" i="28" a="1"/>
  <c r="DH192" i="28" s="1"/>
  <c r="DJ191" i="28"/>
  <c r="DH164" i="28" a="1"/>
  <c r="DH164" i="28" s="1"/>
  <c r="DJ163" i="28"/>
  <c r="DH27" i="28" a="1"/>
  <c r="DH27" i="28" s="1"/>
  <c r="DJ26" i="28"/>
  <c r="DH188" i="28" a="1"/>
  <c r="DH188" i="28" s="1"/>
  <c r="DJ187" i="28"/>
  <c r="DH36" i="28" a="1"/>
  <c r="DH36" i="28" s="1"/>
  <c r="DJ35" i="28"/>
  <c r="DH42" i="28" a="1"/>
  <c r="DH42" i="28" s="1"/>
  <c r="DJ41" i="28"/>
  <c r="DH134" i="28" a="1"/>
  <c r="DH134" i="28" s="1"/>
  <c r="DJ133" i="28"/>
  <c r="DH45" i="28" a="1"/>
  <c r="DH45" i="28" s="1"/>
  <c r="DJ44" i="28"/>
  <c r="DH93" i="28" a="1"/>
  <c r="DH93" i="28" s="1"/>
  <c r="DJ92" i="28"/>
  <c r="DH101" i="28" a="1"/>
  <c r="DH101" i="28" s="1"/>
  <c r="DJ100" i="28"/>
  <c r="DH159" i="28" a="1"/>
  <c r="DH159" i="28" s="1"/>
  <c r="DJ158" i="28"/>
  <c r="DH121" i="28" a="1"/>
  <c r="DH121" i="28" s="1"/>
  <c r="DJ120" i="28"/>
  <c r="DH174" i="28" a="1"/>
  <c r="DH174" i="28" s="1"/>
  <c r="DJ173" i="28"/>
  <c r="DH119" i="28" a="1"/>
  <c r="DH119" i="28" s="1"/>
  <c r="DJ118" i="28"/>
  <c r="DH64" i="28" a="1"/>
  <c r="DH64" i="28" s="1"/>
  <c r="DJ63" i="28"/>
  <c r="DH96" i="28" a="1"/>
  <c r="DH96" i="28" s="1"/>
  <c r="DJ95" i="28"/>
  <c r="DH104" i="28" a="1"/>
  <c r="DH104" i="28" s="1"/>
  <c r="DJ103" i="28"/>
  <c r="DH131" i="28" a="1"/>
  <c r="DH131" i="28" s="1"/>
  <c r="DJ130" i="28"/>
  <c r="DH130" i="28" a="1"/>
  <c r="DH130" i="28" s="1"/>
  <c r="DJ129" i="28"/>
  <c r="DK117" i="28"/>
  <c r="DN117" i="28" s="1"/>
  <c r="DN118" i="28" s="1"/>
  <c r="DN119" i="28" s="1"/>
  <c r="DN120" i="28" s="1"/>
  <c r="DN121" i="28" s="1"/>
  <c r="DN122" i="28" s="1"/>
  <c r="DN123" i="28" s="1"/>
  <c r="DN124" i="28" s="1"/>
  <c r="DN125" i="28" s="1"/>
  <c r="DN126" i="28" s="1"/>
  <c r="DN127" i="28" s="1"/>
  <c r="DN128" i="28" s="1"/>
  <c r="DN129" i="28" s="1"/>
  <c r="DN130" i="28" s="1"/>
  <c r="DN131" i="28" s="1"/>
  <c r="DN132" i="28" s="1"/>
  <c r="DH86" i="28" a="1"/>
  <c r="DH86" i="28" s="1"/>
  <c r="DJ85" i="28"/>
  <c r="DH112" i="28" a="1"/>
  <c r="DH112" i="28" s="1"/>
  <c r="DJ111" i="28"/>
  <c r="DH84" i="28" a="1"/>
  <c r="DH84" i="28" s="1"/>
  <c r="DJ83" i="28"/>
  <c r="DH137" i="28" a="1"/>
  <c r="DH137" i="28" s="1"/>
  <c r="DJ136" i="28"/>
  <c r="DH81" i="28" a="1"/>
  <c r="DH81" i="28" s="1"/>
  <c r="DJ80" i="28"/>
  <c r="DH98" i="28" a="1"/>
  <c r="DH98" i="28" s="1"/>
  <c r="DJ97" i="28"/>
  <c r="DH163" i="28" a="1"/>
  <c r="DH163" i="28" s="1"/>
  <c r="DJ162" i="28"/>
  <c r="DH154" i="28" a="1"/>
  <c r="DH154" i="28" s="1"/>
  <c r="DJ153" i="28"/>
  <c r="DH35" i="28" a="1"/>
  <c r="DH35" i="28" s="1"/>
  <c r="DJ34" i="28"/>
  <c r="DH74" i="28" a="1"/>
  <c r="DH74" i="28" s="1"/>
  <c r="DJ73" i="28"/>
  <c r="DH79" i="28" a="1"/>
  <c r="DH79" i="28" s="1"/>
  <c r="DJ78" i="28"/>
  <c r="DH70" i="28" a="1"/>
  <c r="DH70" i="28" s="1"/>
  <c r="DJ69" i="28"/>
  <c r="DH161" i="28" a="1"/>
  <c r="DH161" i="28" s="1"/>
  <c r="DJ160" i="28"/>
  <c r="DH68" i="28" a="1"/>
  <c r="DH68" i="28" s="1"/>
  <c r="DJ67" i="28"/>
  <c r="DH123" i="28" a="1"/>
  <c r="DH123" i="28" s="1"/>
  <c r="DJ122" i="28"/>
  <c r="DH100" i="28" a="1"/>
  <c r="DH100" i="28" s="1"/>
  <c r="DJ99" i="28"/>
  <c r="DH76" i="28" a="1"/>
  <c r="DH76" i="28" s="1"/>
  <c r="DJ75" i="28"/>
  <c r="DH69" i="28" a="1"/>
  <c r="DH69" i="28" s="1"/>
  <c r="DJ68" i="28"/>
  <c r="DH50" i="28" a="1"/>
  <c r="DH50" i="28" s="1"/>
  <c r="DJ49" i="28"/>
  <c r="DH51" i="28" a="1"/>
  <c r="DH51" i="28" s="1"/>
  <c r="DJ50" i="28"/>
  <c r="DH152" i="28" a="1"/>
  <c r="DH152" i="28" s="1"/>
  <c r="DJ151" i="28"/>
  <c r="DK145" i="28"/>
  <c r="DN145" i="28" s="1"/>
  <c r="DN146" i="28" s="1"/>
  <c r="DN147" i="28" s="1"/>
  <c r="DN148" i="28" s="1"/>
  <c r="DN149" i="28" s="1"/>
  <c r="DN150" i="28" s="1"/>
  <c r="DN151" i="28" s="1"/>
  <c r="DN152" i="28" s="1"/>
  <c r="DN153" i="28" s="1"/>
  <c r="DN154" i="28" s="1"/>
  <c r="DN155" i="28" s="1"/>
  <c r="DN156" i="28" s="1"/>
  <c r="DN157" i="28" s="1"/>
  <c r="DN158" i="28" s="1"/>
  <c r="DN159" i="28" s="1"/>
  <c r="DN160" i="28" s="1"/>
  <c r="DH194" i="28" a="1"/>
  <c r="DH194" i="28" s="1"/>
  <c r="DJ193" i="28"/>
  <c r="DH31" i="28" a="1"/>
  <c r="DH31" i="28" s="1"/>
  <c r="DJ30" i="28"/>
  <c r="DH138" i="28" a="1"/>
  <c r="DH138" i="28" s="1"/>
  <c r="DJ137" i="28"/>
  <c r="DH109" i="28" a="1"/>
  <c r="DH109" i="28" s="1"/>
  <c r="DJ108" i="28"/>
  <c r="DH54" i="28" a="1"/>
  <c r="DH54" i="28" s="1"/>
  <c r="DJ53" i="28"/>
  <c r="DH65" i="28" a="1"/>
  <c r="DH65" i="28" s="1"/>
  <c r="DJ64" i="28"/>
  <c r="DH157" i="28" a="1"/>
  <c r="DH157" i="28" s="1"/>
  <c r="DJ156" i="28"/>
  <c r="DH155" i="28" a="1"/>
  <c r="DH155" i="28" s="1"/>
  <c r="DJ154" i="28"/>
  <c r="DH107" i="28" a="1"/>
  <c r="DH107" i="28" s="1"/>
  <c r="DJ106" i="28"/>
  <c r="DH43" i="28" a="1"/>
  <c r="DH43" i="28" s="1"/>
  <c r="DJ42" i="28"/>
  <c r="DH19" i="28" a="1"/>
  <c r="DH19" i="28" s="1"/>
  <c r="DJ18" i="28"/>
  <c r="DH180" i="28" a="1"/>
  <c r="DH180" i="28" s="1"/>
  <c r="DJ179" i="28"/>
  <c r="DH66" i="28" a="1"/>
  <c r="DH66" i="28" s="1"/>
  <c r="DJ65" i="28"/>
  <c r="DH182" i="28" a="1"/>
  <c r="DH182" i="28" s="1"/>
  <c r="DJ181" i="28"/>
  <c r="DH103" i="28" a="1"/>
  <c r="DH103" i="28" s="1"/>
  <c r="DJ102" i="28"/>
  <c r="DH156" i="28" a="1"/>
  <c r="DH156" i="28" s="1"/>
  <c r="DJ155" i="28"/>
  <c r="DH99" i="28" a="1"/>
  <c r="DH99" i="28" s="1"/>
  <c r="DJ98" i="28"/>
  <c r="DH184" i="28" a="1"/>
  <c r="DH184" i="28" s="1"/>
  <c r="DJ183" i="28"/>
  <c r="DH162" i="28" a="1"/>
  <c r="DH162" i="28" s="1"/>
  <c r="DJ161" i="28"/>
  <c r="DH127" i="28" a="1"/>
  <c r="DH127" i="28" s="1"/>
  <c r="DJ126" i="28"/>
  <c r="DH191" i="28" a="1"/>
  <c r="DH191" i="28" s="1"/>
  <c r="DJ190" i="28"/>
  <c r="DG194" i="28"/>
  <c r="DE114" i="28"/>
  <c r="DG86" i="28"/>
  <c r="DE195" i="28"/>
  <c r="DG195" i="28" s="1"/>
  <c r="DG167" i="28"/>
  <c r="DG29" i="28"/>
  <c r="DE168" i="28"/>
  <c r="DG140" i="28"/>
  <c r="DE141" i="28"/>
  <c r="DG113" i="28"/>
  <c r="DE88" i="28"/>
  <c r="DG60" i="28"/>
  <c r="DE87" i="28"/>
  <c r="DG59" i="28"/>
  <c r="DD105" i="28"/>
  <c r="DC105" i="28" s="1"/>
  <c r="AL1" i="28"/>
  <c r="CJ1" i="28"/>
  <c r="AO3" i="28"/>
  <c r="K24" i="22"/>
  <c r="I19" i="32" l="1"/>
  <c r="S19" i="32" s="1"/>
  <c r="Z19" i="32" s="1"/>
  <c r="AO5" i="28" a="1"/>
  <c r="AO5" i="28" s="1"/>
  <c r="AO6" i="28" a="1"/>
  <c r="AO6" i="28" s="1"/>
  <c r="AO7" i="28" a="1"/>
  <c r="AO7" i="28" s="1"/>
  <c r="AO8" i="28" a="1"/>
  <c r="AO8" i="28" s="1"/>
  <c r="AO9" i="28" a="1"/>
  <c r="AO9" i="28" s="1"/>
  <c r="AO10" i="28" a="1"/>
  <c r="AO10" i="28" s="1"/>
  <c r="AO11" i="28" a="1"/>
  <c r="AO11" i="28" s="1"/>
  <c r="AO12" i="28" a="1"/>
  <c r="AO12" i="28" s="1"/>
  <c r="AO13" i="28" a="1"/>
  <c r="AO13" i="28" s="1"/>
  <c r="AO14" i="28" a="1"/>
  <c r="AO14" i="28" s="1"/>
  <c r="AO15" i="28" a="1"/>
  <c r="AO15" i="28" s="1"/>
  <c r="AO16" i="28" a="1"/>
  <c r="AO16" i="28" s="1"/>
  <c r="AO17" i="28" a="1"/>
  <c r="AO17" i="28" s="1"/>
  <c r="AO18" i="28" a="1"/>
  <c r="AO18" i="28" s="1"/>
  <c r="AO19" i="28" a="1"/>
  <c r="AO19" i="28" s="1"/>
  <c r="AO20" i="28" a="1"/>
  <c r="AO20" i="28" s="1"/>
  <c r="AO21" i="28" a="1"/>
  <c r="AO21" i="28" s="1"/>
  <c r="AO22" i="28" a="1"/>
  <c r="AO22" i="28" s="1"/>
  <c r="AO23" i="28" a="1"/>
  <c r="AO23" i="28" s="1"/>
  <c r="AO24" i="28" a="1"/>
  <c r="AO24" i="28" s="1"/>
  <c r="AO25" i="28" a="1"/>
  <c r="AO25" i="28" s="1"/>
  <c r="AO26" i="28" a="1"/>
  <c r="AO26" i="28" s="1"/>
  <c r="AO27" i="28" a="1"/>
  <c r="AO27" i="28" s="1"/>
  <c r="AO28" i="28" a="1"/>
  <c r="AO28" i="28" s="1"/>
  <c r="AO29" i="28" a="1"/>
  <c r="AO29" i="28" s="1"/>
  <c r="AO30" i="28" a="1"/>
  <c r="AO30" i="28" s="1"/>
  <c r="AO31" i="28" a="1"/>
  <c r="AO31" i="28" s="1"/>
  <c r="AO32" i="28" a="1"/>
  <c r="AO32" i="28" s="1"/>
  <c r="AO33" i="28" a="1"/>
  <c r="AO33" i="28" s="1"/>
  <c r="AO34" i="28" a="1"/>
  <c r="AO34" i="28" s="1"/>
  <c r="AO35" i="28" a="1"/>
  <c r="AO35" i="28" s="1"/>
  <c r="AG20" i="11"/>
  <c r="Q23" i="25" s="1"/>
  <c r="AP25" i="11"/>
  <c r="U33" i="32"/>
  <c r="AB33" i="32" s="1"/>
  <c r="L24" i="22"/>
  <c r="Z36" i="11"/>
  <c r="DM22" i="28"/>
  <c r="DM106" i="28"/>
  <c r="DM162" i="28"/>
  <c r="DM134" i="28"/>
  <c r="DM78" i="28"/>
  <c r="DM50" i="28"/>
  <c r="DN105" i="28"/>
  <c r="DN77" i="28"/>
  <c r="DN190" i="28"/>
  <c r="DN21" i="28"/>
  <c r="DN161" i="28"/>
  <c r="DN133" i="28"/>
  <c r="DN49" i="28"/>
  <c r="DL134" i="28"/>
  <c r="DL22" i="28"/>
  <c r="DL106" i="28"/>
  <c r="DL78" i="28"/>
  <c r="DL50" i="28"/>
  <c r="DL162" i="28"/>
  <c r="DJ29" i="28"/>
  <c r="DJ60" i="28"/>
  <c r="DI135" i="28"/>
  <c r="DI107" i="28"/>
  <c r="DI163" i="28"/>
  <c r="DI79" i="28"/>
  <c r="DI191" i="28"/>
  <c r="DM191" i="28" s="1"/>
  <c r="DI51" i="28"/>
  <c r="DI23" i="28"/>
  <c r="DO61" i="28"/>
  <c r="DO173" i="28"/>
  <c r="DO6" i="28"/>
  <c r="DO174" i="28"/>
  <c r="DO62" i="28"/>
  <c r="DO117" i="28"/>
  <c r="DO89" i="28"/>
  <c r="DO118" i="28"/>
  <c r="DO90" i="28"/>
  <c r="DO33" i="28"/>
  <c r="DO145" i="28"/>
  <c r="DO34" i="28"/>
  <c r="DO146" i="28"/>
  <c r="DO5" i="28"/>
  <c r="DB24" i="28"/>
  <c r="DC24" i="28" s="1"/>
  <c r="L38" i="28"/>
  <c r="DB136" i="28"/>
  <c r="K38" i="28"/>
  <c r="DB108" i="28"/>
  <c r="J38" i="28"/>
  <c r="DB80" i="28"/>
  <c r="DC80" i="28" s="1"/>
  <c r="N38" i="28"/>
  <c r="DB192" i="28"/>
  <c r="DC192" i="28" s="1"/>
  <c r="M38" i="28"/>
  <c r="DB164" i="28"/>
  <c r="I38" i="28"/>
  <c r="DB52" i="28"/>
  <c r="DC52" i="28" s="1"/>
  <c r="DH141" i="28" a="1"/>
  <c r="DH141" i="28" s="1"/>
  <c r="DJ140" i="28"/>
  <c r="DK162" i="28"/>
  <c r="DK103" i="28"/>
  <c r="DK19" i="28"/>
  <c r="DK157" i="28"/>
  <c r="DK138" i="28"/>
  <c r="DK152" i="28"/>
  <c r="DK76" i="28"/>
  <c r="DK161" i="28"/>
  <c r="DK35" i="28"/>
  <c r="DK81" i="28"/>
  <c r="DK86" i="28"/>
  <c r="DK104" i="28"/>
  <c r="DK174" i="28"/>
  <c r="DK93" i="28"/>
  <c r="DK36" i="28"/>
  <c r="DK192" i="28"/>
  <c r="DK18" i="28"/>
  <c r="DK120" i="28"/>
  <c r="DK63" i="28"/>
  <c r="DK92" i="28"/>
  <c r="DK95" i="28"/>
  <c r="DK166" i="28"/>
  <c r="DK16" i="28"/>
  <c r="DK102" i="28"/>
  <c r="DK153" i="28"/>
  <c r="DK178" i="28"/>
  <c r="DK83" i="28"/>
  <c r="DK49" i="28"/>
  <c r="DK38" i="28"/>
  <c r="DK160" i="28"/>
  <c r="DK91" i="28"/>
  <c r="DK53" i="28"/>
  <c r="DK140" i="28"/>
  <c r="DK183" i="28"/>
  <c r="DK34" i="28"/>
  <c r="DK126" i="28"/>
  <c r="DK132" i="28"/>
  <c r="DK29" i="28"/>
  <c r="DK146" i="28"/>
  <c r="DK175" i="28"/>
  <c r="DK75" i="28"/>
  <c r="DK13" i="28"/>
  <c r="DK28" i="28"/>
  <c r="DH60" i="28" a="1"/>
  <c r="DH60" i="28" s="1"/>
  <c r="DJ59" i="28"/>
  <c r="DH168" i="28" a="1"/>
  <c r="DH168" i="28" s="1"/>
  <c r="DJ167" i="28"/>
  <c r="DK184" i="28"/>
  <c r="DK182" i="28"/>
  <c r="DK43" i="28"/>
  <c r="DK65" i="28"/>
  <c r="DK31" i="28"/>
  <c r="DK51" i="28"/>
  <c r="DK100" i="28"/>
  <c r="DK70" i="28"/>
  <c r="DK154" i="28"/>
  <c r="DK137" i="28"/>
  <c r="DK96" i="28"/>
  <c r="DK121" i="28"/>
  <c r="DK45" i="28"/>
  <c r="DK188" i="28"/>
  <c r="DK193" i="28"/>
  <c r="DK106" i="28"/>
  <c r="DK149" i="28"/>
  <c r="DK181" i="28"/>
  <c r="DK186" i="28"/>
  <c r="DK108" i="28"/>
  <c r="DK167" i="28"/>
  <c r="DK44" i="28"/>
  <c r="DK8" i="28"/>
  <c r="DK6" i="28"/>
  <c r="DK147" i="28"/>
  <c r="DK110" i="28"/>
  <c r="DK46" i="28"/>
  <c r="DK122" i="28"/>
  <c r="DK135" i="28"/>
  <c r="DK124" i="28"/>
  <c r="DK55" i="28"/>
  <c r="DK40" i="28"/>
  <c r="DK62" i="28"/>
  <c r="DK158" i="28"/>
  <c r="DK97" i="28"/>
  <c r="DK59" i="28"/>
  <c r="DK177" i="28"/>
  <c r="DK71" i="28"/>
  <c r="DK37" i="28"/>
  <c r="DK73" i="28"/>
  <c r="DK139" i="28"/>
  <c r="DH196" i="28" a="1"/>
  <c r="DH196" i="28" s="1"/>
  <c r="DJ195" i="28"/>
  <c r="DH87" i="28" a="1"/>
  <c r="DH87" i="28" s="1"/>
  <c r="DJ86" i="28"/>
  <c r="DK191" i="28"/>
  <c r="DK99" i="28"/>
  <c r="DK66" i="28"/>
  <c r="DK107" i="28"/>
  <c r="DK54" i="28"/>
  <c r="DK194" i="28"/>
  <c r="DK50" i="28"/>
  <c r="DK123" i="28"/>
  <c r="DK79" i="28"/>
  <c r="DK163" i="28"/>
  <c r="DK84" i="28"/>
  <c r="DK130" i="28"/>
  <c r="DK64" i="28"/>
  <c r="DK159" i="28"/>
  <c r="DK134" i="28"/>
  <c r="DK27" i="28"/>
  <c r="DK113" i="28"/>
  <c r="DK94" i="28"/>
  <c r="DK10" i="28"/>
  <c r="DK72" i="28"/>
  <c r="DK47" i="28"/>
  <c r="DK57" i="28"/>
  <c r="DK185" i="28"/>
  <c r="DK190" i="28"/>
  <c r="DK78" i="28"/>
  <c r="DK25" i="28"/>
  <c r="DK58" i="28"/>
  <c r="DK179" i="28"/>
  <c r="DK187" i="28"/>
  <c r="DK125" i="28"/>
  <c r="DK176" i="28"/>
  <c r="DK56" i="28"/>
  <c r="DK24" i="28"/>
  <c r="DK14" i="28"/>
  <c r="DK23" i="28"/>
  <c r="DK148" i="28"/>
  <c r="DK80" i="28"/>
  <c r="DK15" i="28"/>
  <c r="DK90" i="28"/>
  <c r="DK105" i="28"/>
  <c r="DK41" i="28"/>
  <c r="DK85" i="28"/>
  <c r="DH114" i="28" a="1"/>
  <c r="DH114" i="28" s="1"/>
  <c r="DJ113" i="28"/>
  <c r="DH195" i="28" a="1"/>
  <c r="DH195" i="28" s="1"/>
  <c r="DJ194" i="28"/>
  <c r="DK127" i="28"/>
  <c r="DK156" i="28"/>
  <c r="DK180" i="28"/>
  <c r="DK155" i="28"/>
  <c r="DK109" i="28"/>
  <c r="DK69" i="28"/>
  <c r="DK68" i="28"/>
  <c r="DK74" i="28"/>
  <c r="DK98" i="28"/>
  <c r="DK112" i="28"/>
  <c r="DK131" i="28"/>
  <c r="DK119" i="28"/>
  <c r="DK101" i="28"/>
  <c r="DK42" i="28"/>
  <c r="DK164" i="28"/>
  <c r="DK67" i="28"/>
  <c r="DK133" i="28"/>
  <c r="DK129" i="28"/>
  <c r="DK150" i="28"/>
  <c r="DK111" i="28"/>
  <c r="DK39" i="28"/>
  <c r="DK22" i="28"/>
  <c r="DK48" i="28"/>
  <c r="DK20" i="28"/>
  <c r="DK26" i="28"/>
  <c r="DK12" i="28"/>
  <c r="DK151" i="28"/>
  <c r="DK21" i="28"/>
  <c r="DK189" i="28"/>
  <c r="DK165" i="28"/>
  <c r="DK52" i="28"/>
  <c r="DK128" i="28"/>
  <c r="DK11" i="28"/>
  <c r="DK118" i="28"/>
  <c r="DK136" i="28"/>
  <c r="DK7" i="28"/>
  <c r="DK9" i="28"/>
  <c r="DK17" i="28"/>
  <c r="DK77" i="28"/>
  <c r="DK82" i="28"/>
  <c r="DK32" i="28"/>
  <c r="DH30" i="28" a="1"/>
  <c r="DH30" i="28" s="1"/>
  <c r="DE116" i="28"/>
  <c r="DG88" i="28"/>
  <c r="DE142" i="28"/>
  <c r="DG114" i="28"/>
  <c r="DE169" i="28"/>
  <c r="DG141" i="28"/>
  <c r="DE115" i="28"/>
  <c r="DG87" i="28"/>
  <c r="DE196" i="28"/>
  <c r="DG196" i="28" s="1"/>
  <c r="DG168" i="28"/>
  <c r="DD106" i="28"/>
  <c r="DC106" i="28" s="1"/>
  <c r="AM1" i="28"/>
  <c r="CK1" i="28"/>
  <c r="AP3" i="28"/>
  <c r="K25" i="22"/>
  <c r="AP5" i="28" l="1" a="1"/>
  <c r="AP5" i="28" s="1"/>
  <c r="AP6" i="28" a="1"/>
  <c r="AP6" i="28" s="1"/>
  <c r="AP7" i="28" a="1"/>
  <c r="AP7" i="28" s="1"/>
  <c r="AP8" i="28" a="1"/>
  <c r="AP8" i="28" s="1"/>
  <c r="AP9" i="28" a="1"/>
  <c r="AP9" i="28" s="1"/>
  <c r="AP10" i="28" a="1"/>
  <c r="AP10" i="28" s="1"/>
  <c r="AP11" i="28" a="1"/>
  <c r="AP11" i="28" s="1"/>
  <c r="AP12" i="28" a="1"/>
  <c r="AP12" i="28" s="1"/>
  <c r="AP13" i="28" a="1"/>
  <c r="AP13" i="28" s="1"/>
  <c r="AP14" i="28" a="1"/>
  <c r="AP14" i="28" s="1"/>
  <c r="AP15" i="28" a="1"/>
  <c r="AP15" i="28" s="1"/>
  <c r="AP16" i="28" a="1"/>
  <c r="AP16" i="28" s="1"/>
  <c r="AP17" i="28" a="1"/>
  <c r="AP17" i="28" s="1"/>
  <c r="AP18" i="28" a="1"/>
  <c r="AP18" i="28" s="1"/>
  <c r="AP19" i="28" a="1"/>
  <c r="AP19" i="28" s="1"/>
  <c r="AP20" i="28" a="1"/>
  <c r="AP20" i="28" s="1"/>
  <c r="AP21" i="28" a="1"/>
  <c r="AP21" i="28" s="1"/>
  <c r="AP22" i="28" a="1"/>
  <c r="AP22" i="28" s="1"/>
  <c r="AP23" i="28" a="1"/>
  <c r="AP23" i="28" s="1"/>
  <c r="AP24" i="28" a="1"/>
  <c r="AP24" i="28" s="1"/>
  <c r="AP25" i="28" a="1"/>
  <c r="AP25" i="28" s="1"/>
  <c r="AP26" i="28" a="1"/>
  <c r="AP26" i="28" s="1"/>
  <c r="AP27" i="28" a="1"/>
  <c r="AP27" i="28" s="1"/>
  <c r="AP28" i="28" a="1"/>
  <c r="AP28" i="28" s="1"/>
  <c r="AP29" i="28" a="1"/>
  <c r="AP29" i="28" s="1"/>
  <c r="AP30" i="28" a="1"/>
  <c r="AP30" i="28" s="1"/>
  <c r="AP31" i="28" a="1"/>
  <c r="AP31" i="28" s="1"/>
  <c r="AP32" i="28" a="1"/>
  <c r="AP32" i="28" s="1"/>
  <c r="AP33" i="28" a="1"/>
  <c r="AP33" i="28" s="1"/>
  <c r="AP34" i="28" a="1"/>
  <c r="AP34" i="28" s="1"/>
  <c r="AP35" i="28" a="1"/>
  <c r="AP35" i="28" s="1"/>
  <c r="AG21" i="11"/>
  <c r="R23" i="25" s="1"/>
  <c r="AP26" i="11"/>
  <c r="L25" i="22"/>
  <c r="DM23" i="28"/>
  <c r="Z37" i="11"/>
  <c r="DM107" i="28"/>
  <c r="DM163" i="28"/>
  <c r="DM51" i="28"/>
  <c r="DM79" i="28"/>
  <c r="DM135" i="28"/>
  <c r="DN106" i="28"/>
  <c r="DN78" i="28"/>
  <c r="DN22" i="28"/>
  <c r="DN162" i="28"/>
  <c r="DN134" i="28"/>
  <c r="DN50" i="28"/>
  <c r="DL79" i="28"/>
  <c r="DL163" i="28"/>
  <c r="DL51" i="28"/>
  <c r="DL191" i="28"/>
  <c r="DN191" i="28" s="1"/>
  <c r="DL107" i="28"/>
  <c r="DL23" i="28"/>
  <c r="DL135" i="28"/>
  <c r="DJ88" i="28"/>
  <c r="DI164" i="28"/>
  <c r="DI136" i="28"/>
  <c r="DI52" i="28"/>
  <c r="DI192" i="28"/>
  <c r="DM192" i="28" s="1"/>
  <c r="DI80" i="28"/>
  <c r="DI108" i="28"/>
  <c r="DI24" i="28"/>
  <c r="DO35" i="28"/>
  <c r="DO63" i="28"/>
  <c r="DO91" i="28"/>
  <c r="DO175" i="28"/>
  <c r="DO147" i="28"/>
  <c r="DO119" i="28"/>
  <c r="DO7" i="28"/>
  <c r="N39" i="28"/>
  <c r="DB193" i="28"/>
  <c r="DC193" i="28" s="1"/>
  <c r="I39" i="28"/>
  <c r="DB53" i="28"/>
  <c r="DC53" i="28" s="1"/>
  <c r="L39" i="28"/>
  <c r="DB137" i="28"/>
  <c r="J39" i="28"/>
  <c r="DB81" i="28"/>
  <c r="DC81" i="28" s="1"/>
  <c r="K39" i="28"/>
  <c r="DB109" i="28"/>
  <c r="DB25" i="28"/>
  <c r="DC25" i="28" s="1"/>
  <c r="M39" i="28"/>
  <c r="DB165" i="28"/>
  <c r="DH169" i="28" a="1"/>
  <c r="DH169" i="28" s="1"/>
  <c r="DJ168" i="28"/>
  <c r="DH197" i="28" a="1"/>
  <c r="DH197" i="28" s="1"/>
  <c r="DJ196" i="28"/>
  <c r="DK114" i="28"/>
  <c r="DK196" i="28"/>
  <c r="DH88" i="28" a="1"/>
  <c r="DH88" i="28" s="1"/>
  <c r="DJ87" i="28"/>
  <c r="DK30" i="28"/>
  <c r="DH142" i="28" a="1"/>
  <c r="DH142" i="28" s="1"/>
  <c r="DJ141" i="28"/>
  <c r="DK168" i="28"/>
  <c r="DH115" i="28" a="1"/>
  <c r="DH115" i="28" s="1"/>
  <c r="DJ114" i="28"/>
  <c r="DK195" i="28"/>
  <c r="DK87" i="28"/>
  <c r="DK60" i="28"/>
  <c r="DK141" i="28"/>
  <c r="DE143" i="28"/>
  <c r="DG115" i="28"/>
  <c r="DE170" i="28"/>
  <c r="DG142" i="28"/>
  <c r="DE197" i="28"/>
  <c r="DG197" i="28" s="1"/>
  <c r="DG169" i="28"/>
  <c r="DE144" i="28"/>
  <c r="DG116" i="28"/>
  <c r="DD107" i="28"/>
  <c r="DC107" i="28" s="1"/>
  <c r="AN1" i="28"/>
  <c r="CL1" i="28"/>
  <c r="AQ3" i="28"/>
  <c r="K26" i="22"/>
  <c r="I21" i="32" l="1"/>
  <c r="S21" i="32" s="1"/>
  <c r="Z21" i="32" s="1"/>
  <c r="I20" i="32"/>
  <c r="S20" i="32" s="1"/>
  <c r="Z20" i="32" s="1"/>
  <c r="AQ5" i="28" a="1"/>
  <c r="AQ5" i="28" s="1"/>
  <c r="AQ6" i="28" a="1"/>
  <c r="AQ6" i="28" s="1"/>
  <c r="AQ7" i="28" a="1"/>
  <c r="AQ7" i="28" s="1"/>
  <c r="AQ8" i="28" a="1"/>
  <c r="AQ8" i="28" s="1"/>
  <c r="AQ9" i="28" a="1"/>
  <c r="AQ9" i="28" s="1"/>
  <c r="AQ10" i="28" a="1"/>
  <c r="AQ10" i="28" s="1"/>
  <c r="AQ11" i="28" a="1"/>
  <c r="AQ11" i="28" s="1"/>
  <c r="AQ12" i="28" a="1"/>
  <c r="AQ12" i="28" s="1"/>
  <c r="AQ13" i="28" a="1"/>
  <c r="AQ13" i="28" s="1"/>
  <c r="AQ14" i="28" a="1"/>
  <c r="AQ14" i="28" s="1"/>
  <c r="AQ15" i="28" a="1"/>
  <c r="AQ15" i="28" s="1"/>
  <c r="AQ16" i="28" a="1"/>
  <c r="AQ16" i="28" s="1"/>
  <c r="AQ17" i="28" a="1"/>
  <c r="AQ17" i="28" s="1"/>
  <c r="AQ18" i="28" a="1"/>
  <c r="AQ18" i="28" s="1"/>
  <c r="AQ19" i="28" a="1"/>
  <c r="AQ19" i="28" s="1"/>
  <c r="AQ20" i="28" a="1"/>
  <c r="AQ20" i="28" s="1"/>
  <c r="AQ21" i="28" a="1"/>
  <c r="AQ21" i="28" s="1"/>
  <c r="AQ22" i="28" a="1"/>
  <c r="AQ22" i="28" s="1"/>
  <c r="AQ23" i="28" a="1"/>
  <c r="AQ23" i="28" s="1"/>
  <c r="AQ24" i="28" a="1"/>
  <c r="AQ24" i="28" s="1"/>
  <c r="AQ25" i="28" a="1"/>
  <c r="AQ25" i="28" s="1"/>
  <c r="AQ26" i="28" a="1"/>
  <c r="AQ26" i="28" s="1"/>
  <c r="AQ27" i="28" a="1"/>
  <c r="AQ27" i="28" s="1"/>
  <c r="AQ28" i="28" a="1"/>
  <c r="AQ28" i="28" s="1"/>
  <c r="AQ29" i="28" a="1"/>
  <c r="AQ29" i="28" s="1"/>
  <c r="AQ30" i="28" a="1"/>
  <c r="AQ30" i="28" s="1"/>
  <c r="AQ31" i="28" a="1"/>
  <c r="AQ31" i="28" s="1"/>
  <c r="AQ32" i="28" a="1"/>
  <c r="AQ32" i="28" s="1"/>
  <c r="AQ33" i="28" a="1"/>
  <c r="AQ33" i="28" s="1"/>
  <c r="AQ34" i="28" a="1"/>
  <c r="AQ34" i="28" s="1"/>
  <c r="AQ35" i="28" a="1"/>
  <c r="AQ35" i="28" s="1"/>
  <c r="AG22" i="11"/>
  <c r="S23" i="25" s="1"/>
  <c r="AP27" i="11"/>
  <c r="L26" i="22"/>
  <c r="DM24" i="28"/>
  <c r="DM108" i="28"/>
  <c r="DM164" i="28"/>
  <c r="DM136" i="28"/>
  <c r="DM52" i="28"/>
  <c r="DM80" i="28"/>
  <c r="DN107" i="28"/>
  <c r="DN23" i="28"/>
  <c r="DN79" i="28"/>
  <c r="DN163" i="28"/>
  <c r="DN135" i="28"/>
  <c r="DN51" i="28"/>
  <c r="DL52" i="28"/>
  <c r="DL136" i="28"/>
  <c r="DL192" i="28"/>
  <c r="DN192" i="28" s="1"/>
  <c r="DL164" i="28"/>
  <c r="DL24" i="28"/>
  <c r="DL108" i="28"/>
  <c r="DL80" i="28"/>
  <c r="DJ116" i="28"/>
  <c r="DI53" i="28"/>
  <c r="DI165" i="28"/>
  <c r="DI193" i="28"/>
  <c r="DM193" i="28" s="1"/>
  <c r="DI137" i="28"/>
  <c r="DI109" i="28"/>
  <c r="DI81" i="28"/>
  <c r="DI25" i="28"/>
  <c r="DO176" i="28"/>
  <c r="DO8" i="28"/>
  <c r="DO92" i="28"/>
  <c r="DO120" i="28"/>
  <c r="DO64" i="28"/>
  <c r="DO148" i="28"/>
  <c r="DO36" i="28"/>
  <c r="DB26" i="28"/>
  <c r="DC26" i="28" s="1"/>
  <c r="J40" i="28"/>
  <c r="DB82" i="28"/>
  <c r="DC82" i="28" s="1"/>
  <c r="I40" i="28"/>
  <c r="DB54" i="28"/>
  <c r="DC54" i="28" s="1"/>
  <c r="K40" i="28"/>
  <c r="DB110" i="28"/>
  <c r="M40" i="28"/>
  <c r="DB166" i="28"/>
  <c r="L40" i="28"/>
  <c r="DB138" i="28"/>
  <c r="N40" i="28"/>
  <c r="DB194" i="28"/>
  <c r="DC194" i="28" s="1"/>
  <c r="DH170" i="28" a="1"/>
  <c r="DH170" i="28" s="1"/>
  <c r="DJ169" i="28"/>
  <c r="DH198" i="28" a="1"/>
  <c r="DH198" i="28" s="1"/>
  <c r="DJ197" i="28"/>
  <c r="DH143" i="28" a="1"/>
  <c r="DH143" i="28" s="1"/>
  <c r="DJ142" i="28"/>
  <c r="DK142" i="28"/>
  <c r="DH116" i="28" a="1"/>
  <c r="DH116" i="28" s="1"/>
  <c r="DJ115" i="28"/>
  <c r="DK197" i="28"/>
  <c r="DK115" i="28"/>
  <c r="DK88" i="28"/>
  <c r="DK169" i="28"/>
  <c r="DE172" i="28"/>
  <c r="DG144" i="28"/>
  <c r="DE198" i="28"/>
  <c r="DG198" i="28" s="1"/>
  <c r="DG170" i="28"/>
  <c r="DE171" i="28"/>
  <c r="DG143" i="28"/>
  <c r="DD108" i="28"/>
  <c r="DC108" i="28" s="1"/>
  <c r="AO1" i="28"/>
  <c r="CM1" i="28"/>
  <c r="AR3" i="28"/>
  <c r="K27" i="22"/>
  <c r="I22" i="32" l="1"/>
  <c r="S22" i="32" s="1"/>
  <c r="Z22" i="32" s="1"/>
  <c r="AR5" i="28" a="1"/>
  <c r="AR5" i="28" s="1"/>
  <c r="AR6" i="28" a="1"/>
  <c r="AR6" i="28" s="1"/>
  <c r="AR7" i="28" a="1"/>
  <c r="AR7" i="28" s="1"/>
  <c r="AR8" i="28" a="1"/>
  <c r="AR8" i="28" s="1"/>
  <c r="AR9" i="28" a="1"/>
  <c r="AR9" i="28" s="1"/>
  <c r="AR10" i="28" a="1"/>
  <c r="AR10" i="28" s="1"/>
  <c r="AR11" i="28" a="1"/>
  <c r="AR11" i="28" s="1"/>
  <c r="AR12" i="28" a="1"/>
  <c r="AR12" i="28" s="1"/>
  <c r="AR13" i="28" a="1"/>
  <c r="AR13" i="28" s="1"/>
  <c r="AR14" i="28" a="1"/>
  <c r="AR14" i="28" s="1"/>
  <c r="AR15" i="28" a="1"/>
  <c r="AR15" i="28" s="1"/>
  <c r="AR16" i="28" a="1"/>
  <c r="AR16" i="28" s="1"/>
  <c r="AR17" i="28" a="1"/>
  <c r="AR17" i="28" s="1"/>
  <c r="AR18" i="28" a="1"/>
  <c r="AR18" i="28" s="1"/>
  <c r="AR19" i="28" a="1"/>
  <c r="AR19" i="28" s="1"/>
  <c r="AR20" i="28" a="1"/>
  <c r="AR20" i="28" s="1"/>
  <c r="AR21" i="28" a="1"/>
  <c r="AR21" i="28" s="1"/>
  <c r="AR22" i="28" a="1"/>
  <c r="AR22" i="28" s="1"/>
  <c r="AR23" i="28" a="1"/>
  <c r="AR23" i="28" s="1"/>
  <c r="AR24" i="28" a="1"/>
  <c r="AR24" i="28" s="1"/>
  <c r="AR25" i="28" a="1"/>
  <c r="AR25" i="28" s="1"/>
  <c r="AR26" i="28" a="1"/>
  <c r="AR26" i="28" s="1"/>
  <c r="AR27" i="28" a="1"/>
  <c r="AR27" i="28" s="1"/>
  <c r="AR28" i="28" a="1"/>
  <c r="AR28" i="28" s="1"/>
  <c r="AR29" i="28" a="1"/>
  <c r="AR29" i="28" s="1"/>
  <c r="AR30" i="28" a="1"/>
  <c r="AR30" i="28" s="1"/>
  <c r="AR31" i="28" a="1"/>
  <c r="AR31" i="28" s="1"/>
  <c r="AR32" i="28" a="1"/>
  <c r="AR32" i="28" s="1"/>
  <c r="AR33" i="28" a="1"/>
  <c r="AR33" i="28" s="1"/>
  <c r="AR34" i="28" a="1"/>
  <c r="AR34" i="28" s="1"/>
  <c r="AR35" i="28" a="1"/>
  <c r="AR35" i="28" s="1"/>
  <c r="AP28" i="11"/>
  <c r="Z38" i="11"/>
  <c r="L27" i="22"/>
  <c r="AG23" i="11"/>
  <c r="T23" i="25" s="1"/>
  <c r="DM25" i="28"/>
  <c r="Z39" i="11"/>
  <c r="DM109" i="28"/>
  <c r="DM165" i="28"/>
  <c r="DM81" i="28"/>
  <c r="DM137" i="28"/>
  <c r="DM53" i="28"/>
  <c r="DN24" i="28"/>
  <c r="DN108" i="28"/>
  <c r="DN164" i="28"/>
  <c r="DN80" i="28"/>
  <c r="DN136" i="28"/>
  <c r="DN52" i="28"/>
  <c r="DL165" i="28"/>
  <c r="DL53" i="28"/>
  <c r="DL193" i="28"/>
  <c r="DN193" i="28" s="1"/>
  <c r="DL25" i="28"/>
  <c r="DL81" i="28"/>
  <c r="DL109" i="28"/>
  <c r="DL137" i="28"/>
  <c r="DJ144" i="28"/>
  <c r="DI54" i="28"/>
  <c r="DI138" i="28"/>
  <c r="DI82" i="28"/>
  <c r="DI194" i="28"/>
  <c r="DM194" i="28" s="1"/>
  <c r="DI110" i="28"/>
  <c r="DI166" i="28"/>
  <c r="DI26" i="28"/>
  <c r="DO121" i="28"/>
  <c r="DO37" i="28"/>
  <c r="DO93" i="28"/>
  <c r="DO149" i="28"/>
  <c r="DO9" i="28"/>
  <c r="DO65" i="28"/>
  <c r="DO177" i="28"/>
  <c r="K41" i="28"/>
  <c r="DB111" i="28"/>
  <c r="J41" i="28"/>
  <c r="DB83" i="28"/>
  <c r="DC83" i="28" s="1"/>
  <c r="L41" i="28"/>
  <c r="DB139" i="28"/>
  <c r="I41" i="28"/>
  <c r="DB55" i="28"/>
  <c r="DC55" i="28" s="1"/>
  <c r="DB27" i="28"/>
  <c r="DC27" i="28" s="1"/>
  <c r="N41" i="28"/>
  <c r="DB195" i="28"/>
  <c r="DC195" i="28" s="1"/>
  <c r="M41" i="28"/>
  <c r="DB167" i="28"/>
  <c r="DH144" i="28" a="1"/>
  <c r="DH144" i="28" s="1"/>
  <c r="DJ143" i="28"/>
  <c r="DH171" i="28" a="1"/>
  <c r="DH171" i="28" s="1"/>
  <c r="DJ170" i="28"/>
  <c r="DH199" i="28" a="1"/>
  <c r="DH199" i="28" s="1"/>
  <c r="DJ198" i="28"/>
  <c r="DK143" i="28"/>
  <c r="DK198" i="28"/>
  <c r="DK116" i="28"/>
  <c r="DK170" i="28"/>
  <c r="DE200" i="28"/>
  <c r="DG200" i="28" s="1"/>
  <c r="DG172" i="28"/>
  <c r="DE199" i="28"/>
  <c r="DG199" i="28" s="1"/>
  <c r="DG171" i="28"/>
  <c r="DD109" i="28"/>
  <c r="DC109" i="28" s="1"/>
  <c r="AP1" i="28"/>
  <c r="CN1" i="28"/>
  <c r="AS3" i="28"/>
  <c r="K28" i="22"/>
  <c r="I23" i="32" l="1"/>
  <c r="S23" i="32" s="1"/>
  <c r="Z23" i="32" s="1"/>
  <c r="AS5" i="28" a="1"/>
  <c r="AS5" i="28" s="1"/>
  <c r="AS6" i="28" a="1"/>
  <c r="AS6" i="28" s="1"/>
  <c r="AS7" i="28" a="1"/>
  <c r="AS7" i="28" s="1"/>
  <c r="AS8" i="28" a="1"/>
  <c r="AS8" i="28" s="1"/>
  <c r="AS9" i="28" a="1"/>
  <c r="AS9" i="28" s="1"/>
  <c r="AS10" i="28" a="1"/>
  <c r="AS10" i="28" s="1"/>
  <c r="AS11" i="28" a="1"/>
  <c r="AS11" i="28" s="1"/>
  <c r="AS12" i="28" a="1"/>
  <c r="AS12" i="28" s="1"/>
  <c r="AS13" i="28" a="1"/>
  <c r="AS13" i="28" s="1"/>
  <c r="AS14" i="28" a="1"/>
  <c r="AS14" i="28" s="1"/>
  <c r="AS15" i="28" a="1"/>
  <c r="AS15" i="28" s="1"/>
  <c r="AS16" i="28" a="1"/>
  <c r="AS16" i="28" s="1"/>
  <c r="AS17" i="28" a="1"/>
  <c r="AS17" i="28" s="1"/>
  <c r="AS18" i="28" a="1"/>
  <c r="AS18" i="28" s="1"/>
  <c r="AS19" i="28" a="1"/>
  <c r="AS19" i="28" s="1"/>
  <c r="AS20" i="28" a="1"/>
  <c r="AS20" i="28" s="1"/>
  <c r="AS21" i="28" a="1"/>
  <c r="AS21" i="28" s="1"/>
  <c r="AS22" i="28" a="1"/>
  <c r="AS22" i="28" s="1"/>
  <c r="AS23" i="28" a="1"/>
  <c r="AS23" i="28" s="1"/>
  <c r="AS24" i="28" a="1"/>
  <c r="AS24" i="28" s="1"/>
  <c r="AS25" i="28" a="1"/>
  <c r="AS25" i="28" s="1"/>
  <c r="AS26" i="28" a="1"/>
  <c r="AS26" i="28" s="1"/>
  <c r="AS27" i="28" a="1"/>
  <c r="AS27" i="28" s="1"/>
  <c r="AS28" i="28" a="1"/>
  <c r="AS28" i="28" s="1"/>
  <c r="AS29" i="28" a="1"/>
  <c r="AS29" i="28" s="1"/>
  <c r="AS30" i="28" a="1"/>
  <c r="AS30" i="28" s="1"/>
  <c r="AS31" i="28" a="1"/>
  <c r="AS31" i="28" s="1"/>
  <c r="AS32" i="28" a="1"/>
  <c r="AS32" i="28" s="1"/>
  <c r="AS33" i="28" a="1"/>
  <c r="AS33" i="28" s="1"/>
  <c r="AS34" i="28" a="1"/>
  <c r="AS34" i="28" s="1"/>
  <c r="AS35" i="28" a="1"/>
  <c r="AS35" i="28" s="1"/>
  <c r="AG24" i="11"/>
  <c r="U23" i="25" s="1"/>
  <c r="AP29" i="11"/>
  <c r="L28" i="22"/>
  <c r="DM26" i="28"/>
  <c r="DM110" i="28"/>
  <c r="DM138" i="28"/>
  <c r="DM166" i="28"/>
  <c r="DM82" i="28"/>
  <c r="DM54" i="28"/>
  <c r="DN109" i="28"/>
  <c r="DN25" i="28"/>
  <c r="DN165" i="28"/>
  <c r="DN81" i="28"/>
  <c r="DN137" i="28"/>
  <c r="DN53" i="28"/>
  <c r="DL138" i="28"/>
  <c r="DL54" i="28"/>
  <c r="DL82" i="28"/>
  <c r="DL26" i="28"/>
  <c r="DL166" i="28"/>
  <c r="DL110" i="28"/>
  <c r="DL194" i="28"/>
  <c r="DN194" i="28" s="1"/>
  <c r="DJ172" i="28"/>
  <c r="DJ200" i="28"/>
  <c r="DI55" i="28"/>
  <c r="DI167" i="28"/>
  <c r="DI139" i="28"/>
  <c r="DI195" i="28"/>
  <c r="DM195" i="28" s="1"/>
  <c r="DI83" i="28"/>
  <c r="DI111" i="28"/>
  <c r="DI27" i="28"/>
  <c r="DO150" i="28"/>
  <c r="DO178" i="28"/>
  <c r="DO94" i="28"/>
  <c r="DO66" i="28"/>
  <c r="DO38" i="28"/>
  <c r="DO10" i="28"/>
  <c r="DO122" i="28"/>
  <c r="I42" i="28"/>
  <c r="DB56" i="28"/>
  <c r="DC56" i="28" s="1"/>
  <c r="L42" i="28"/>
  <c r="DB140" i="28"/>
  <c r="M42" i="28"/>
  <c r="DB168" i="28"/>
  <c r="J42" i="28"/>
  <c r="DB84" i="28"/>
  <c r="DC84" i="28" s="1"/>
  <c r="N42" i="28"/>
  <c r="DB196" i="28"/>
  <c r="DC196" i="28" s="1"/>
  <c r="DB28" i="28"/>
  <c r="DC28" i="28" s="1"/>
  <c r="K42" i="28"/>
  <c r="DB112" i="28"/>
  <c r="DH172" i="28" a="1"/>
  <c r="DH172" i="28" s="1"/>
  <c r="DJ171" i="28"/>
  <c r="DK199" i="28"/>
  <c r="DK171" i="28"/>
  <c r="DH200" i="28" a="1"/>
  <c r="DH200" i="28" s="1"/>
  <c r="DJ199" i="28"/>
  <c r="DK144" i="28"/>
  <c r="DD110" i="28"/>
  <c r="DC110" i="28" s="1"/>
  <c r="AQ1" i="28"/>
  <c r="CO1" i="28"/>
  <c r="AT3" i="28"/>
  <c r="K29" i="22"/>
  <c r="I24" i="32" l="1"/>
  <c r="S24" i="32" s="1"/>
  <c r="Z24" i="32" s="1"/>
  <c r="AT5" i="28" a="1"/>
  <c r="AT5" i="28" s="1"/>
  <c r="AT6" i="28" a="1"/>
  <c r="AT6" i="28" s="1"/>
  <c r="AT7" i="28" a="1"/>
  <c r="AT7" i="28" s="1"/>
  <c r="AT8" i="28" a="1"/>
  <c r="AT8" i="28" s="1"/>
  <c r="AT9" i="28" a="1"/>
  <c r="AT9" i="28" s="1"/>
  <c r="AT10" i="28" a="1"/>
  <c r="AT10" i="28" s="1"/>
  <c r="AT11" i="28" a="1"/>
  <c r="AT11" i="28" s="1"/>
  <c r="AT12" i="28" a="1"/>
  <c r="AT12" i="28" s="1"/>
  <c r="AT13" i="28" a="1"/>
  <c r="AT13" i="28" s="1"/>
  <c r="AT14" i="28" a="1"/>
  <c r="AT14" i="28" s="1"/>
  <c r="AT15" i="28" a="1"/>
  <c r="AT15" i="28" s="1"/>
  <c r="AT16" i="28" a="1"/>
  <c r="AT16" i="28" s="1"/>
  <c r="AT17" i="28" a="1"/>
  <c r="AT17" i="28" s="1"/>
  <c r="AT18" i="28" a="1"/>
  <c r="AT18" i="28" s="1"/>
  <c r="AT19" i="28" a="1"/>
  <c r="AT19" i="28" s="1"/>
  <c r="AT20" i="28" a="1"/>
  <c r="AT20" i="28" s="1"/>
  <c r="AT21" i="28" a="1"/>
  <c r="AT21" i="28" s="1"/>
  <c r="AT22" i="28" a="1"/>
  <c r="AT22" i="28" s="1"/>
  <c r="AT23" i="28" a="1"/>
  <c r="AT23" i="28" s="1"/>
  <c r="AT24" i="28" a="1"/>
  <c r="AT24" i="28" s="1"/>
  <c r="AT25" i="28" a="1"/>
  <c r="AT25" i="28" s="1"/>
  <c r="AT26" i="28" a="1"/>
  <c r="AT26" i="28" s="1"/>
  <c r="AT27" i="28" a="1"/>
  <c r="AT27" i="28" s="1"/>
  <c r="AT28" i="28" a="1"/>
  <c r="AT28" i="28" s="1"/>
  <c r="AT29" i="28" a="1"/>
  <c r="AT29" i="28" s="1"/>
  <c r="AT30" i="28" a="1"/>
  <c r="AT30" i="28" s="1"/>
  <c r="AT31" i="28" a="1"/>
  <c r="AT31" i="28" s="1"/>
  <c r="AT32" i="28" a="1"/>
  <c r="AT32" i="28" s="1"/>
  <c r="AT33" i="28" a="1"/>
  <c r="AT33" i="28" s="1"/>
  <c r="AT34" i="28" a="1"/>
  <c r="AT34" i="28" s="1"/>
  <c r="AT35" i="28" a="1"/>
  <c r="AT35" i="28" s="1"/>
  <c r="AG25" i="11"/>
  <c r="V23" i="25" s="1"/>
  <c r="AP30" i="11"/>
  <c r="L29" i="22"/>
  <c r="DM27" i="28"/>
  <c r="DM111" i="28"/>
  <c r="DM139" i="28"/>
  <c r="DM167" i="28"/>
  <c r="DM83" i="28"/>
  <c r="DM55" i="28"/>
  <c r="DN26" i="28"/>
  <c r="DN110" i="28"/>
  <c r="DN166" i="28"/>
  <c r="DN82" i="28"/>
  <c r="DN138" i="28"/>
  <c r="DN54" i="28"/>
  <c r="DL55" i="28"/>
  <c r="DL27" i="28"/>
  <c r="DL111" i="28"/>
  <c r="DL167" i="28"/>
  <c r="DL83" i="28"/>
  <c r="DL195" i="28"/>
  <c r="DN195" i="28" s="1"/>
  <c r="DL139" i="28"/>
  <c r="DI84" i="28"/>
  <c r="DI112" i="28"/>
  <c r="DI168" i="28"/>
  <c r="DI140" i="28"/>
  <c r="DI196" i="28"/>
  <c r="DM196" i="28" s="1"/>
  <c r="DI56" i="28"/>
  <c r="DI28" i="28"/>
  <c r="DO67" i="28"/>
  <c r="DO123" i="28"/>
  <c r="DO95" i="28"/>
  <c r="DO11" i="28"/>
  <c r="DO179" i="28"/>
  <c r="DO39" i="28"/>
  <c r="DO151" i="28"/>
  <c r="N43" i="28"/>
  <c r="DB197" i="28"/>
  <c r="DC197" i="28" s="1"/>
  <c r="I43" i="28"/>
  <c r="DB57" i="28"/>
  <c r="DC57" i="28" s="1"/>
  <c r="K43" i="28"/>
  <c r="DB113" i="28"/>
  <c r="J43" i="28"/>
  <c r="DB85" i="28"/>
  <c r="DC85" i="28" s="1"/>
  <c r="L43" i="28"/>
  <c r="DB141" i="28"/>
  <c r="DB29" i="28"/>
  <c r="DC29" i="28" s="1"/>
  <c r="M43" i="28"/>
  <c r="DB169" i="28"/>
  <c r="DK200" i="28"/>
  <c r="DK172" i="28"/>
  <c r="DD111" i="28"/>
  <c r="DC111" i="28" s="1"/>
  <c r="AR1" i="28"/>
  <c r="CP1" i="28"/>
  <c r="AU3" i="28"/>
  <c r="K30" i="22"/>
  <c r="AU5" i="28" l="1" a="1"/>
  <c r="AU5" i="28" s="1"/>
  <c r="AU6" i="28" a="1"/>
  <c r="AU6" i="28" s="1"/>
  <c r="AU7" i="28" a="1"/>
  <c r="AU7" i="28" s="1"/>
  <c r="AU8" i="28" a="1"/>
  <c r="AU8" i="28" s="1"/>
  <c r="AU9" i="28" a="1"/>
  <c r="AU9" i="28" s="1"/>
  <c r="AU10" i="28" a="1"/>
  <c r="AU10" i="28" s="1"/>
  <c r="AU11" i="28" a="1"/>
  <c r="AU11" i="28" s="1"/>
  <c r="AU12" i="28" a="1"/>
  <c r="AU12" i="28" s="1"/>
  <c r="AU13" i="28" a="1"/>
  <c r="AU13" i="28" s="1"/>
  <c r="AU14" i="28" a="1"/>
  <c r="AU14" i="28" s="1"/>
  <c r="AU15" i="28" a="1"/>
  <c r="AU15" i="28" s="1"/>
  <c r="AU16" i="28" a="1"/>
  <c r="AU16" i="28" s="1"/>
  <c r="AU17" i="28" a="1"/>
  <c r="AU17" i="28" s="1"/>
  <c r="AU18" i="28" a="1"/>
  <c r="AU18" i="28" s="1"/>
  <c r="AU19" i="28" a="1"/>
  <c r="AU19" i="28" s="1"/>
  <c r="AU20" i="28" a="1"/>
  <c r="AU20" i="28" s="1"/>
  <c r="AU21" i="28" a="1"/>
  <c r="AU21" i="28" s="1"/>
  <c r="AU22" i="28" a="1"/>
  <c r="AU22" i="28" s="1"/>
  <c r="AU23" i="28" a="1"/>
  <c r="AU23" i="28" s="1"/>
  <c r="AU24" i="28" a="1"/>
  <c r="AU24" i="28" s="1"/>
  <c r="AU25" i="28" a="1"/>
  <c r="AU25" i="28" s="1"/>
  <c r="AU26" i="28" a="1"/>
  <c r="AU26" i="28" s="1"/>
  <c r="AU27" i="28" a="1"/>
  <c r="AU27" i="28" s="1"/>
  <c r="AU28" i="28" a="1"/>
  <c r="AU28" i="28" s="1"/>
  <c r="AU29" i="28" a="1"/>
  <c r="AU29" i="28" s="1"/>
  <c r="AU30" i="28" a="1"/>
  <c r="AU30" i="28" s="1"/>
  <c r="AU31" i="28" a="1"/>
  <c r="AU31" i="28" s="1"/>
  <c r="AU32" i="28" a="1"/>
  <c r="AU32" i="28" s="1"/>
  <c r="AU33" i="28" a="1"/>
  <c r="AU33" i="28" s="1"/>
  <c r="AU34" i="28" a="1"/>
  <c r="AU34" i="28" s="1"/>
  <c r="AU35" i="28" a="1"/>
  <c r="AU35" i="28" s="1"/>
  <c r="AG26" i="11"/>
  <c r="W23" i="25" s="1"/>
  <c r="AP31" i="11"/>
  <c r="L30" i="22"/>
  <c r="DM28" i="28"/>
  <c r="DM112" i="28"/>
  <c r="DM140" i="28"/>
  <c r="DM168" i="28"/>
  <c r="DM84" i="28"/>
  <c r="DM56" i="28"/>
  <c r="DN27" i="28"/>
  <c r="DN111" i="28"/>
  <c r="DN167" i="28"/>
  <c r="DN83" i="28"/>
  <c r="DN139" i="28"/>
  <c r="DN55" i="28"/>
  <c r="DL112" i="28"/>
  <c r="DL168" i="28"/>
  <c r="DL84" i="28"/>
  <c r="DL140" i="28"/>
  <c r="DL28" i="28"/>
  <c r="DL56" i="28"/>
  <c r="DL196" i="28"/>
  <c r="DN196" i="28" s="1"/>
  <c r="DI85" i="28"/>
  <c r="DI169" i="28"/>
  <c r="DI113" i="28"/>
  <c r="DI57" i="28"/>
  <c r="DI141" i="28"/>
  <c r="DI197" i="28"/>
  <c r="DM197" i="28" s="1"/>
  <c r="DI29" i="28"/>
  <c r="DO12" i="28"/>
  <c r="DO152" i="28"/>
  <c r="DO96" i="28"/>
  <c r="DO40" i="28"/>
  <c r="DO124" i="28"/>
  <c r="DO180" i="28"/>
  <c r="DO68" i="28"/>
  <c r="J44" i="28"/>
  <c r="DB86" i="28"/>
  <c r="DC86" i="28" s="1"/>
  <c r="K44" i="28"/>
  <c r="DB114" i="28"/>
  <c r="I44" i="28"/>
  <c r="DB58" i="28"/>
  <c r="DC58" i="28" s="1"/>
  <c r="M44" i="28"/>
  <c r="DB170" i="28"/>
  <c r="L44" i="28"/>
  <c r="DB142" i="28"/>
  <c r="DB30" i="28"/>
  <c r="DC30" i="28" s="1"/>
  <c r="N44" i="28"/>
  <c r="DB198" i="28"/>
  <c r="DC198" i="28" s="1"/>
  <c r="DD112" i="28"/>
  <c r="DC112" i="28" s="1"/>
  <c r="AS1" i="28"/>
  <c r="CQ1" i="28"/>
  <c r="AV3" i="28"/>
  <c r="K31" i="22"/>
  <c r="I26" i="32" l="1"/>
  <c r="S26" i="32" s="1"/>
  <c r="Z26" i="32" s="1"/>
  <c r="I25" i="32"/>
  <c r="S25" i="32" s="1"/>
  <c r="Z25" i="32" s="1"/>
  <c r="AV5" i="28" a="1"/>
  <c r="AV5" i="28" s="1"/>
  <c r="AV6" i="28" a="1"/>
  <c r="AV6" i="28" s="1"/>
  <c r="AV7" i="28" a="1"/>
  <c r="AV7" i="28" s="1"/>
  <c r="AV8" i="28" a="1"/>
  <c r="AV8" i="28" s="1"/>
  <c r="AV9" i="28" a="1"/>
  <c r="AV9" i="28" s="1"/>
  <c r="AV10" i="28" a="1"/>
  <c r="AV10" i="28" s="1"/>
  <c r="AV11" i="28" a="1"/>
  <c r="AV11" i="28" s="1"/>
  <c r="AV12" i="28" a="1"/>
  <c r="AV12" i="28" s="1"/>
  <c r="AV13" i="28" a="1"/>
  <c r="AV13" i="28" s="1"/>
  <c r="AV14" i="28" a="1"/>
  <c r="AV14" i="28" s="1"/>
  <c r="AV15" i="28" a="1"/>
  <c r="AV15" i="28" s="1"/>
  <c r="AV16" i="28" a="1"/>
  <c r="AV16" i="28" s="1"/>
  <c r="AV17" i="28" a="1"/>
  <c r="AV17" i="28" s="1"/>
  <c r="AV18" i="28" a="1"/>
  <c r="AV18" i="28" s="1"/>
  <c r="AV19" i="28" a="1"/>
  <c r="AV19" i="28" s="1"/>
  <c r="AV20" i="28" a="1"/>
  <c r="AV20" i="28" s="1"/>
  <c r="AV21" i="28" a="1"/>
  <c r="AV21" i="28" s="1"/>
  <c r="AV22" i="28" a="1"/>
  <c r="AV22" i="28" s="1"/>
  <c r="AV23" i="28" a="1"/>
  <c r="AV23" i="28" s="1"/>
  <c r="AV24" i="28" a="1"/>
  <c r="AV24" i="28" s="1"/>
  <c r="AV25" i="28" a="1"/>
  <c r="AV25" i="28" s="1"/>
  <c r="AV26" i="28" a="1"/>
  <c r="AV26" i="28" s="1"/>
  <c r="AV27" i="28" a="1"/>
  <c r="AV27" i="28" s="1"/>
  <c r="AV28" i="28" a="1"/>
  <c r="AV28" i="28" s="1"/>
  <c r="AV29" i="28" a="1"/>
  <c r="AV29" i="28" s="1"/>
  <c r="AV30" i="28" a="1"/>
  <c r="AV30" i="28" s="1"/>
  <c r="AV31" i="28" a="1"/>
  <c r="AV31" i="28" s="1"/>
  <c r="AV32" i="28" a="1"/>
  <c r="AV32" i="28" s="1"/>
  <c r="AV33" i="28" a="1"/>
  <c r="AV33" i="28" s="1"/>
  <c r="AV34" i="28" a="1"/>
  <c r="AV34" i="28" s="1"/>
  <c r="AV35" i="28" a="1"/>
  <c r="AV35" i="28" s="1"/>
  <c r="AG27" i="11"/>
  <c r="X23" i="25" s="1"/>
  <c r="AP32" i="11"/>
  <c r="L31" i="22"/>
  <c r="DM29" i="28"/>
  <c r="Z43" i="11"/>
  <c r="DM113" i="28"/>
  <c r="DM169" i="28"/>
  <c r="DM141" i="28"/>
  <c r="DM57" i="28"/>
  <c r="DM85" i="28"/>
  <c r="DN28" i="28"/>
  <c r="DN112" i="28"/>
  <c r="DN168" i="28"/>
  <c r="DN84" i="28"/>
  <c r="DN140" i="28"/>
  <c r="DN56" i="28"/>
  <c r="DL113" i="28"/>
  <c r="DL169" i="28"/>
  <c r="DL85" i="28"/>
  <c r="DL57" i="28"/>
  <c r="DL29" i="28"/>
  <c r="DL197" i="28"/>
  <c r="DN197" i="28" s="1"/>
  <c r="DL141" i="28"/>
  <c r="DI170" i="28"/>
  <c r="DI198" i="28"/>
  <c r="DM198" i="28" s="1"/>
  <c r="DI58" i="28"/>
  <c r="DI114" i="28"/>
  <c r="DI142" i="28"/>
  <c r="DI86" i="28"/>
  <c r="DI30" i="28"/>
  <c r="DO181" i="28"/>
  <c r="DO97" i="28"/>
  <c r="DO69" i="28"/>
  <c r="DO125" i="28"/>
  <c r="DO153" i="28"/>
  <c r="DO41" i="28"/>
  <c r="DO13" i="28"/>
  <c r="L45" i="28"/>
  <c r="DB143" i="28"/>
  <c r="K45" i="28"/>
  <c r="DB115" i="28"/>
  <c r="M45" i="28"/>
  <c r="DB171" i="28"/>
  <c r="N45" i="28"/>
  <c r="DB199" i="28"/>
  <c r="DC199" i="28" s="1"/>
  <c r="I45" i="28"/>
  <c r="DB59" i="28"/>
  <c r="DC59" i="28" s="1"/>
  <c r="DB31" i="28"/>
  <c r="DC31" i="28" s="1"/>
  <c r="J45" i="28"/>
  <c r="DB87" i="28"/>
  <c r="DC87" i="28" s="1"/>
  <c r="DD113" i="28"/>
  <c r="DC113" i="28" s="1"/>
  <c r="AT1" i="28"/>
  <c r="CR1" i="28"/>
  <c r="AW3" i="28"/>
  <c r="K32" i="22"/>
  <c r="K33" i="22" s="1"/>
  <c r="I27" i="32" l="1"/>
  <c r="S27" i="32" s="1"/>
  <c r="Z27" i="32" s="1"/>
  <c r="AW5" i="28" a="1"/>
  <c r="AW5" i="28" s="1"/>
  <c r="AW6" i="28" a="1"/>
  <c r="AW6" i="28" s="1"/>
  <c r="AW7" i="28" a="1"/>
  <c r="AW7" i="28" s="1"/>
  <c r="AW8" i="28" a="1"/>
  <c r="AW8" i="28" s="1"/>
  <c r="AW9" i="28" a="1"/>
  <c r="AW9" i="28" s="1"/>
  <c r="AW10" i="28" a="1"/>
  <c r="AW10" i="28" s="1"/>
  <c r="AW11" i="28" a="1"/>
  <c r="AW11" i="28" s="1"/>
  <c r="AW12" i="28" a="1"/>
  <c r="AW12" i="28" s="1"/>
  <c r="AW13" i="28" a="1"/>
  <c r="AW13" i="28" s="1"/>
  <c r="AW14" i="28" a="1"/>
  <c r="AW14" i="28" s="1"/>
  <c r="AW15" i="28" a="1"/>
  <c r="AW15" i="28" s="1"/>
  <c r="AW16" i="28" a="1"/>
  <c r="AW16" i="28" s="1"/>
  <c r="AW17" i="28" a="1"/>
  <c r="AW17" i="28" s="1"/>
  <c r="AW18" i="28" a="1"/>
  <c r="AW18" i="28" s="1"/>
  <c r="AW19" i="28" a="1"/>
  <c r="AW19" i="28" s="1"/>
  <c r="AW20" i="28" a="1"/>
  <c r="AW20" i="28" s="1"/>
  <c r="AW21" i="28" a="1"/>
  <c r="AW21" i="28" s="1"/>
  <c r="AW22" i="28" a="1"/>
  <c r="AW22" i="28" s="1"/>
  <c r="AW23" i="28" a="1"/>
  <c r="AW23" i="28" s="1"/>
  <c r="AW24" i="28" a="1"/>
  <c r="AW24" i="28" s="1"/>
  <c r="AW25" i="28" a="1"/>
  <c r="AW25" i="28" s="1"/>
  <c r="AW26" i="28" a="1"/>
  <c r="AW26" i="28" s="1"/>
  <c r="AW27" i="28" a="1"/>
  <c r="AW27" i="28" s="1"/>
  <c r="AW28" i="28" a="1"/>
  <c r="AW28" i="28" s="1"/>
  <c r="AW29" i="28" a="1"/>
  <c r="AW29" i="28" s="1"/>
  <c r="AW30" i="28" a="1"/>
  <c r="AW30" i="28" s="1"/>
  <c r="AW31" i="28" a="1"/>
  <c r="AW31" i="28" s="1"/>
  <c r="AW32" i="28" a="1"/>
  <c r="AW32" i="28" s="1"/>
  <c r="AW33" i="28" a="1"/>
  <c r="AW33" i="28" s="1"/>
  <c r="AW34" i="28" a="1"/>
  <c r="AW34" i="28" s="1"/>
  <c r="AW35" i="28" a="1"/>
  <c r="AW35" i="28" s="1"/>
  <c r="AG28" i="11"/>
  <c r="Y23" i="25" s="1"/>
  <c r="AP33" i="11"/>
  <c r="L32" i="22"/>
  <c r="DM30" i="28"/>
  <c r="DM58" i="28"/>
  <c r="DM114" i="28"/>
  <c r="DM170" i="28"/>
  <c r="DM142" i="28"/>
  <c r="DM86" i="28"/>
  <c r="DN113" i="28"/>
  <c r="DN29" i="28"/>
  <c r="DN141" i="28"/>
  <c r="DN169" i="28"/>
  <c r="DN85" i="28"/>
  <c r="DN57" i="28"/>
  <c r="DL198" i="28"/>
  <c r="DN198" i="28" s="1"/>
  <c r="DL170" i="28"/>
  <c r="DL114" i="28"/>
  <c r="DL58" i="28"/>
  <c r="DL30" i="28"/>
  <c r="DL86" i="28"/>
  <c r="DL142" i="28"/>
  <c r="DI199" i="28"/>
  <c r="DM199" i="28" s="1"/>
  <c r="DI171" i="28"/>
  <c r="DI87" i="28"/>
  <c r="DI115" i="28"/>
  <c r="DI59" i="28"/>
  <c r="DI143" i="28"/>
  <c r="DI31" i="28"/>
  <c r="DO42" i="28"/>
  <c r="DO98" i="28"/>
  <c r="DO70" i="28"/>
  <c r="DO154" i="28"/>
  <c r="DO14" i="28"/>
  <c r="DO182" i="28"/>
  <c r="DO126" i="28"/>
  <c r="J46" i="28"/>
  <c r="J47" i="28" s="1"/>
  <c r="J48" i="28" s="1"/>
  <c r="J49" i="28" s="1"/>
  <c r="J50" i="28" s="1"/>
  <c r="J51" i="28" s="1"/>
  <c r="J52" i="28" s="1"/>
  <c r="J53" i="28" s="1"/>
  <c r="J54" i="28" s="1"/>
  <c r="J55" i="28" s="1"/>
  <c r="J56" i="28" s="1"/>
  <c r="J57" i="28" s="1"/>
  <c r="J58" i="28" s="1"/>
  <c r="J59" i="28" s="1"/>
  <c r="J60" i="28" s="1"/>
  <c r="J61" i="28" s="1"/>
  <c r="J62" i="28" s="1"/>
  <c r="J63" i="28" s="1"/>
  <c r="DB88" i="28"/>
  <c r="DC88" i="28" s="1"/>
  <c r="DB32" i="28"/>
  <c r="DC32" i="28" s="1"/>
  <c r="I46" i="28"/>
  <c r="I47" i="28" s="1"/>
  <c r="I48" i="28" s="1"/>
  <c r="I49" i="28" s="1"/>
  <c r="I50" i="28" s="1"/>
  <c r="I51" i="28" s="1"/>
  <c r="I52" i="28" s="1"/>
  <c r="I53" i="28" s="1"/>
  <c r="I54" i="28" s="1"/>
  <c r="I55" i="28" s="1"/>
  <c r="I56" i="28" s="1"/>
  <c r="I57" i="28" s="1"/>
  <c r="I58" i="28" s="1"/>
  <c r="I59" i="28" s="1"/>
  <c r="I60" i="28" s="1"/>
  <c r="I61" i="28" s="1"/>
  <c r="I62" i="28" s="1"/>
  <c r="I63" i="28" s="1"/>
  <c r="DB60" i="28"/>
  <c r="DC60" i="28" s="1"/>
  <c r="N46" i="28"/>
  <c r="N47" i="28" s="1"/>
  <c r="N48" i="28" s="1"/>
  <c r="N49" i="28" s="1"/>
  <c r="N50" i="28" s="1"/>
  <c r="N51" i="28" s="1"/>
  <c r="N52" i="28" s="1"/>
  <c r="N53" i="28" s="1"/>
  <c r="N54" i="28" s="1"/>
  <c r="N55" i="28" s="1"/>
  <c r="N56" i="28" s="1"/>
  <c r="N57" i="28" s="1"/>
  <c r="N58" i="28" s="1"/>
  <c r="N59" i="28" s="1"/>
  <c r="N60" i="28" s="1"/>
  <c r="N61" i="28" s="1"/>
  <c r="N62" i="28" s="1"/>
  <c r="N63" i="28" s="1"/>
  <c r="DB200" i="28"/>
  <c r="DC200" i="28" s="1"/>
  <c r="M46" i="28"/>
  <c r="M47" i="28" s="1"/>
  <c r="M48" i="28" s="1"/>
  <c r="M49" i="28" s="1"/>
  <c r="M50" i="28" s="1"/>
  <c r="M51" i="28" s="1"/>
  <c r="M52" i="28" s="1"/>
  <c r="M53" i="28" s="1"/>
  <c r="M54" i="28" s="1"/>
  <c r="M55" i="28" s="1"/>
  <c r="M56" i="28" s="1"/>
  <c r="M57" i="28" s="1"/>
  <c r="M58" i="28" s="1"/>
  <c r="M59" i="28" s="1"/>
  <c r="M60" i="28" s="1"/>
  <c r="M61" i="28" s="1"/>
  <c r="M62" i="28" s="1"/>
  <c r="M63" i="28" s="1"/>
  <c r="DB172" i="28"/>
  <c r="K46" i="28"/>
  <c r="K47" i="28" s="1"/>
  <c r="K48" i="28" s="1"/>
  <c r="K49" i="28" s="1"/>
  <c r="K50" i="28" s="1"/>
  <c r="K51" i="28" s="1"/>
  <c r="K52" i="28" s="1"/>
  <c r="K53" i="28" s="1"/>
  <c r="K54" i="28" s="1"/>
  <c r="K55" i="28" s="1"/>
  <c r="K56" i="28" s="1"/>
  <c r="K57" i="28" s="1"/>
  <c r="K58" i="28" s="1"/>
  <c r="K59" i="28" s="1"/>
  <c r="K60" i="28" s="1"/>
  <c r="K61" i="28" s="1"/>
  <c r="K62" i="28" s="1"/>
  <c r="K63" i="28" s="1"/>
  <c r="DB116" i="28"/>
  <c r="L46" i="28"/>
  <c r="L47" i="28" s="1"/>
  <c r="L48" i="28" s="1"/>
  <c r="L49" i="28" s="1"/>
  <c r="L50" i="28" s="1"/>
  <c r="L51" i="28" s="1"/>
  <c r="L52" i="28" s="1"/>
  <c r="L53" i="28" s="1"/>
  <c r="L54" i="28" s="1"/>
  <c r="L55" i="28" s="1"/>
  <c r="L56" i="28" s="1"/>
  <c r="L57" i="28" s="1"/>
  <c r="L58" i="28" s="1"/>
  <c r="L59" i="28" s="1"/>
  <c r="L60" i="28" s="1"/>
  <c r="L61" i="28" s="1"/>
  <c r="L62" i="28" s="1"/>
  <c r="L63" i="28" s="1"/>
  <c r="DB144" i="28"/>
  <c r="DD114" i="28"/>
  <c r="DC114" i="28" s="1"/>
  <c r="AU1" i="28"/>
  <c r="CS1" i="28"/>
  <c r="AX3" i="28"/>
  <c r="AY3" i="28" s="1"/>
  <c r="AZ3" i="28" s="1"/>
  <c r="BA3" i="28" s="1"/>
  <c r="I28" i="32" l="1"/>
  <c r="S28" i="32" s="1"/>
  <c r="Z28" i="32" s="1"/>
  <c r="AX5" i="28" a="1"/>
  <c r="AX5" i="28" s="1"/>
  <c r="AX6" i="28" a="1"/>
  <c r="AX6" i="28" s="1"/>
  <c r="AX7" i="28" a="1"/>
  <c r="AX7" i="28" s="1"/>
  <c r="AX8" i="28" a="1"/>
  <c r="AX8" i="28" s="1"/>
  <c r="AX9" i="28" a="1"/>
  <c r="AX9" i="28" s="1"/>
  <c r="AX10" i="28" a="1"/>
  <c r="AX10" i="28" s="1"/>
  <c r="AX11" i="28" a="1"/>
  <c r="AX11" i="28" s="1"/>
  <c r="AX12" i="28" a="1"/>
  <c r="AX12" i="28" s="1"/>
  <c r="AX13" i="28" a="1"/>
  <c r="AX13" i="28" s="1"/>
  <c r="AX14" i="28" a="1"/>
  <c r="AX14" i="28" s="1"/>
  <c r="AX15" i="28" a="1"/>
  <c r="AX15" i="28" s="1"/>
  <c r="AX16" i="28" a="1"/>
  <c r="AX16" i="28" s="1"/>
  <c r="AX17" i="28" a="1"/>
  <c r="AX17" i="28" s="1"/>
  <c r="AX18" i="28" a="1"/>
  <c r="AX18" i="28" s="1"/>
  <c r="AX19" i="28" a="1"/>
  <c r="AX19" i="28" s="1"/>
  <c r="AX20" i="28" a="1"/>
  <c r="AX20" i="28" s="1"/>
  <c r="AX21" i="28" a="1"/>
  <c r="AX21" i="28" s="1"/>
  <c r="AX22" i="28" a="1"/>
  <c r="AX22" i="28" s="1"/>
  <c r="AX23" i="28" a="1"/>
  <c r="AX23" i="28" s="1"/>
  <c r="AX24" i="28" a="1"/>
  <c r="AX24" i="28" s="1"/>
  <c r="AX25" i="28" a="1"/>
  <c r="AX25" i="28" s="1"/>
  <c r="AX26" i="28" a="1"/>
  <c r="AX26" i="28" s="1"/>
  <c r="AX27" i="28" a="1"/>
  <c r="AX27" i="28" s="1"/>
  <c r="AX28" i="28" a="1"/>
  <c r="AX28" i="28" s="1"/>
  <c r="AX29" i="28" a="1"/>
  <c r="AX29" i="28" s="1"/>
  <c r="AX30" i="28" a="1"/>
  <c r="AX30" i="28" s="1"/>
  <c r="AX31" i="28" a="1"/>
  <c r="AX31" i="28" s="1"/>
  <c r="AX32" i="28" a="1"/>
  <c r="AX32" i="28" s="1"/>
  <c r="AX33" i="28" a="1"/>
  <c r="AX33" i="28" s="1"/>
  <c r="AX34" i="28" a="1"/>
  <c r="AX34" i="28" s="1"/>
  <c r="AX35" i="28" a="1"/>
  <c r="AX35" i="28" s="1"/>
  <c r="AG29" i="11"/>
  <c r="Z23" i="25" s="1"/>
  <c r="Z44" i="11"/>
  <c r="L33" i="22"/>
  <c r="DM31" i="28"/>
  <c r="AG30" i="11"/>
  <c r="AA23" i="25" s="1"/>
  <c r="DM59" i="28"/>
  <c r="DM171" i="28"/>
  <c r="DM115" i="28"/>
  <c r="DM143" i="28"/>
  <c r="DM87" i="28"/>
  <c r="DN114" i="28"/>
  <c r="DN30" i="28"/>
  <c r="DN170" i="28"/>
  <c r="DN142" i="28"/>
  <c r="DN86" i="28"/>
  <c r="DN58" i="28"/>
  <c r="DL171" i="28"/>
  <c r="DL199" i="28"/>
  <c r="DN199" i="28" s="1"/>
  <c r="DL115" i="28"/>
  <c r="DL87" i="28"/>
  <c r="DL31" i="28"/>
  <c r="DL143" i="28"/>
  <c r="DL59" i="28"/>
  <c r="DI88" i="28"/>
  <c r="DI200" i="28"/>
  <c r="DM200" i="28" s="1"/>
  <c r="DI172" i="28"/>
  <c r="DI144" i="28"/>
  <c r="DI60" i="28"/>
  <c r="DI116" i="28"/>
  <c r="DI32" i="28"/>
  <c r="DO155" i="28"/>
  <c r="DO71" i="28"/>
  <c r="DO183" i="28"/>
  <c r="DO127" i="28"/>
  <c r="DO99" i="28"/>
  <c r="DO15" i="28"/>
  <c r="DO43" i="28"/>
  <c r="DD115" i="28"/>
  <c r="DC115" i="28" s="1"/>
  <c r="AV1" i="28"/>
  <c r="CT1" i="28"/>
  <c r="I29" i="32" l="1"/>
  <c r="S29" i="32" s="1"/>
  <c r="Z29" i="32" s="1"/>
  <c r="DM32" i="28"/>
  <c r="Z45" i="11"/>
  <c r="AG31" i="11"/>
  <c r="AB23" i="25" s="1"/>
  <c r="DM60" i="28"/>
  <c r="DM172" i="28"/>
  <c r="DM116" i="28"/>
  <c r="DM144" i="28"/>
  <c r="DM88" i="28"/>
  <c r="DN115" i="28"/>
  <c r="DN31" i="28"/>
  <c r="DN171" i="28"/>
  <c r="DN143" i="28"/>
  <c r="DN87" i="28"/>
  <c r="DN59" i="28"/>
  <c r="DL172" i="28"/>
  <c r="DL88" i="28"/>
  <c r="DL144" i="28"/>
  <c r="DL32" i="28"/>
  <c r="DL116" i="28"/>
  <c r="DL200" i="28"/>
  <c r="DN200" i="28" s="1"/>
  <c r="DL60" i="28"/>
  <c r="DO44" i="28"/>
  <c r="DO184" i="28"/>
  <c r="DO128" i="28"/>
  <c r="DO16" i="28"/>
  <c r="DO72" i="28"/>
  <c r="DO100" i="28"/>
  <c r="DO156" i="28"/>
  <c r="DD116" i="28"/>
  <c r="DC116" i="28" s="1"/>
  <c r="AW1" i="28"/>
  <c r="CU1" i="28"/>
  <c r="I30" i="32" l="1"/>
  <c r="S30" i="32" s="1"/>
  <c r="Z30" i="32" s="1"/>
  <c r="Z46" i="11"/>
  <c r="AG32" i="11"/>
  <c r="AC23" i="25" s="1"/>
  <c r="DN32" i="28"/>
  <c r="DN116" i="28"/>
  <c r="DN172" i="28"/>
  <c r="DN144" i="28"/>
  <c r="DN88" i="28"/>
  <c r="DN60" i="28"/>
  <c r="DO17" i="28"/>
  <c r="DO157" i="28"/>
  <c r="DO129" i="28"/>
  <c r="DO101" i="28"/>
  <c r="DO185" i="28"/>
  <c r="DO73" i="28"/>
  <c r="DO45" i="28"/>
  <c r="AX1" i="28"/>
  <c r="CV1" i="28"/>
  <c r="I31" i="32" l="1"/>
  <c r="S31" i="32" s="1"/>
  <c r="Z31" i="32" s="1"/>
  <c r="CW1" i="28"/>
  <c r="AY1" i="28"/>
  <c r="AZ1" i="28" s="1"/>
  <c r="BA1" i="28" s="1"/>
  <c r="Z47" i="11"/>
  <c r="AG33" i="11"/>
  <c r="DO102" i="28"/>
  <c r="DO130" i="28"/>
  <c r="DO46" i="28"/>
  <c r="DO74" i="28"/>
  <c r="DO158" i="28"/>
  <c r="DO186" i="28"/>
  <c r="DO18" i="28"/>
  <c r="DD118" i="28"/>
  <c r="DC118" i="28" s="1"/>
  <c r="AD23" i="25" l="1"/>
  <c r="AE23" i="25" s="1"/>
  <c r="AF23" i="25" s="1"/>
  <c r="AG23" i="25" s="1"/>
  <c r="AH23" i="25" s="1"/>
  <c r="AI23" i="25" s="1"/>
  <c r="AJ23" i="25" s="1"/>
  <c r="AK23" i="25" s="1"/>
  <c r="AL23" i="25" s="1"/>
  <c r="AM23" i="25" s="1"/>
  <c r="AN23" i="25" s="1"/>
  <c r="AO23" i="25" s="1"/>
  <c r="AP23" i="25" s="1"/>
  <c r="AQ23" i="25" s="1"/>
  <c r="AR23" i="25" s="1"/>
  <c r="AS23" i="25" s="1"/>
  <c r="AT23" i="25" s="1"/>
  <c r="AU23" i="25" s="1"/>
  <c r="AV23" i="25" s="1"/>
  <c r="AW23" i="25" s="1"/>
  <c r="AX23" i="25" s="1"/>
  <c r="AY23" i="25" s="1"/>
  <c r="AZ23" i="25" s="1"/>
  <c r="BA23" i="25" s="1"/>
  <c r="BB23" i="25" s="1"/>
  <c r="BC23" i="25" s="1"/>
  <c r="BD23" i="25" s="1"/>
  <c r="BE23" i="25" s="1"/>
  <c r="BF23" i="25" s="1"/>
  <c r="BG23" i="25" s="1"/>
  <c r="BH23" i="25" s="1"/>
  <c r="I32" i="32"/>
  <c r="S32" i="32" s="1"/>
  <c r="Z32" i="32" s="1"/>
  <c r="I33" i="32"/>
  <c r="S33" i="32" s="1"/>
  <c r="Z33" i="32" s="1"/>
  <c r="Z48" i="11"/>
  <c r="DO19" i="28"/>
  <c r="DO47" i="28"/>
  <c r="DO187" i="28"/>
  <c r="DO131" i="28"/>
  <c r="DO75" i="28"/>
  <c r="DO159" i="28"/>
  <c r="DO103" i="28"/>
  <c r="DD119" i="28"/>
  <c r="DC119" i="28" s="1"/>
  <c r="AH43" i="41" l="1"/>
  <c r="J7" i="32"/>
  <c r="J9" i="32"/>
  <c r="J8" i="32"/>
  <c r="Z49" i="11"/>
  <c r="AE7" i="11"/>
  <c r="DO104" i="28"/>
  <c r="DO188" i="28"/>
  <c r="DO160" i="28"/>
  <c r="DO48" i="28"/>
  <c r="DO132" i="28"/>
  <c r="DO76" i="28"/>
  <c r="DO20" i="28"/>
  <c r="DD120" i="28"/>
  <c r="DC120" i="28" s="1"/>
  <c r="Q4" i="11"/>
  <c r="AU5" i="11"/>
  <c r="BR5" i="11" l="1"/>
  <c r="AE42" i="41"/>
  <c r="BI6" i="11"/>
  <c r="AQ8" i="11"/>
  <c r="BI7" i="11"/>
  <c r="T7" i="32"/>
  <c r="AA7" i="32" s="1"/>
  <c r="T8" i="32"/>
  <c r="AA8" i="32" s="1"/>
  <c r="T9" i="32"/>
  <c r="AA9" i="32" s="1"/>
  <c r="BG36" i="32" s="1"/>
  <c r="J6" i="32"/>
  <c r="Z50" i="11"/>
  <c r="G5" i="32"/>
  <c r="AE8" i="11"/>
  <c r="AE6" i="11"/>
  <c r="AE9" i="11"/>
  <c r="DO49" i="28"/>
  <c r="DO21" i="28"/>
  <c r="DO161" i="28"/>
  <c r="DO77" i="28"/>
  <c r="DO189" i="28"/>
  <c r="DO133" i="28"/>
  <c r="DO105" i="28"/>
  <c r="DD121" i="28"/>
  <c r="DC121" i="28" s="1"/>
  <c r="Q29" i="11"/>
  <c r="Q26" i="11"/>
  <c r="Q33" i="11"/>
  <c r="Q11" i="11"/>
  <c r="Q23" i="11"/>
  <c r="Q27" i="11"/>
  <c r="Q25" i="11"/>
  <c r="Q10" i="11"/>
  <c r="Q8" i="11"/>
  <c r="Q32" i="11"/>
  <c r="Q30" i="11"/>
  <c r="Q13" i="11"/>
  <c r="Q21" i="11"/>
  <c r="Q19" i="11"/>
  <c r="Q17" i="11"/>
  <c r="Q20" i="11"/>
  <c r="Q24" i="11"/>
  <c r="Q31" i="11"/>
  <c r="Q12" i="11"/>
  <c r="Q9" i="11"/>
  <c r="Q22" i="11"/>
  <c r="Q14" i="11"/>
  <c r="Q16" i="11"/>
  <c r="Q15" i="11"/>
  <c r="Q28" i="11"/>
  <c r="BI8" i="11" l="1"/>
  <c r="AQ9" i="11"/>
  <c r="AS7" i="11"/>
  <c r="AI7" i="11" s="1"/>
  <c r="AR8" i="11"/>
  <c r="BJ7" i="11"/>
  <c r="AS6" i="11"/>
  <c r="AI6" i="11" s="1"/>
  <c r="BJ6" i="11"/>
  <c r="T6" i="32"/>
  <c r="AA6" i="32" s="1"/>
  <c r="R5" i="32"/>
  <c r="Z51" i="11"/>
  <c r="DO78" i="28"/>
  <c r="DO162" i="28"/>
  <c r="DO134" i="28"/>
  <c r="DO22" i="28"/>
  <c r="DO50" i="28"/>
  <c r="DO106" i="28"/>
  <c r="DO190" i="28"/>
  <c r="DD122" i="28"/>
  <c r="DC122" i="28" s="1"/>
  <c r="Y5" i="32" l="1"/>
  <c r="AS5" i="32" s="1"/>
  <c r="J11" i="32"/>
  <c r="T11" i="32" s="1"/>
  <c r="AA11" i="32" s="1"/>
  <c r="BG38" i="32" s="1"/>
  <c r="AH48" i="41"/>
  <c r="AS8" i="11"/>
  <c r="AR9" i="11"/>
  <c r="BJ8" i="11"/>
  <c r="BI9" i="11"/>
  <c r="AQ10" i="11"/>
  <c r="Z52" i="11"/>
  <c r="DO191" i="28"/>
  <c r="DO135" i="28"/>
  <c r="DO107" i="28"/>
  <c r="DO163" i="28"/>
  <c r="DO51" i="28"/>
  <c r="DO79" i="28"/>
  <c r="DO23" i="28"/>
  <c r="DD123" i="28"/>
  <c r="DC123" i="28" s="1"/>
  <c r="BA5" i="32" l="1"/>
  <c r="AH49" i="41"/>
  <c r="BI10" i="11"/>
  <c r="AQ11" i="11"/>
  <c r="AS9" i="11"/>
  <c r="AR10" i="11"/>
  <c r="AR11" i="11" s="1"/>
  <c r="AR12" i="11" s="1"/>
  <c r="AR13" i="11" s="1"/>
  <c r="AR14" i="11" s="1"/>
  <c r="AR15" i="11" s="1"/>
  <c r="AR16" i="11" s="1"/>
  <c r="AR17" i="11" s="1"/>
  <c r="AR18" i="11" s="1"/>
  <c r="BJ9" i="11"/>
  <c r="AI8" i="11"/>
  <c r="AU8" i="11"/>
  <c r="J12" i="32"/>
  <c r="T12" i="32" s="1"/>
  <c r="AA12" i="32" s="1"/>
  <c r="BG39" i="32" s="1"/>
  <c r="AE12" i="11"/>
  <c r="Z53" i="11"/>
  <c r="DO24" i="28"/>
  <c r="DO80" i="28"/>
  <c r="DO52" i="28"/>
  <c r="DO192" i="28"/>
  <c r="DO164" i="28"/>
  <c r="DO108" i="28"/>
  <c r="DO136" i="28"/>
  <c r="DD124" i="28"/>
  <c r="DC124" i="28" s="1"/>
  <c r="AR19" i="11" l="1"/>
  <c r="AR20" i="11" s="1"/>
  <c r="AR21" i="11" s="1"/>
  <c r="AR22" i="11" s="1"/>
  <c r="AR23" i="11" s="1"/>
  <c r="AR24" i="11" s="1"/>
  <c r="AR25" i="11" s="1"/>
  <c r="AR26" i="11" s="1"/>
  <c r="AR27" i="11" s="1"/>
  <c r="AR28" i="11" s="1"/>
  <c r="AR29" i="11" s="1"/>
  <c r="AR30" i="11" s="1"/>
  <c r="AR31" i="11" s="1"/>
  <c r="AR32" i="11" s="1"/>
  <c r="AR33" i="11" s="1"/>
  <c r="AS18" i="11"/>
  <c r="J13" i="32"/>
  <c r="T13" i="32" s="1"/>
  <c r="AA13" i="32" s="1"/>
  <c r="BG40" i="32" s="1"/>
  <c r="AH50" i="41"/>
  <c r="AE45" i="41"/>
  <c r="AS10" i="11"/>
  <c r="BJ10" i="11"/>
  <c r="AI9" i="11"/>
  <c r="AU9" i="11"/>
  <c r="BI11" i="11"/>
  <c r="AQ12" i="11"/>
  <c r="AQ13" i="11" s="1"/>
  <c r="AQ14" i="11" s="1"/>
  <c r="AQ15" i="11" s="1"/>
  <c r="AQ16" i="11" s="1"/>
  <c r="AQ17" i="11" s="1"/>
  <c r="AQ18" i="11" s="1"/>
  <c r="AQ19" i="11" s="1"/>
  <c r="AQ20" i="11" s="1"/>
  <c r="AQ21" i="11" s="1"/>
  <c r="AQ22" i="11" s="1"/>
  <c r="AQ23" i="11" s="1"/>
  <c r="AQ24" i="11" s="1"/>
  <c r="AQ25" i="11" s="1"/>
  <c r="AQ26" i="11" s="1"/>
  <c r="AQ27" i="11" s="1"/>
  <c r="AQ28" i="11" s="1"/>
  <c r="AQ29" i="11" s="1"/>
  <c r="AQ30" i="11" s="1"/>
  <c r="AQ31" i="11" s="1"/>
  <c r="AQ32" i="11" s="1"/>
  <c r="AQ33" i="11" s="1"/>
  <c r="Z54" i="11"/>
  <c r="DO53" i="28"/>
  <c r="DO193" i="28"/>
  <c r="DO109" i="28"/>
  <c r="DO81" i="28"/>
  <c r="DO165" i="28"/>
  <c r="DO25" i="28"/>
  <c r="DO137" i="28"/>
  <c r="DD125" i="28"/>
  <c r="DC125" i="28" s="1"/>
  <c r="AH52" i="41" l="1"/>
  <c r="J14" i="32"/>
  <c r="T14" i="32" s="1"/>
  <c r="AA14" i="32" s="1"/>
  <c r="BG41" i="32" s="1"/>
  <c r="AH51" i="41"/>
  <c r="AE46" i="41"/>
  <c r="AS11" i="11"/>
  <c r="BJ11" i="11"/>
  <c r="AI10" i="11"/>
  <c r="AU10" i="11"/>
  <c r="BI12" i="11"/>
  <c r="J15" i="32"/>
  <c r="Z55" i="11"/>
  <c r="DO110" i="28"/>
  <c r="DO26" i="28"/>
  <c r="DO194" i="28"/>
  <c r="DO82" i="28"/>
  <c r="DO138" i="28"/>
  <c r="DO166" i="28"/>
  <c r="DO54" i="28"/>
  <c r="DD126" i="28"/>
  <c r="DC126" i="28" s="1"/>
  <c r="AE47" i="41" l="1"/>
  <c r="AS12" i="11"/>
  <c r="BJ12" i="11"/>
  <c r="AI11" i="11"/>
  <c r="AU11" i="11"/>
  <c r="BI13" i="11"/>
  <c r="T15" i="32"/>
  <c r="AA15" i="32" s="1"/>
  <c r="BG42" i="32" s="1"/>
  <c r="J16" i="32"/>
  <c r="Z56" i="11"/>
  <c r="DO195" i="28"/>
  <c r="DO55" i="28"/>
  <c r="DO27" i="28"/>
  <c r="DO83" i="28"/>
  <c r="DO139" i="28"/>
  <c r="DO111" i="28"/>
  <c r="DO167" i="28"/>
  <c r="DD127" i="28"/>
  <c r="DC127" i="28" s="1"/>
  <c r="AE48" i="41" l="1"/>
  <c r="AS13" i="11"/>
  <c r="BJ13" i="11"/>
  <c r="AI12" i="11"/>
  <c r="AU12" i="11"/>
  <c r="BI14" i="11"/>
  <c r="T16" i="32"/>
  <c r="AA16" i="32" s="1"/>
  <c r="BG43" i="32" s="1"/>
  <c r="J17" i="32"/>
  <c r="Z57" i="11"/>
  <c r="DO84" i="28"/>
  <c r="DO28" i="28"/>
  <c r="DO112" i="28"/>
  <c r="DO56" i="28"/>
  <c r="DO140" i="28"/>
  <c r="DO196" i="28"/>
  <c r="DO168" i="28"/>
  <c r="DD128" i="28"/>
  <c r="DC128" i="28" s="1"/>
  <c r="AE49" i="41" l="1"/>
  <c r="G12" i="32"/>
  <c r="R12" i="32" s="1"/>
  <c r="Y12" i="32" s="1"/>
  <c r="AV12" i="11"/>
  <c r="AS14" i="11"/>
  <c r="BJ14" i="11"/>
  <c r="AI13" i="11"/>
  <c r="AU13" i="11"/>
  <c r="BI15" i="11"/>
  <c r="Z59" i="11"/>
  <c r="T17" i="32"/>
  <c r="AA17" i="32" s="1"/>
  <c r="BG44" i="32" s="1"/>
  <c r="J18" i="32"/>
  <c r="Z58" i="11"/>
  <c r="DO57" i="28"/>
  <c r="DO113" i="28"/>
  <c r="DO169" i="28"/>
  <c r="DO197" i="28"/>
  <c r="DO29" i="28"/>
  <c r="DO141" i="28"/>
  <c r="DO85" i="28"/>
  <c r="DD129" i="28"/>
  <c r="DC129" i="28" s="1"/>
  <c r="AS12" i="32" l="1"/>
  <c r="BE39" i="32"/>
  <c r="AH56" i="41"/>
  <c r="AE50" i="41"/>
  <c r="G13" i="32"/>
  <c r="R13" i="32" s="1"/>
  <c r="Y13" i="32" s="1"/>
  <c r="AV13" i="11"/>
  <c r="AS15" i="11"/>
  <c r="BJ15" i="11"/>
  <c r="AI14" i="11"/>
  <c r="AU14" i="11"/>
  <c r="BI16" i="11"/>
  <c r="Z60" i="11"/>
  <c r="T18" i="32"/>
  <c r="AA18" i="32" s="1"/>
  <c r="BG45" i="32" s="1"/>
  <c r="J19" i="32"/>
  <c r="DO198" i="28"/>
  <c r="DO142" i="28"/>
  <c r="DO114" i="28"/>
  <c r="DO86" i="28"/>
  <c r="DO30" i="28"/>
  <c r="DO58" i="28"/>
  <c r="DO170" i="28"/>
  <c r="DD130" i="28"/>
  <c r="DC130" i="28" s="1"/>
  <c r="BA12" i="32" l="1"/>
  <c r="AS13" i="32"/>
  <c r="BE40" i="32"/>
  <c r="AH57" i="41"/>
  <c r="AE51" i="41"/>
  <c r="G14" i="32"/>
  <c r="R14" i="32" s="1"/>
  <c r="Y14" i="32" s="1"/>
  <c r="AS16" i="11"/>
  <c r="BJ16" i="11"/>
  <c r="AI15" i="11"/>
  <c r="AU15" i="11"/>
  <c r="BI17" i="11"/>
  <c r="Z61" i="11"/>
  <c r="T19" i="32"/>
  <c r="AA19" i="32" s="1"/>
  <c r="J20" i="32"/>
  <c r="DO87" i="28"/>
  <c r="DO88" i="28"/>
  <c r="DO59" i="28"/>
  <c r="DO60" i="28"/>
  <c r="DO143" i="28"/>
  <c r="DO144" i="28"/>
  <c r="DO115" i="28"/>
  <c r="DO116" i="28"/>
  <c r="DO31" i="28"/>
  <c r="DO32" i="28"/>
  <c r="DO199" i="28"/>
  <c r="DO200" i="28"/>
  <c r="DO171" i="28"/>
  <c r="DO172" i="28"/>
  <c r="DD131" i="28"/>
  <c r="DC131" i="28" s="1"/>
  <c r="BA13" i="32" l="1"/>
  <c r="AS14" i="32"/>
  <c r="BE41" i="32"/>
  <c r="AH58" i="41"/>
  <c r="AE52" i="41"/>
  <c r="AS17" i="11"/>
  <c r="BJ17" i="11"/>
  <c r="BI18" i="11"/>
  <c r="AI16" i="11"/>
  <c r="AU16" i="11"/>
  <c r="Z62" i="11"/>
  <c r="T20" i="32"/>
  <c r="AA20" i="32" s="1"/>
  <c r="J21" i="32"/>
  <c r="DD132" i="28"/>
  <c r="DC132" i="28" s="1"/>
  <c r="BA14" i="32" l="1"/>
  <c r="AE53" i="41"/>
  <c r="BI19" i="11"/>
  <c r="AU18" i="11"/>
  <c r="BJ18" i="11"/>
  <c r="AI17" i="11"/>
  <c r="AU17" i="11"/>
  <c r="Z64" i="11"/>
  <c r="Z63" i="11"/>
  <c r="T21" i="32"/>
  <c r="AA21" i="32" s="1"/>
  <c r="DD133" i="28"/>
  <c r="DC133" i="28" s="1"/>
  <c r="J22" i="32" l="1"/>
  <c r="T22" i="32" s="1"/>
  <c r="AA22" i="32" s="1"/>
  <c r="AH59" i="41"/>
  <c r="AE54" i="41"/>
  <c r="AS19" i="11"/>
  <c r="BJ19" i="11"/>
  <c r="AI18" i="11"/>
  <c r="BI20" i="11"/>
  <c r="DD134" i="28"/>
  <c r="DC134" i="28" s="1"/>
  <c r="J23" i="32" l="1"/>
  <c r="T23" i="32" s="1"/>
  <c r="AA23" i="32" s="1"/>
  <c r="AH60" i="41"/>
  <c r="AE55" i="41"/>
  <c r="AI19" i="11"/>
  <c r="AU19" i="11"/>
  <c r="AS20" i="11"/>
  <c r="BJ20" i="11"/>
  <c r="BI21" i="11"/>
  <c r="DD135" i="28"/>
  <c r="DC135" i="28" s="1"/>
  <c r="J24" i="32" l="1"/>
  <c r="T24" i="32" s="1"/>
  <c r="AA24" i="32" s="1"/>
  <c r="AH61" i="41"/>
  <c r="AE56" i="41"/>
  <c r="AS21" i="11"/>
  <c r="BJ21" i="11"/>
  <c r="AI20" i="11"/>
  <c r="AU20" i="11"/>
  <c r="BI22" i="11"/>
  <c r="DD136" i="28"/>
  <c r="DC136" i="28" s="1"/>
  <c r="J25" i="32" l="1"/>
  <c r="T25" i="32" s="1"/>
  <c r="AA25" i="32" s="1"/>
  <c r="AH62" i="41"/>
  <c r="AE57" i="41"/>
  <c r="BI23" i="11"/>
  <c r="AS22" i="11"/>
  <c r="BJ22" i="11"/>
  <c r="AI21" i="11"/>
  <c r="AU21" i="11"/>
  <c r="DD137" i="28"/>
  <c r="DC137" i="28" s="1"/>
  <c r="T4" i="16"/>
  <c r="T5" i="16" s="1"/>
  <c r="T6" i="16" s="1"/>
  <c r="T7" i="16" s="1"/>
  <c r="T8" i="16" s="1"/>
  <c r="T9" i="16" s="1"/>
  <c r="T10" i="16" s="1"/>
  <c r="T11" i="16" s="1"/>
  <c r="T12" i="16" s="1"/>
  <c r="T13" i="16" s="1"/>
  <c r="T14" i="16" s="1"/>
  <c r="T15" i="16" s="1"/>
  <c r="T16" i="16" s="1"/>
  <c r="T17" i="16" s="1"/>
  <c r="B8" i="16"/>
  <c r="B12" i="16" s="1"/>
  <c r="B16" i="16" s="1"/>
  <c r="B20" i="16" s="1"/>
  <c r="B24" i="16" s="1"/>
  <c r="B28" i="16" s="1"/>
  <c r="B32" i="16" s="1"/>
  <c r="B36" i="16" s="1"/>
  <c r="B40" i="16" s="1"/>
  <c r="B44" i="16" s="1"/>
  <c r="B48" i="16" s="1"/>
  <c r="B52" i="16" s="1"/>
  <c r="B56" i="16" s="1"/>
  <c r="B5" i="16"/>
  <c r="B6" i="16" s="1"/>
  <c r="B9" i="16" l="1"/>
  <c r="B13" i="16" s="1"/>
  <c r="B17" i="16" s="1"/>
  <c r="B21" i="16" s="1"/>
  <c r="B25" i="16" s="1"/>
  <c r="B29" i="16" s="1"/>
  <c r="B33" i="16" s="1"/>
  <c r="B37" i="16" s="1"/>
  <c r="B41" i="16" s="1"/>
  <c r="B45" i="16" s="1"/>
  <c r="B49" i="16" s="1"/>
  <c r="B53" i="16" s="1"/>
  <c r="B57" i="16" s="1"/>
  <c r="J26" i="32"/>
  <c r="T26" i="32" s="1"/>
  <c r="AA26" i="32" s="1"/>
  <c r="AH63" i="41"/>
  <c r="AE58" i="41"/>
  <c r="AS23" i="11"/>
  <c r="BJ23" i="11"/>
  <c r="AI22" i="11"/>
  <c r="AU22" i="11"/>
  <c r="BI24" i="11"/>
  <c r="DD138" i="28"/>
  <c r="DC138" i="28" s="1"/>
  <c r="B7" i="16"/>
  <c r="B11" i="16" s="1"/>
  <c r="B15" i="16" s="1"/>
  <c r="B19" i="16" s="1"/>
  <c r="B23" i="16" s="1"/>
  <c r="B27" i="16" s="1"/>
  <c r="B31" i="16" s="1"/>
  <c r="B35" i="16" s="1"/>
  <c r="B39" i="16" s="1"/>
  <c r="B43" i="16" s="1"/>
  <c r="B47" i="16" s="1"/>
  <c r="B51" i="16" s="1"/>
  <c r="B55" i="16" s="1"/>
  <c r="B10" i="16"/>
  <c r="B14" i="16" s="1"/>
  <c r="B18" i="16" s="1"/>
  <c r="B22" i="16" s="1"/>
  <c r="B26" i="16" s="1"/>
  <c r="B30" i="16" s="1"/>
  <c r="B34" i="16" s="1"/>
  <c r="B38" i="16" s="1"/>
  <c r="B42" i="16" s="1"/>
  <c r="B46" i="16" s="1"/>
  <c r="B50" i="16" s="1"/>
  <c r="B54" i="16" s="1"/>
  <c r="U4" i="16" l="1" a="1"/>
  <c r="U4" i="16" s="1"/>
  <c r="J27" i="32"/>
  <c r="T27" i="32" s="1"/>
  <c r="AA27" i="32" s="1"/>
  <c r="AH64" i="41"/>
  <c r="AE59" i="41"/>
  <c r="BI25" i="11"/>
  <c r="AS24" i="11"/>
  <c r="BJ24" i="11"/>
  <c r="AI23" i="11"/>
  <c r="AU23" i="11"/>
  <c r="DD139" i="28"/>
  <c r="DC139" i="28" s="1"/>
  <c r="J28" i="32" l="1"/>
  <c r="T28" i="32" s="1"/>
  <c r="AA28" i="32" s="1"/>
  <c r="AH65" i="41"/>
  <c r="AE60" i="41"/>
  <c r="AS25" i="11"/>
  <c r="BJ25" i="11"/>
  <c r="AI24" i="11"/>
  <c r="AU24" i="11"/>
  <c r="BI26" i="11"/>
  <c r="DD140" i="28"/>
  <c r="DC140" i="28" s="1"/>
  <c r="J29" i="32" l="1"/>
  <c r="T29" i="32" s="1"/>
  <c r="AA29" i="32" s="1"/>
  <c r="AH66" i="41"/>
  <c r="AE61" i="41"/>
  <c r="BI27" i="11"/>
  <c r="AS26" i="11"/>
  <c r="BJ26" i="11"/>
  <c r="AI25" i="11"/>
  <c r="AU25" i="11"/>
  <c r="DD141" i="28"/>
  <c r="DC141" i="28" s="1"/>
  <c r="J30" i="32" l="1"/>
  <c r="T30" i="32" s="1"/>
  <c r="AA30" i="32" s="1"/>
  <c r="AH67" i="41"/>
  <c r="AE62" i="41"/>
  <c r="AI26" i="11"/>
  <c r="AU26" i="11"/>
  <c r="AS27" i="11"/>
  <c r="BJ27" i="11"/>
  <c r="BI28" i="11"/>
  <c r="DD142" i="28"/>
  <c r="DC142" i="28" s="1"/>
  <c r="J31" i="32" l="1"/>
  <c r="T31" i="32" s="1"/>
  <c r="AA31" i="32" s="1"/>
  <c r="AH68" i="41"/>
  <c r="AE63" i="41"/>
  <c r="AS28" i="11"/>
  <c r="BJ28" i="11"/>
  <c r="AI27" i="11"/>
  <c r="AU27" i="11"/>
  <c r="BI29" i="11"/>
  <c r="DD143" i="28"/>
  <c r="DC143" i="28" s="1"/>
  <c r="J32" i="32" l="1"/>
  <c r="T32" i="32" s="1"/>
  <c r="AA32" i="32" s="1"/>
  <c r="AH69" i="41"/>
  <c r="AE64" i="41"/>
  <c r="AS29" i="11"/>
  <c r="BJ29" i="11"/>
  <c r="BI30" i="11"/>
  <c r="AI28" i="11"/>
  <c r="AU28" i="11"/>
  <c r="DD144" i="28"/>
  <c r="DC144" i="28" s="1"/>
  <c r="J33" i="32" l="1"/>
  <c r="T33" i="32" s="1"/>
  <c r="AA33" i="32" s="1"/>
  <c r="AH70" i="41"/>
  <c r="AE65" i="41"/>
  <c r="BI31" i="11"/>
  <c r="AS30" i="11"/>
  <c r="BJ30" i="11"/>
  <c r="AI29" i="11"/>
  <c r="AU29" i="11"/>
  <c r="AE66" i="41" l="1"/>
  <c r="AI30" i="11"/>
  <c r="AU30" i="11"/>
  <c r="AS31" i="11"/>
  <c r="BJ31" i="11"/>
  <c r="BI33" i="11"/>
  <c r="BI32" i="11"/>
  <c r="DD146" i="28"/>
  <c r="DC146" i="28" s="1"/>
  <c r="U8" i="16" a="1"/>
  <c r="U8" i="16" s="1"/>
  <c r="X9" i="16" a="1"/>
  <c r="X9" i="16" s="1"/>
  <c r="Y3" i="16"/>
  <c r="V3" i="16"/>
  <c r="W3" i="16"/>
  <c r="U3" i="16"/>
  <c r="AE67" i="41" l="1"/>
  <c r="AI31" i="11"/>
  <c r="AU31" i="11"/>
  <c r="AS32" i="11"/>
  <c r="BJ32" i="11"/>
  <c r="DD147" i="28"/>
  <c r="DC147" i="28" s="1"/>
  <c r="X7" i="16" a="1"/>
  <c r="X7" i="16" s="1"/>
  <c r="X4" i="16" a="1"/>
  <c r="X4" i="16" s="1"/>
  <c r="U17" i="16" a="1"/>
  <c r="U17" i="16" s="1"/>
  <c r="U7" i="16" a="1"/>
  <c r="U7" i="16" s="1"/>
  <c r="V13" i="16" a="1"/>
  <c r="V13" i="16" s="1"/>
  <c r="W7" i="16" a="1"/>
  <c r="W7" i="16" s="1"/>
  <c r="Y14" i="16" a="1"/>
  <c r="Y14" i="16" s="1"/>
  <c r="X17" i="16" a="1"/>
  <c r="X17" i="16" s="1"/>
  <c r="X6" i="16" a="1"/>
  <c r="X6" i="16" s="1"/>
  <c r="U16" i="16" a="1"/>
  <c r="U16" i="16" s="1"/>
  <c r="U6" i="16" a="1"/>
  <c r="U6" i="16" s="1"/>
  <c r="W12" i="16" a="1"/>
  <c r="W12" i="16" s="1"/>
  <c r="V7" i="16" a="1"/>
  <c r="V7" i="16" s="1"/>
  <c r="Y13" i="16" a="1"/>
  <c r="Y13" i="16" s="1"/>
  <c r="X16" i="16" a="1"/>
  <c r="X16" i="16" s="1"/>
  <c r="X5" i="16" a="1"/>
  <c r="X5" i="16" s="1"/>
  <c r="U5" i="16" a="1"/>
  <c r="U5" i="16" s="1"/>
  <c r="V12" i="16" a="1"/>
  <c r="V12" i="16" s="1"/>
  <c r="Y12" i="16" a="1"/>
  <c r="Y12" i="16" s="1"/>
  <c r="X15" i="16" a="1"/>
  <c r="X15" i="16" s="1"/>
  <c r="V8" i="16" a="1"/>
  <c r="V8" i="16" s="1"/>
  <c r="U15" i="16" a="1"/>
  <c r="U15" i="16" s="1"/>
  <c r="W17" i="16" a="1"/>
  <c r="W17" i="16" s="1"/>
  <c r="W11" i="16" a="1"/>
  <c r="W11" i="16" s="1"/>
  <c r="W6" i="16" a="1"/>
  <c r="W6" i="16" s="1"/>
  <c r="Y11" i="16" a="1"/>
  <c r="Y11" i="16" s="1"/>
  <c r="X14" i="16" a="1"/>
  <c r="X14" i="16" s="1"/>
  <c r="Y15" i="16" a="1"/>
  <c r="Y15" i="16" s="1"/>
  <c r="AA3" i="11" s="1"/>
  <c r="AE3" i="11" s="1"/>
  <c r="U14" i="16" a="1"/>
  <c r="U14" i="16" s="1"/>
  <c r="V17" i="16" a="1"/>
  <c r="V17" i="16" s="1"/>
  <c r="V11" i="16" a="1"/>
  <c r="V11" i="16" s="1"/>
  <c r="V6" i="16" a="1"/>
  <c r="V6" i="16" s="1"/>
  <c r="X13" i="16" a="1"/>
  <c r="X13" i="16" s="1"/>
  <c r="U13" i="16" a="1"/>
  <c r="U13" i="16" s="1"/>
  <c r="W16" i="16" a="1"/>
  <c r="W16" i="16" s="1"/>
  <c r="W10" i="16" a="1"/>
  <c r="W10" i="16" s="1"/>
  <c r="W5" i="16" a="1"/>
  <c r="W5" i="16" s="1"/>
  <c r="Y10" i="16" a="1"/>
  <c r="Y10" i="16" s="1"/>
  <c r="X12" i="16" a="1"/>
  <c r="X12" i="16" s="1"/>
  <c r="W13" i="16" a="1"/>
  <c r="W13" i="16" s="1"/>
  <c r="U12" i="16" a="1"/>
  <c r="U12" i="16" s="1"/>
  <c r="V16" i="16" a="1"/>
  <c r="V16" i="16" s="1"/>
  <c r="V10" i="16" a="1"/>
  <c r="V10" i="16" s="1"/>
  <c r="V5" i="16" a="1"/>
  <c r="V5" i="16" s="1"/>
  <c r="Y9" i="16" a="1"/>
  <c r="Y9" i="16" s="1"/>
  <c r="X11" i="16" a="1"/>
  <c r="X11" i="16" s="1"/>
  <c r="U11" i="16" a="1"/>
  <c r="U11" i="16" s="1"/>
  <c r="W15" i="16" a="1"/>
  <c r="W15" i="16" s="1"/>
  <c r="W4" i="16" a="1"/>
  <c r="W4" i="16" s="1"/>
  <c r="Y8" i="16" a="1"/>
  <c r="Y8" i="16" s="1"/>
  <c r="V15" i="16" a="1"/>
  <c r="V15" i="16" s="1"/>
  <c r="W9" i="16" a="1"/>
  <c r="W9" i="16" s="1"/>
  <c r="V4" i="16" a="1"/>
  <c r="V4" i="16" s="1"/>
  <c r="Y7" i="16" a="1"/>
  <c r="Y7" i="16" s="1"/>
  <c r="X10" i="16" a="1"/>
  <c r="X10" i="16" s="1"/>
  <c r="U10" i="16" a="1"/>
  <c r="U10" i="16" s="1"/>
  <c r="W14" i="16" a="1"/>
  <c r="W14" i="16" s="1"/>
  <c r="V9" i="16" a="1"/>
  <c r="V9" i="16" s="1"/>
  <c r="Y4" i="16" a="1"/>
  <c r="Y4" i="16" s="1"/>
  <c r="Y6" i="16" a="1"/>
  <c r="Y6" i="16" s="1"/>
  <c r="Y16" i="16" a="1"/>
  <c r="Y16" i="16" s="1"/>
  <c r="AA4" i="11" s="1"/>
  <c r="U9" i="16" a="1"/>
  <c r="U9" i="16" s="1"/>
  <c r="V14" i="16" a="1"/>
  <c r="V14" i="16" s="1"/>
  <c r="W8" i="16" a="1"/>
  <c r="W8" i="16" s="1"/>
  <c r="Y17" i="16" a="1"/>
  <c r="Y17" i="16" s="1"/>
  <c r="Y5" i="16" a="1"/>
  <c r="Y5" i="16" s="1"/>
  <c r="X8" i="16" a="1"/>
  <c r="X8" i="16" s="1"/>
  <c r="AF3" i="11" l="1"/>
  <c r="AT3" i="11"/>
  <c r="BM3" i="11" s="1"/>
  <c r="Z7" i="16"/>
  <c r="H5" i="32"/>
  <c r="AE68" i="41"/>
  <c r="AS33" i="11"/>
  <c r="BJ33" i="11"/>
  <c r="AI32" i="11"/>
  <c r="AU32" i="11"/>
  <c r="DD148" i="28"/>
  <c r="DC148" i="28" s="1"/>
  <c r="Z12" i="16"/>
  <c r="Z10" i="16"/>
  <c r="Z4" i="16"/>
  <c r="Z5" i="16"/>
  <c r="Z14" i="16"/>
  <c r="Z13" i="16"/>
  <c r="Z15" i="16"/>
  <c r="Z16" i="16"/>
  <c r="Z17" i="16"/>
  <c r="Z6" i="16"/>
  <c r="Z8" i="16"/>
  <c r="Z9" i="16"/>
  <c r="Z11" i="16"/>
  <c r="AE69" i="41" l="1"/>
  <c r="AI33" i="11"/>
  <c r="AU33" i="11"/>
  <c r="DD149" i="28"/>
  <c r="DC149" i="28" s="1"/>
  <c r="AX3" i="11"/>
  <c r="AY3" i="11" l="1"/>
  <c r="AZ3" i="11" s="1"/>
  <c r="AE70" i="41"/>
  <c r="DD150" i="28"/>
  <c r="DC150" i="28" s="1"/>
  <c r="BB3" i="11" l="1"/>
  <c r="BD3" i="11" s="1"/>
  <c r="DD151" i="28"/>
  <c r="DC151" i="28" s="1"/>
  <c r="BC3" i="11" l="1"/>
  <c r="BE3" i="11"/>
  <c r="DD152" i="28"/>
  <c r="DC152" i="28" s="1"/>
  <c r="AE10" i="11"/>
  <c r="DD153" i="28" l="1"/>
  <c r="DC153" i="28" s="1"/>
  <c r="AE11" i="11"/>
  <c r="DD154" i="28" l="1"/>
  <c r="DC154" i="28" s="1"/>
  <c r="DD155" i="28" l="1"/>
  <c r="DC155" i="28" s="1"/>
  <c r="DD156" i="28" l="1"/>
  <c r="DC156" i="28" s="1"/>
  <c r="AE14" i="11"/>
  <c r="DD157" i="28" l="1"/>
  <c r="DC157" i="28" s="1"/>
  <c r="AE15" i="11"/>
  <c r="DD158" i="28" l="1"/>
  <c r="DC158" i="28" s="1"/>
  <c r="AE16" i="11"/>
  <c r="DD159" i="28" l="1"/>
  <c r="DC159" i="28" s="1"/>
  <c r="AE17" i="11"/>
  <c r="DD160" i="28" l="1"/>
  <c r="DC160" i="28" s="1"/>
  <c r="AE18" i="11"/>
  <c r="DD161" i="28" l="1"/>
  <c r="DC161" i="28" s="1"/>
  <c r="AE19" i="11"/>
  <c r="DD162" i="28" l="1"/>
  <c r="DC162" i="28" s="1"/>
  <c r="AE20" i="11"/>
  <c r="DD163" i="28" l="1"/>
  <c r="DC163" i="28" s="1"/>
  <c r="AE21" i="11"/>
  <c r="DD164" i="28" l="1"/>
  <c r="DC164" i="28" s="1"/>
  <c r="AE22" i="11"/>
  <c r="DD165" i="28" l="1"/>
  <c r="DC165" i="28" s="1"/>
  <c r="AE23" i="11"/>
  <c r="DD166" i="28" l="1"/>
  <c r="DC166" i="28" s="1"/>
  <c r="AE24" i="11"/>
  <c r="DD167" i="28" l="1"/>
  <c r="DC167" i="28" s="1"/>
  <c r="AE25" i="11"/>
  <c r="DD168" i="28" l="1"/>
  <c r="DC168" i="28" s="1"/>
  <c r="AE26" i="11"/>
  <c r="DD169" i="28" l="1"/>
  <c r="DC169" i="28" s="1"/>
  <c r="AE27" i="11"/>
  <c r="DD170" i="28" l="1"/>
  <c r="DC170" i="28" s="1"/>
  <c r="AE28" i="11"/>
  <c r="DD171" i="28" l="1"/>
  <c r="DC171" i="28" s="1"/>
  <c r="AE29" i="11"/>
  <c r="DD172" i="28" l="1"/>
  <c r="DC172" i="28" s="1"/>
  <c r="AE30" i="11"/>
  <c r="AE31" i="11" l="1"/>
  <c r="DD174" i="28" l="1"/>
  <c r="AE32" i="11"/>
  <c r="DD175" i="28" l="1"/>
  <c r="AE33" i="11"/>
  <c r="DD176" i="28" l="1"/>
  <c r="DD177" i="28" l="1"/>
  <c r="K4" i="11"/>
  <c r="AK4" i="11" s="1"/>
  <c r="AJ4" i="11" l="1"/>
  <c r="DD178" i="28"/>
  <c r="AU6" i="11" l="1"/>
  <c r="DD179" i="28"/>
  <c r="AE43" i="41" l="1"/>
  <c r="AM4" i="11"/>
  <c r="G6" i="32"/>
  <c r="AU7" i="11"/>
  <c r="DD180" i="28"/>
  <c r="AE44" i="41" l="1"/>
  <c r="R6" i="32"/>
  <c r="Y6" i="32" s="1"/>
  <c r="AS6" i="32" s="1"/>
  <c r="G7" i="32"/>
  <c r="DD181" i="28"/>
  <c r="BA6" i="32" l="1"/>
  <c r="R7" i="32"/>
  <c r="Y7" i="32" s="1"/>
  <c r="AS7" i="32" s="1"/>
  <c r="G8" i="32"/>
  <c r="DD182" i="28"/>
  <c r="BA7" i="32" l="1"/>
  <c r="R8" i="32"/>
  <c r="Y8" i="32" s="1"/>
  <c r="AS8" i="32" s="1"/>
  <c r="AV9" i="11"/>
  <c r="G9" i="32"/>
  <c r="DD183" i="28"/>
  <c r="BA8" i="32" l="1"/>
  <c r="R9" i="32"/>
  <c r="AV10" i="11"/>
  <c r="G10" i="32"/>
  <c r="DD184" i="28"/>
  <c r="Y9" i="32" l="1"/>
  <c r="R10" i="32"/>
  <c r="Y10" i="32" s="1"/>
  <c r="AV11" i="11"/>
  <c r="G11" i="32"/>
  <c r="DD185" i="28"/>
  <c r="AS10" i="32" l="1"/>
  <c r="BE37" i="32"/>
  <c r="AS9" i="32"/>
  <c r="BE36" i="32"/>
  <c r="R11" i="32"/>
  <c r="Y11" i="32" s="1"/>
  <c r="DD186" i="28"/>
  <c r="BA9" i="32" l="1"/>
  <c r="BA10" i="32"/>
  <c r="AS11" i="32"/>
  <c r="BE38" i="32"/>
  <c r="DD187" i="28"/>
  <c r="BA11" i="32" l="1"/>
  <c r="G15" i="32"/>
  <c r="DD188" i="28"/>
  <c r="R15" i="32" l="1"/>
  <c r="Y15" i="32" s="1"/>
  <c r="G16" i="32"/>
  <c r="DD189" i="28"/>
  <c r="AS15" i="32" l="1"/>
  <c r="BE42" i="32"/>
  <c r="R16" i="32"/>
  <c r="Y16" i="32" s="1"/>
  <c r="G17" i="32"/>
  <c r="DD190" i="28"/>
  <c r="BA15" i="32" l="1"/>
  <c r="AS16" i="32"/>
  <c r="BE43" i="32"/>
  <c r="R17" i="32"/>
  <c r="Y17" i="32" s="1"/>
  <c r="G18" i="32"/>
  <c r="DD191" i="28"/>
  <c r="BA16" i="32" l="1"/>
  <c r="AS17" i="32"/>
  <c r="BE44" i="32"/>
  <c r="R18" i="32"/>
  <c r="Y18" i="32" s="1"/>
  <c r="G19" i="32"/>
  <c r="DD192" i="28"/>
  <c r="BA17" i="32" l="1"/>
  <c r="AS18" i="32"/>
  <c r="BE45" i="32"/>
  <c r="R19" i="32"/>
  <c r="Y19" i="32" s="1"/>
  <c r="AS19" i="32" s="1"/>
  <c r="G20" i="32"/>
  <c r="DD193" i="28"/>
  <c r="BA19" i="32" l="1"/>
  <c r="BA18" i="32"/>
  <c r="R20" i="32"/>
  <c r="Y20" i="32" s="1"/>
  <c r="AS20" i="32" s="1"/>
  <c r="G21" i="32"/>
  <c r="DD194" i="28"/>
  <c r="BA20" i="32" l="1"/>
  <c r="R21" i="32"/>
  <c r="Y21" i="32" s="1"/>
  <c r="AS21" i="32" s="1"/>
  <c r="G22" i="32"/>
  <c r="DD195" i="28"/>
  <c r="BA21" i="32" l="1"/>
  <c r="R22" i="32"/>
  <c r="Y22" i="32" s="1"/>
  <c r="AS22" i="32" s="1"/>
  <c r="G23" i="32"/>
  <c r="DD196" i="28"/>
  <c r="BA22" i="32" l="1"/>
  <c r="R23" i="32"/>
  <c r="Y23" i="32" s="1"/>
  <c r="AS23" i="32" s="1"/>
  <c r="G24" i="32"/>
  <c r="DD197" i="28"/>
  <c r="BA23" i="32" l="1"/>
  <c r="R24" i="32"/>
  <c r="Y24" i="32" s="1"/>
  <c r="AS24" i="32" s="1"/>
  <c r="G25" i="32"/>
  <c r="DD198" i="28"/>
  <c r="BA24" i="32" l="1"/>
  <c r="R25" i="32"/>
  <c r="Y25" i="32" s="1"/>
  <c r="AS25" i="32" s="1"/>
  <c r="G26" i="32"/>
  <c r="DD199" i="28"/>
  <c r="BA25" i="32" l="1"/>
  <c r="R26" i="32"/>
  <c r="Y26" i="32" s="1"/>
  <c r="AS26" i="32" s="1"/>
  <c r="G27" i="32"/>
  <c r="DD200" i="28"/>
  <c r="BA26" i="32" l="1"/>
  <c r="R27" i="32"/>
  <c r="Y27" i="32" s="1"/>
  <c r="AS27" i="32" s="1"/>
  <c r="G28" i="32"/>
  <c r="DR10" i="28"/>
  <c r="DR8" i="28"/>
  <c r="BA27" i="32" l="1"/>
  <c r="R28" i="32"/>
  <c r="Y28" i="32" s="1"/>
  <c r="AS28" i="32" s="1"/>
  <c r="G29" i="32"/>
  <c r="BA28" i="32" l="1"/>
  <c r="R29" i="32"/>
  <c r="Y29" i="32" s="1"/>
  <c r="AS29" i="32" s="1"/>
  <c r="G30" i="32"/>
  <c r="BA29" i="32" l="1"/>
  <c r="R30" i="32"/>
  <c r="Y30" i="32" s="1"/>
  <c r="AS30" i="32" s="1"/>
  <c r="G31" i="32"/>
  <c r="BA30" i="32" l="1"/>
  <c r="R31" i="32"/>
  <c r="Y31" i="32" s="1"/>
  <c r="AS31" i="32" s="1"/>
  <c r="G32" i="32"/>
  <c r="BA31" i="32" l="1"/>
  <c r="R32" i="32"/>
  <c r="Y32" i="32" s="1"/>
  <c r="AS32" i="32" s="1"/>
  <c r="G33" i="32"/>
  <c r="BA32" i="32" l="1"/>
  <c r="R33" i="32"/>
  <c r="Y33" i="32" s="1"/>
  <c r="AS33" i="32" s="1"/>
  <c r="BA33" i="32" l="1"/>
  <c r="DW8" i="28" a="1"/>
  <c r="DW8" i="28" s="1"/>
  <c r="DU9" i="28" a="1"/>
  <c r="DU9" i="28" s="1"/>
  <c r="DW10" i="28" a="1"/>
  <c r="DW10" i="28" s="1"/>
  <c r="DU7" i="28" a="1"/>
  <c r="DU7" i="28" s="1"/>
  <c r="DU8" i="28" a="1"/>
  <c r="DU8" i="28" s="1"/>
  <c r="DS11" i="28" a="1"/>
  <c r="DS11" i="28" s="1"/>
  <c r="DU5" i="28" a="1"/>
  <c r="DU5" i="28" s="1"/>
  <c r="DW11" i="28" a="1"/>
  <c r="DW11" i="28" s="1"/>
  <c r="DW6" i="28" a="1"/>
  <c r="DW6" i="28" s="1"/>
  <c r="DS9" i="28" a="1"/>
  <c r="DS9" i="28" s="1"/>
  <c r="DS8" i="28" a="1"/>
  <c r="DS8" i="28" s="1"/>
  <c r="DS5" i="28" a="1"/>
  <c r="DS5" i="28" s="1"/>
  <c r="DS7" i="28" a="1"/>
  <c r="DS7" i="28" s="1"/>
  <c r="DU6" i="28" a="1"/>
  <c r="DU6" i="28" s="1"/>
  <c r="DW5" i="28" a="1"/>
  <c r="DW5" i="28" s="1"/>
  <c r="DU10" i="28" a="1"/>
  <c r="DU10" i="28" s="1"/>
  <c r="DW9" i="28" a="1"/>
  <c r="DW9" i="28" s="1"/>
  <c r="DW7" i="28" a="1"/>
  <c r="DW7" i="28" s="1"/>
  <c r="DS10" i="28" a="1"/>
  <c r="DS10" i="28" s="1"/>
  <c r="DU11" i="28" a="1"/>
  <c r="DU11" i="28" s="1"/>
  <c r="DR9" i="28"/>
  <c r="DR11" i="28"/>
  <c r="DR6" i="28"/>
  <c r="DT9" i="28" l="1" a="1"/>
  <c r="DT9" i="28" s="1"/>
  <c r="DS6" i="28" a="1"/>
  <c r="DS6" i="28" s="1"/>
  <c r="DT5" i="28" a="1"/>
  <c r="DT5" i="28" s="1"/>
  <c r="DT11" i="28" a="1"/>
  <c r="DT11" i="28" s="1"/>
  <c r="DX9" i="28" a="1"/>
  <c r="DX9" i="28" s="1"/>
  <c r="DV5" i="28" a="1"/>
  <c r="DV5" i="28" s="1"/>
  <c r="DX10" i="28" a="1"/>
  <c r="DX10" i="28" s="1"/>
  <c r="DV7" i="28" a="1"/>
  <c r="DV7" i="28" s="1"/>
  <c r="DV8" i="28" a="1"/>
  <c r="DV8" i="28" s="1"/>
  <c r="DV11" i="28" a="1"/>
  <c r="DV11" i="28" s="1"/>
  <c r="DX11" i="28" a="1"/>
  <c r="DX11" i="28" s="1"/>
  <c r="DX6" i="28" l="1" a="1"/>
  <c r="DX6" i="28" s="1"/>
  <c r="DT6" i="28" a="1"/>
  <c r="DT6" i="28" s="1"/>
  <c r="DX8" i="28" a="1"/>
  <c r="DX8" i="28" s="1"/>
  <c r="DV9" i="28" a="1"/>
  <c r="DV9" i="28" s="1"/>
  <c r="DX5" i="28" a="1"/>
  <c r="DX5" i="28" s="1"/>
  <c r="DT10" i="28" a="1"/>
  <c r="DT10" i="28" s="1"/>
  <c r="DV10" i="28" a="1"/>
  <c r="DV10" i="28" s="1"/>
  <c r="DV6" i="28" a="1"/>
  <c r="DV6" i="28" s="1"/>
  <c r="DR7" i="28"/>
  <c r="DR5" i="28"/>
  <c r="DT8" i="28" a="1"/>
  <c r="DT8" i="28" s="1"/>
  <c r="DX7" i="28" a="1"/>
  <c r="DX7" i="28" s="1"/>
  <c r="DT7" i="28" a="1"/>
  <c r="DT7" i="28" s="1"/>
  <c r="BH4" i="28" l="1"/>
  <c r="BI4" i="28" s="1"/>
  <c r="BJ4" i="28" s="1"/>
  <c r="BK4" i="28" s="1"/>
  <c r="BL4" i="28" s="1"/>
  <c r="BM4" i="28" s="1"/>
  <c r="BN4" i="28" s="1"/>
  <c r="BO4" i="28" s="1"/>
  <c r="BP4" i="28" s="1"/>
  <c r="BQ4" i="28" s="1"/>
  <c r="BR4" i="28" s="1"/>
  <c r="BS4" i="28" s="1"/>
  <c r="BT4" i="28" s="1"/>
  <c r="BU4" i="28" s="1"/>
  <c r="BV4" i="28" s="1"/>
  <c r="BW4" i="28" s="1"/>
  <c r="BX4" i="28" s="1"/>
  <c r="BY4" i="28" s="1"/>
  <c r="BZ4" i="28" s="1"/>
  <c r="CA4" i="28" s="1"/>
  <c r="CB4" i="28" s="1"/>
  <c r="CC4" i="28" s="1"/>
  <c r="CD4" i="28" s="1"/>
  <c r="CE4" i="28" s="1"/>
  <c r="CF4" i="28" s="1"/>
  <c r="CG4" i="28" s="1"/>
  <c r="CH4" i="28" s="1"/>
  <c r="CI4" i="28" s="1"/>
  <c r="CJ4" i="28" s="1"/>
  <c r="CK4" i="28" s="1"/>
  <c r="CL4" i="28" s="1"/>
  <c r="CM4" i="28" s="1"/>
  <c r="CN4" i="28" s="1"/>
  <c r="CO4" i="28" s="1"/>
  <c r="CP4" i="28" s="1"/>
  <c r="CQ4" i="28" s="1"/>
  <c r="CR4" i="28" s="1"/>
  <c r="CS4" i="28" s="1"/>
  <c r="CT4" i="28" s="1"/>
  <c r="CU4" i="28" s="1"/>
  <c r="CV4" i="28" s="1"/>
  <c r="CW4" i="28" s="1"/>
  <c r="B7" i="23" l="1"/>
  <c r="B181" i="23" s="1"/>
  <c r="B113" i="23"/>
  <c r="B167" i="23" l="1"/>
  <c r="B146" i="23"/>
  <c r="B175" i="23"/>
  <c r="B160" i="23"/>
  <c r="B164" i="23"/>
  <c r="B182" i="23"/>
  <c r="B172" i="23"/>
  <c r="B145" i="23"/>
  <c r="B171" i="23"/>
  <c r="B149" i="23"/>
  <c r="B133" i="23"/>
  <c r="B143" i="23"/>
  <c r="B169" i="23"/>
  <c r="B166" i="23"/>
  <c r="B189" i="23"/>
  <c r="B183" i="23"/>
  <c r="B187" i="23"/>
  <c r="B190" i="23"/>
  <c r="B165" i="23"/>
  <c r="B176" i="23"/>
  <c r="B184" i="23"/>
  <c r="B138" i="23"/>
  <c r="B152" i="23"/>
  <c r="B151" i="23"/>
  <c r="B139" i="23"/>
  <c r="B174" i="23"/>
  <c r="B168" i="23"/>
  <c r="B136" i="23"/>
  <c r="B162" i="23"/>
  <c r="B140" i="23"/>
  <c r="B158" i="23"/>
  <c r="B161" i="23"/>
  <c r="B177" i="23"/>
  <c r="B170" i="23"/>
  <c r="B132" i="23"/>
  <c r="BK132" i="23" s="1"/>
  <c r="BM10" i="23" s="1"/>
  <c r="Z9" i="22" s="1"/>
  <c r="B150" i="23"/>
  <c r="B155" i="23"/>
  <c r="B185" i="23"/>
  <c r="B180" i="23"/>
  <c r="B163" i="23"/>
  <c r="B159" i="23"/>
  <c r="B147" i="23"/>
  <c r="B137" i="23"/>
  <c r="B157" i="23"/>
  <c r="B154" i="23"/>
  <c r="B188" i="23"/>
  <c r="B186" i="23"/>
  <c r="B135" i="23"/>
  <c r="B144" i="23"/>
  <c r="B179" i="23"/>
  <c r="B142" i="23"/>
  <c r="B178" i="23"/>
  <c r="B173" i="23"/>
  <c r="B156" i="23"/>
  <c r="B134" i="23"/>
  <c r="B141" i="23"/>
  <c r="B148" i="23"/>
  <c r="B153" i="23"/>
  <c r="B95" i="23"/>
  <c r="B80" i="23"/>
  <c r="B105" i="23"/>
  <c r="B128" i="23"/>
  <c r="B72" i="23"/>
  <c r="B103" i="23"/>
  <c r="B121" i="23"/>
  <c r="B93" i="23"/>
  <c r="B82" i="23"/>
  <c r="B90" i="23"/>
  <c r="B120" i="23"/>
  <c r="B111" i="23"/>
  <c r="B87" i="23"/>
  <c r="B114" i="23"/>
  <c r="B73" i="23"/>
  <c r="B112" i="23"/>
  <c r="B78" i="23"/>
  <c r="BK71" i="23"/>
  <c r="BL10" i="23" s="1"/>
  <c r="Z10" i="22" s="1"/>
  <c r="B77" i="23"/>
  <c r="B86" i="23"/>
  <c r="B76" i="23"/>
  <c r="B92" i="23"/>
  <c r="B107" i="23"/>
  <c r="B106" i="23"/>
  <c r="B74" i="23"/>
  <c r="B97" i="23"/>
  <c r="B75" i="23"/>
  <c r="B129" i="23"/>
  <c r="B125" i="23"/>
  <c r="B96" i="23"/>
  <c r="B88" i="23"/>
  <c r="B124" i="23"/>
  <c r="B85" i="23"/>
  <c r="B101" i="23"/>
  <c r="B118" i="23"/>
  <c r="B115" i="23"/>
  <c r="B116" i="23"/>
  <c r="B94" i="23"/>
  <c r="B83" i="23"/>
  <c r="B119" i="23"/>
  <c r="B104" i="23"/>
  <c r="B123" i="23"/>
  <c r="B100" i="23"/>
  <c r="B99" i="23"/>
  <c r="B98" i="23"/>
  <c r="B81" i="23"/>
  <c r="B110" i="23"/>
  <c r="B91" i="23"/>
  <c r="B79" i="23"/>
  <c r="B122" i="23"/>
  <c r="B127" i="23"/>
  <c r="B108" i="23"/>
  <c r="B126" i="23"/>
  <c r="B102" i="23"/>
  <c r="B84" i="23"/>
  <c r="B117" i="23"/>
  <c r="B89" i="23"/>
  <c r="B109" i="23"/>
  <c r="C6" i="23"/>
  <c r="C11" i="23" s="1"/>
  <c r="C7" i="23" l="1"/>
  <c r="C133" i="23" s="1"/>
  <c r="BK133" i="23" s="1"/>
  <c r="BM11" i="23" s="1"/>
  <c r="AA9" i="22" s="1"/>
  <c r="C17" i="23"/>
  <c r="C5" i="23"/>
  <c r="D6" i="23"/>
  <c r="C123" i="23" l="1"/>
  <c r="C73" i="23"/>
  <c r="C72" i="23"/>
  <c r="C146" i="23"/>
  <c r="C159" i="23"/>
  <c r="C187" i="23"/>
  <c r="C184" i="23"/>
  <c r="C178" i="23"/>
  <c r="C134" i="23"/>
  <c r="C137" i="23"/>
  <c r="C48" i="23"/>
  <c r="C43" i="23"/>
  <c r="C63" i="23"/>
  <c r="C46" i="23"/>
  <c r="C49" i="23"/>
  <c r="C59" i="23"/>
  <c r="C12" i="23"/>
  <c r="C18" i="23"/>
  <c r="C38" i="23"/>
  <c r="C44" i="23"/>
  <c r="C24" i="23"/>
  <c r="C25" i="23"/>
  <c r="C53" i="23"/>
  <c r="C78" i="23"/>
  <c r="C90" i="23"/>
  <c r="C75" i="23"/>
  <c r="C101" i="23"/>
  <c r="C98" i="23"/>
  <c r="C85" i="23"/>
  <c r="C120" i="23"/>
  <c r="C23" i="23"/>
  <c r="C27" i="23"/>
  <c r="C66" i="23"/>
  <c r="C42" i="23"/>
  <c r="C56" i="23"/>
  <c r="C26" i="23"/>
  <c r="C32" i="23"/>
  <c r="C19" i="23"/>
  <c r="C21" i="23"/>
  <c r="C65" i="23"/>
  <c r="C37" i="23"/>
  <c r="C58" i="23"/>
  <c r="C30" i="23"/>
  <c r="C35" i="23"/>
  <c r="C41" i="23"/>
  <c r="C22" i="23"/>
  <c r="C45" i="23"/>
  <c r="C31" i="23"/>
  <c r="C14" i="23"/>
  <c r="C34" i="23"/>
  <c r="C50" i="23"/>
  <c r="C47" i="23"/>
  <c r="C55" i="23"/>
  <c r="C51" i="23"/>
  <c r="C68" i="23"/>
  <c r="C36" i="23"/>
  <c r="C54" i="23"/>
  <c r="C40" i="23"/>
  <c r="C67" i="23"/>
  <c r="C16" i="23"/>
  <c r="C57" i="23"/>
  <c r="C39" i="23"/>
  <c r="C52" i="23"/>
  <c r="C13" i="23"/>
  <c r="C61" i="23"/>
  <c r="C60" i="23"/>
  <c r="C64" i="23"/>
  <c r="C28" i="23"/>
  <c r="C33" i="23"/>
  <c r="C29" i="23"/>
  <c r="C62" i="23"/>
  <c r="C20" i="23"/>
  <c r="C15" i="23"/>
  <c r="C115" i="23"/>
  <c r="C88" i="23"/>
  <c r="C97" i="23"/>
  <c r="C127" i="23"/>
  <c r="C80" i="23"/>
  <c r="C124" i="23"/>
  <c r="C83" i="23"/>
  <c r="C79" i="23"/>
  <c r="C161" i="23"/>
  <c r="C157" i="23"/>
  <c r="C4" i="23"/>
  <c r="C89" i="23"/>
  <c r="C92" i="23"/>
  <c r="C104" i="23"/>
  <c r="C126" i="23"/>
  <c r="C116" i="23"/>
  <c r="BK72" i="23"/>
  <c r="BL11" i="23" s="1"/>
  <c r="AA10" i="22" s="1"/>
  <c r="C100" i="23"/>
  <c r="C154" i="23"/>
  <c r="C148" i="23"/>
  <c r="C135" i="23"/>
  <c r="C150" i="23"/>
  <c r="C170" i="23"/>
  <c r="C160" i="23"/>
  <c r="C171" i="23"/>
  <c r="C158" i="23"/>
  <c r="C167" i="23"/>
  <c r="C188" i="23"/>
  <c r="C181" i="23"/>
  <c r="C153" i="23"/>
  <c r="C162" i="23"/>
  <c r="C76" i="23"/>
  <c r="C77" i="23"/>
  <c r="C117" i="23"/>
  <c r="C121" i="23"/>
  <c r="C81" i="23"/>
  <c r="C82" i="23"/>
  <c r="C103" i="23"/>
  <c r="C141" i="23"/>
  <c r="C140" i="23"/>
  <c r="C166" i="23"/>
  <c r="C142" i="23"/>
  <c r="C179" i="23"/>
  <c r="C185" i="23"/>
  <c r="C136" i="23"/>
  <c r="C164" i="23"/>
  <c r="C109" i="23"/>
  <c r="C86" i="23"/>
  <c r="C112" i="23"/>
  <c r="C108" i="23"/>
  <c r="C94" i="23"/>
  <c r="C128" i="23"/>
  <c r="C122" i="23"/>
  <c r="C176" i="23"/>
  <c r="C175" i="23"/>
  <c r="C155" i="23"/>
  <c r="C168" i="23"/>
  <c r="C165" i="23"/>
  <c r="C180" i="23"/>
  <c r="C177" i="23"/>
  <c r="C91" i="23"/>
  <c r="C84" i="23"/>
  <c r="C105" i="23"/>
  <c r="C93" i="23"/>
  <c r="C129" i="23"/>
  <c r="C106" i="23"/>
  <c r="C113" i="23"/>
  <c r="C144" i="23"/>
  <c r="C186" i="23"/>
  <c r="C189" i="23"/>
  <c r="C139" i="23"/>
  <c r="C152" i="23"/>
  <c r="C163" i="23"/>
  <c r="C182" i="23"/>
  <c r="C119" i="23"/>
  <c r="C96" i="23"/>
  <c r="C102" i="23"/>
  <c r="C87" i="23"/>
  <c r="C74" i="23"/>
  <c r="C114" i="23"/>
  <c r="C138" i="23"/>
  <c r="C149" i="23"/>
  <c r="C174" i="23"/>
  <c r="C172" i="23"/>
  <c r="C147" i="23"/>
  <c r="C169" i="23"/>
  <c r="C173" i="23"/>
  <c r="C99" i="23"/>
  <c r="C111" i="23"/>
  <c r="C95" i="23"/>
  <c r="C125" i="23"/>
  <c r="C107" i="23"/>
  <c r="C118" i="23"/>
  <c r="C110" i="23"/>
  <c r="C151" i="23"/>
  <c r="C143" i="23"/>
  <c r="C183" i="23"/>
  <c r="C145" i="23"/>
  <c r="C190" i="23"/>
  <c r="C156" i="23"/>
  <c r="D7" i="23"/>
  <c r="D189" i="23" s="1"/>
  <c r="D5" i="23"/>
  <c r="D84" i="23" s="1"/>
  <c r="D24" i="23"/>
  <c r="D75" i="23" l="1"/>
  <c r="D39" i="23"/>
  <c r="D79" i="23"/>
  <c r="D101" i="23"/>
  <c r="D74" i="23"/>
  <c r="D81" i="23"/>
  <c r="D86" i="23"/>
  <c r="D80" i="23"/>
  <c r="D126" i="23"/>
  <c r="D115" i="23"/>
  <c r="D90" i="23"/>
  <c r="D123" i="23"/>
  <c r="D96" i="23"/>
  <c r="D107" i="23"/>
  <c r="D129" i="23"/>
  <c r="D121" i="23"/>
  <c r="D111" i="23"/>
  <c r="D122" i="23"/>
  <c r="D116" i="23"/>
  <c r="D85" i="23"/>
  <c r="D113" i="23"/>
  <c r="D102" i="23"/>
  <c r="D118" i="23"/>
  <c r="D95" i="23"/>
  <c r="D89" i="23"/>
  <c r="D88" i="23"/>
  <c r="D127" i="23"/>
  <c r="D93" i="23"/>
  <c r="D94" i="23"/>
  <c r="D119" i="23"/>
  <c r="D91" i="23"/>
  <c r="D117" i="23"/>
  <c r="D125" i="23"/>
  <c r="D99" i="23"/>
  <c r="D53" i="23"/>
  <c r="D61" i="23"/>
  <c r="D32" i="23"/>
  <c r="D67" i="23"/>
  <c r="D77" i="23"/>
  <c r="D114" i="23"/>
  <c r="D112" i="23"/>
  <c r="D103" i="23"/>
  <c r="D12" i="23"/>
  <c r="D92" i="23"/>
  <c r="D78" i="23"/>
  <c r="D82" i="23"/>
  <c r="D108" i="23"/>
  <c r="D109" i="23"/>
  <c r="D110" i="23"/>
  <c r="D100" i="23"/>
  <c r="D76" i="23"/>
  <c r="D97" i="23"/>
  <c r="D106" i="23"/>
  <c r="D98" i="23"/>
  <c r="D83" i="23"/>
  <c r="D37" i="23"/>
  <c r="D58" i="23"/>
  <c r="D44" i="23"/>
  <c r="D60" i="23"/>
  <c r="D15" i="23"/>
  <c r="D63" i="23"/>
  <c r="D41" i="23"/>
  <c r="D13" i="23"/>
  <c r="D68" i="23"/>
  <c r="D66" i="23"/>
  <c r="D46" i="23"/>
  <c r="D38" i="23"/>
  <c r="D48" i="23"/>
  <c r="D57" i="23"/>
  <c r="D25" i="23"/>
  <c r="D45" i="23"/>
  <c r="D18" i="23"/>
  <c r="D128" i="23"/>
  <c r="D105" i="23"/>
  <c r="D104" i="23"/>
  <c r="D73" i="23"/>
  <c r="BK73" i="23" s="1"/>
  <c r="BL12" i="23" s="1"/>
  <c r="AB10" i="22" s="1"/>
  <c r="D87" i="23"/>
  <c r="D124" i="23"/>
  <c r="D120" i="23"/>
  <c r="D181" i="23"/>
  <c r="D134" i="23"/>
  <c r="BK134" i="23" s="1"/>
  <c r="BM12" i="23" s="1"/>
  <c r="AB9" i="22" s="1"/>
  <c r="D143" i="23"/>
  <c r="D158" i="23"/>
  <c r="D163" i="23"/>
  <c r="D168" i="23"/>
  <c r="D185" i="23"/>
  <c r="D170" i="23"/>
  <c r="D137" i="23"/>
  <c r="D176" i="23"/>
  <c r="D159" i="23"/>
  <c r="D173" i="23"/>
  <c r="D182" i="23"/>
  <c r="D136" i="23"/>
  <c r="D164" i="23"/>
  <c r="D155" i="23"/>
  <c r="D149" i="23"/>
  <c r="D138" i="23"/>
  <c r="D177" i="23"/>
  <c r="D135" i="23"/>
  <c r="D171" i="23"/>
  <c r="D141" i="23"/>
  <c r="D180" i="23"/>
  <c r="D172" i="23"/>
  <c r="D148" i="23"/>
  <c r="D178" i="23"/>
  <c r="D147" i="23"/>
  <c r="D139" i="23"/>
  <c r="D154" i="23"/>
  <c r="D146" i="23"/>
  <c r="D183" i="23"/>
  <c r="D150" i="23"/>
  <c r="D165" i="23"/>
  <c r="D174" i="23"/>
  <c r="D161" i="23"/>
  <c r="D152" i="23"/>
  <c r="D145" i="23"/>
  <c r="D166" i="23"/>
  <c r="D157" i="23"/>
  <c r="D160" i="23"/>
  <c r="D142" i="23"/>
  <c r="D144" i="23"/>
  <c r="D179" i="23"/>
  <c r="D188" i="23"/>
  <c r="D140" i="23"/>
  <c r="D151" i="23"/>
  <c r="D162" i="23"/>
  <c r="D175" i="23"/>
  <c r="D186" i="23"/>
  <c r="D169" i="23"/>
  <c r="D156" i="23"/>
  <c r="D187" i="23"/>
  <c r="D153" i="23"/>
  <c r="D167" i="23"/>
  <c r="D184" i="23"/>
  <c r="D190" i="23"/>
  <c r="D55" i="23"/>
  <c r="D52" i="23"/>
  <c r="D17" i="23"/>
  <c r="D36" i="23"/>
  <c r="D19" i="23"/>
  <c r="D22" i="23"/>
  <c r="D4" i="23"/>
  <c r="D20" i="23"/>
  <c r="D26" i="23"/>
  <c r="D35" i="23"/>
  <c r="D34" i="23"/>
  <c r="D50" i="23"/>
  <c r="D47" i="23"/>
  <c r="D23" i="23"/>
  <c r="D56" i="23"/>
  <c r="D59" i="23"/>
  <c r="D21" i="23"/>
  <c r="D43" i="23"/>
  <c r="D33" i="23"/>
  <c r="D16" i="23"/>
  <c r="D65" i="23"/>
  <c r="D30" i="23"/>
  <c r="D31" i="23"/>
  <c r="D28" i="23"/>
  <c r="D54" i="23"/>
  <c r="D64" i="23"/>
  <c r="D29" i="23"/>
  <c r="D62" i="23"/>
  <c r="D40" i="23"/>
  <c r="D27" i="23"/>
  <c r="D51" i="23"/>
  <c r="D49" i="23"/>
  <c r="D14" i="23"/>
  <c r="D42" i="23"/>
  <c r="AE4" i="11" l="1"/>
  <c r="AT4" i="11" s="1"/>
  <c r="AH41" i="41"/>
  <c r="AH42" i="41"/>
  <c r="J5" i="32"/>
  <c r="T5" i="32" s="1"/>
  <c r="AA5" i="32" s="1"/>
  <c r="AE5" i="11"/>
  <c r="AF4" i="11" l="1"/>
  <c r="BM4" i="11"/>
  <c r="AF5" i="11" l="1"/>
  <c r="B6" i="23" l="1"/>
  <c r="B10" i="23" s="1"/>
  <c r="B13" i="23" l="1"/>
  <c r="B11" i="23"/>
  <c r="BK11" i="23" s="1"/>
  <c r="D25" i="25"/>
  <c r="E25" i="25" s="1"/>
  <c r="B59" i="23"/>
  <c r="B12" i="23"/>
  <c r="BK12" i="23" s="1"/>
  <c r="AB11" i="22" s="1"/>
  <c r="AB12" i="22" s="1"/>
  <c r="BK10" i="23"/>
  <c r="Z11" i="22" s="1"/>
  <c r="Z12" i="22" s="1"/>
  <c r="B14" i="23"/>
  <c r="B4" i="23"/>
  <c r="B15" i="23"/>
  <c r="B16" i="23"/>
  <c r="B17" i="23"/>
  <c r="B20" i="23"/>
  <c r="B18" i="23"/>
  <c r="B21" i="23"/>
  <c r="B23" i="23"/>
  <c r="B22" i="23"/>
  <c r="B25" i="23"/>
  <c r="B26" i="23"/>
  <c r="B28" i="23"/>
  <c r="B27" i="23"/>
  <c r="B31" i="23"/>
  <c r="B32" i="23"/>
  <c r="B24" i="23"/>
  <c r="B30" i="23"/>
  <c r="B29" i="23"/>
  <c r="B33" i="23"/>
  <c r="B38" i="23"/>
  <c r="B34" i="23"/>
  <c r="B40" i="23"/>
  <c r="B19" i="23"/>
  <c r="B36" i="23"/>
  <c r="B39" i="23"/>
  <c r="B37" i="23"/>
  <c r="B35" i="23"/>
  <c r="B50" i="23"/>
  <c r="B41" i="23"/>
  <c r="B47" i="23"/>
  <c r="B48" i="23"/>
  <c r="B56" i="23"/>
  <c r="B45" i="23"/>
  <c r="B43" i="23"/>
  <c r="B44" i="23"/>
  <c r="B46" i="23"/>
  <c r="B49" i="23"/>
  <c r="B51" i="23"/>
  <c r="B52" i="23"/>
  <c r="B53" i="23"/>
  <c r="B57" i="23"/>
  <c r="B58" i="23"/>
  <c r="B64" i="23"/>
  <c r="B66" i="23"/>
  <c r="B55" i="23"/>
  <c r="B63" i="23"/>
  <c r="B42" i="23"/>
  <c r="B60" i="23"/>
  <c r="B65" i="23"/>
  <c r="B61" i="23"/>
  <c r="B62" i="23"/>
  <c r="B67" i="23"/>
  <c r="B68" i="23"/>
  <c r="B54" i="23"/>
  <c r="BN11" i="23" l="1"/>
  <c r="AA11" i="22"/>
  <c r="AA12" i="22" s="1"/>
  <c r="BN10" i="23"/>
  <c r="BN12" i="23"/>
  <c r="AA15" i="22" l="1"/>
  <c r="F25" i="25"/>
  <c r="C6" i="22"/>
  <c r="AB15" i="22"/>
  <c r="C7" i="22"/>
  <c r="Z15" i="22"/>
  <c r="Z16" i="22"/>
  <c r="AA16" i="22" s="1"/>
  <c r="C5" i="22"/>
  <c r="AB16" i="22" l="1"/>
  <c r="J6" i="22"/>
  <c r="G25" i="25"/>
  <c r="E6" i="23"/>
  <c r="E5" i="23"/>
  <c r="E34" i="25"/>
  <c r="E43" i="25"/>
  <c r="B6" i="32"/>
  <c r="G6" i="22"/>
  <c r="I6" i="22" s="1"/>
  <c r="J5" i="22"/>
  <c r="B5" i="32"/>
  <c r="G5" i="22"/>
  <c r="AK5" i="11" s="1"/>
  <c r="Z19" i="22"/>
  <c r="AA19" i="22" s="1"/>
  <c r="B7" i="32"/>
  <c r="J7" i="22"/>
  <c r="G7" i="22"/>
  <c r="AB19" i="22" l="1"/>
  <c r="AQ7" i="32"/>
  <c r="AQ6" i="32"/>
  <c r="AQ5" i="32"/>
  <c r="E106" i="23"/>
  <c r="E82" i="23"/>
  <c r="E100" i="23"/>
  <c r="E102" i="23"/>
  <c r="E94" i="23"/>
  <c r="E98" i="23"/>
  <c r="E129" i="23"/>
  <c r="E83" i="23"/>
  <c r="E86" i="23"/>
  <c r="E113" i="23"/>
  <c r="E116" i="23"/>
  <c r="E114" i="23"/>
  <c r="E105" i="23"/>
  <c r="E115" i="23"/>
  <c r="E75" i="23"/>
  <c r="E81" i="23"/>
  <c r="E117" i="23"/>
  <c r="E90" i="23"/>
  <c r="E120" i="23"/>
  <c r="E85" i="23"/>
  <c r="E124" i="23"/>
  <c r="E127" i="23"/>
  <c r="E126" i="23"/>
  <c r="E125" i="23"/>
  <c r="E104" i="23"/>
  <c r="E99" i="23"/>
  <c r="E118" i="23"/>
  <c r="E128" i="23"/>
  <c r="E80" i="23"/>
  <c r="E78" i="23"/>
  <c r="E111" i="23"/>
  <c r="E119" i="23"/>
  <c r="E103" i="23"/>
  <c r="E109" i="23"/>
  <c r="E123" i="23"/>
  <c r="E79" i="23"/>
  <c r="E107" i="23"/>
  <c r="E93" i="23"/>
  <c r="E92" i="23"/>
  <c r="E121" i="23"/>
  <c r="E88" i="23"/>
  <c r="E91" i="23"/>
  <c r="E76" i="23"/>
  <c r="E97" i="23"/>
  <c r="E101" i="23"/>
  <c r="E84" i="23"/>
  <c r="E95" i="23"/>
  <c r="E122" i="23"/>
  <c r="E96" i="23"/>
  <c r="E74" i="23"/>
  <c r="BK74" i="23" s="1"/>
  <c r="BL13" i="23" s="1"/>
  <c r="AC10" i="22" s="1"/>
  <c r="E112" i="23"/>
  <c r="E89" i="23"/>
  <c r="E108" i="23"/>
  <c r="E77" i="23"/>
  <c r="E110" i="23"/>
  <c r="E87" i="23"/>
  <c r="E47" i="23"/>
  <c r="E32" i="23"/>
  <c r="E26" i="23"/>
  <c r="E35" i="23"/>
  <c r="E25" i="23"/>
  <c r="E28" i="23"/>
  <c r="E59" i="23"/>
  <c r="E22" i="23"/>
  <c r="E62" i="23"/>
  <c r="E58" i="23"/>
  <c r="E36" i="23"/>
  <c r="E15" i="23"/>
  <c r="E61" i="23"/>
  <c r="E54" i="23"/>
  <c r="E50" i="23"/>
  <c r="E53" i="23"/>
  <c r="E66" i="23"/>
  <c r="E38" i="23"/>
  <c r="E67" i="23"/>
  <c r="E21" i="23"/>
  <c r="E56" i="23"/>
  <c r="E16" i="23"/>
  <c r="E41" i="23"/>
  <c r="E14" i="23"/>
  <c r="E39" i="23"/>
  <c r="E48" i="23"/>
  <c r="E30" i="23"/>
  <c r="E42" i="23"/>
  <c r="E34" i="23"/>
  <c r="E63" i="23"/>
  <c r="E55" i="23"/>
  <c r="E40" i="23"/>
  <c r="E45" i="23"/>
  <c r="E18" i="23"/>
  <c r="E65" i="23"/>
  <c r="E44" i="23"/>
  <c r="E24" i="23"/>
  <c r="E49" i="23"/>
  <c r="E13" i="23"/>
  <c r="BK13" i="23" s="1"/>
  <c r="AC11" i="22" s="1"/>
  <c r="E43" i="23"/>
  <c r="E46" i="23"/>
  <c r="E17" i="23"/>
  <c r="E33" i="23"/>
  <c r="E31" i="23"/>
  <c r="E20" i="23"/>
  <c r="E23" i="23"/>
  <c r="E68" i="23"/>
  <c r="E64" i="23"/>
  <c r="E51" i="23"/>
  <c r="E57" i="23"/>
  <c r="E29" i="23"/>
  <c r="E52" i="23"/>
  <c r="E60" i="23"/>
  <c r="E27" i="23"/>
  <c r="E37" i="23"/>
  <c r="E19" i="23"/>
  <c r="AK6" i="11"/>
  <c r="AJ6" i="11"/>
  <c r="H25" i="25"/>
  <c r="I5" i="22"/>
  <c r="AJ5" i="11"/>
  <c r="I7" i="22"/>
  <c r="AJ7" i="11"/>
  <c r="AK7" i="11"/>
  <c r="L6" i="32" l="1"/>
  <c r="V6" i="32" s="1"/>
  <c r="AY5" i="32"/>
  <c r="AK5" i="32"/>
  <c r="AY6" i="32"/>
  <c r="AK6" i="32"/>
  <c r="AY7" i="32"/>
  <c r="AK7" i="32"/>
  <c r="AL6" i="11"/>
  <c r="AM6" i="11"/>
  <c r="I25" i="25"/>
  <c r="L5" i="32"/>
  <c r="V5" i="32" s="1"/>
  <c r="AL5" i="11"/>
  <c r="AM5" i="11"/>
  <c r="AT5" i="11"/>
  <c r="AV7" i="11"/>
  <c r="AM7" i="11"/>
  <c r="AL7" i="11"/>
  <c r="L7" i="32"/>
  <c r="V7" i="32" s="1"/>
  <c r="BM5" i="11" l="1"/>
  <c r="AC6" i="32"/>
  <c r="AC7" i="32"/>
  <c r="AC5" i="32"/>
  <c r="AF43" i="41"/>
  <c r="BR6" i="11"/>
  <c r="BR7" i="11"/>
  <c r="AF44" i="41"/>
  <c r="J25" i="25"/>
  <c r="AX5" i="11"/>
  <c r="K25" i="25" l="1"/>
  <c r="L25" i="25" l="1"/>
  <c r="M25" i="25" l="1"/>
  <c r="N25" i="25" l="1"/>
  <c r="O25" i="25" l="1"/>
  <c r="P25" i="25" l="1"/>
  <c r="Q25" i="25" l="1"/>
  <c r="R25" i="25" l="1"/>
  <c r="S25" i="25" l="1"/>
  <c r="T25" i="25" l="1"/>
  <c r="U25" i="25" l="1"/>
  <c r="V25" i="25" l="1"/>
  <c r="W25" i="25" s="1"/>
  <c r="X25" i="25" l="1"/>
  <c r="Y25" i="25" l="1"/>
  <c r="Z25" i="25" l="1"/>
  <c r="AA25" i="25" l="1"/>
  <c r="AB25" i="25" l="1"/>
  <c r="AC25" i="25" l="1"/>
  <c r="AD25" i="25" l="1"/>
  <c r="R27" i="25" s="1"/>
  <c r="B27" i="25" l="1"/>
  <c r="C27" i="25"/>
  <c r="S27" i="25"/>
  <c r="S17" i="25" s="1"/>
  <c r="AI27" i="25"/>
  <c r="AY27" i="25"/>
  <c r="F27" i="25"/>
  <c r="F17" i="25" s="1"/>
  <c r="BB27" i="25"/>
  <c r="BD27" i="25"/>
  <c r="Y27" i="25"/>
  <c r="Y17" i="25" s="1"/>
  <c r="Z27" i="25"/>
  <c r="Z17" i="25" s="1"/>
  <c r="AA27" i="25"/>
  <c r="AA17" i="25" s="1"/>
  <c r="AB27" i="25"/>
  <c r="AB17" i="25" s="1"/>
  <c r="AS27" i="25"/>
  <c r="AE27" i="25"/>
  <c r="AG27" i="25"/>
  <c r="AX27" i="25"/>
  <c r="D27" i="25"/>
  <c r="T27" i="25"/>
  <c r="T17" i="25" s="1"/>
  <c r="AJ27" i="25"/>
  <c r="AZ27" i="25"/>
  <c r="V27" i="25"/>
  <c r="V17" i="25" s="1"/>
  <c r="AL27" i="25"/>
  <c r="AN27" i="25"/>
  <c r="I27" i="25"/>
  <c r="I17" i="25" s="1"/>
  <c r="AO27" i="25"/>
  <c r="J27" i="25"/>
  <c r="J17" i="25" s="1"/>
  <c r="AQ27" i="25"/>
  <c r="BH27" i="25"/>
  <c r="AC27" i="25"/>
  <c r="AC17" i="25" s="1"/>
  <c r="AT27" i="25"/>
  <c r="AV27" i="25"/>
  <c r="AH27" i="25"/>
  <c r="E27" i="25"/>
  <c r="U27" i="25"/>
  <c r="U17" i="25" s="1"/>
  <c r="AK27" i="25"/>
  <c r="BA27" i="25"/>
  <c r="H27" i="25"/>
  <c r="H17" i="25" s="1"/>
  <c r="BE27" i="25"/>
  <c r="AP27" i="25"/>
  <c r="K27" i="25"/>
  <c r="K17" i="25" s="1"/>
  <c r="L27" i="25"/>
  <c r="L17" i="25" s="1"/>
  <c r="M27" i="25"/>
  <c r="M17" i="25" s="1"/>
  <c r="AD27" i="25"/>
  <c r="AD17" i="25" s="1"/>
  <c r="AU27" i="25"/>
  <c r="AF27" i="25"/>
  <c r="Q27" i="25"/>
  <c r="Q17" i="25" s="1"/>
  <c r="R17" i="25"/>
  <c r="G27" i="25"/>
  <c r="G17" i="25" s="1"/>
  <c r="W27" i="25"/>
  <c r="W17" i="25" s="1"/>
  <c r="AM27" i="25"/>
  <c r="BC27" i="25"/>
  <c r="BF27" i="25"/>
  <c r="BG27" i="25"/>
  <c r="AR27" i="25"/>
  <c r="N27" i="25"/>
  <c r="N17" i="25" s="1"/>
  <c r="P27" i="25"/>
  <c r="P17" i="25" s="1"/>
  <c r="AW27" i="25"/>
  <c r="X27" i="25"/>
  <c r="X17" i="25" s="1"/>
  <c r="O27" i="25"/>
  <c r="O17" i="25" s="1"/>
  <c r="AE25" i="25"/>
  <c r="AE17" i="25" l="1"/>
  <c r="AB42" i="41" a="1"/>
  <c r="AB42" i="41" s="1"/>
  <c r="AB71" i="41" s="1"/>
  <c r="F34" i="25"/>
  <c r="J18" i="25"/>
  <c r="J20" i="25"/>
  <c r="J19" i="25"/>
  <c r="G19" i="25"/>
  <c r="G20" i="25"/>
  <c r="G18" i="25"/>
  <c r="I20" i="25"/>
  <c r="I18" i="25"/>
  <c r="I19" i="25"/>
  <c r="H18" i="25"/>
  <c r="H19" i="25"/>
  <c r="H20" i="25"/>
  <c r="F19" i="25"/>
  <c r="F20" i="25"/>
  <c r="E7" i="23" s="1"/>
  <c r="F18" i="25"/>
  <c r="AF25" i="25"/>
  <c r="AF17" i="25" s="1"/>
  <c r="E180" i="23" l="1"/>
  <c r="E144" i="23"/>
  <c r="E157" i="23"/>
  <c r="E187" i="23"/>
  <c r="E184" i="23"/>
  <c r="E146" i="23"/>
  <c r="E175" i="23"/>
  <c r="E177" i="23"/>
  <c r="E174" i="23"/>
  <c r="E156" i="23"/>
  <c r="E189" i="23"/>
  <c r="E4" i="23"/>
  <c r="E151" i="23"/>
  <c r="E179" i="23"/>
  <c r="E139" i="23"/>
  <c r="E169" i="23"/>
  <c r="E158" i="23"/>
  <c r="E164" i="23"/>
  <c r="E141" i="23"/>
  <c r="E170" i="23"/>
  <c r="E185" i="23"/>
  <c r="E138" i="23"/>
  <c r="E183" i="23"/>
  <c r="E150" i="23"/>
  <c r="E168" i="23"/>
  <c r="E147" i="23"/>
  <c r="E182" i="23"/>
  <c r="E181" i="23"/>
  <c r="E152" i="23"/>
  <c r="E159" i="23"/>
  <c r="E155" i="23"/>
  <c r="E190" i="23"/>
  <c r="E172" i="23"/>
  <c r="E176" i="23"/>
  <c r="E178" i="23"/>
  <c r="E162" i="23"/>
  <c r="E153" i="23"/>
  <c r="E173" i="23"/>
  <c r="E142" i="23"/>
  <c r="E136" i="23"/>
  <c r="E135" i="23"/>
  <c r="BK135" i="23" s="1"/>
  <c r="BM13" i="23" s="1"/>
  <c r="AC9" i="22" s="1"/>
  <c r="AC12" i="22" s="1"/>
  <c r="E161" i="23"/>
  <c r="E167" i="23"/>
  <c r="E149" i="23"/>
  <c r="E163" i="23"/>
  <c r="E137" i="23"/>
  <c r="E188" i="23"/>
  <c r="E140" i="23"/>
  <c r="E160" i="23"/>
  <c r="E166" i="23"/>
  <c r="E186" i="23"/>
  <c r="E148" i="23"/>
  <c r="E143" i="23"/>
  <c r="E154" i="23"/>
  <c r="E145" i="23"/>
  <c r="E171" i="23"/>
  <c r="E165" i="23"/>
  <c r="G40" i="25"/>
  <c r="F40" i="25"/>
  <c r="AG25" i="25"/>
  <c r="AG17" i="25" s="1"/>
  <c r="BN13" i="23" l="1"/>
  <c r="AH25" i="25"/>
  <c r="AH17" i="25" s="1"/>
  <c r="AC16" i="22" l="1"/>
  <c r="C8" i="22"/>
  <c r="AC15" i="22"/>
  <c r="AI25" i="25"/>
  <c r="AI17" i="25" s="1"/>
  <c r="AC19" i="22" l="1"/>
  <c r="G8" i="22"/>
  <c r="B8" i="32"/>
  <c r="AQ8" i="32" s="1"/>
  <c r="J8" i="22"/>
  <c r="AJ25" i="25"/>
  <c r="AJ17" i="25" s="1"/>
  <c r="AY8" i="32" l="1"/>
  <c r="AK8" i="32"/>
  <c r="AM4" i="32" s="1"/>
  <c r="AO4" i="32" s="1"/>
  <c r="AJ8" i="11"/>
  <c r="AK8" i="11"/>
  <c r="I8" i="22"/>
  <c r="AK25" i="25"/>
  <c r="AK17" i="25" s="1"/>
  <c r="AV8" i="11" l="1"/>
  <c r="AL8" i="11"/>
  <c r="AM8" i="11"/>
  <c r="L8" i="32"/>
  <c r="V8" i="32" s="1"/>
  <c r="AL25" i="25"/>
  <c r="AL17" i="25" s="1"/>
  <c r="AC8" i="32" l="1"/>
  <c r="BR8" i="11"/>
  <c r="BS8" i="11" s="1"/>
  <c r="AF45" i="41"/>
  <c r="BX8" i="11"/>
  <c r="AM25" i="25"/>
  <c r="AM17" i="25" s="1"/>
  <c r="AN25" i="25" l="1"/>
  <c r="AN17" i="25" s="1"/>
  <c r="AO25" i="25" l="1"/>
  <c r="AO17" i="25" s="1"/>
  <c r="AP25" i="25" l="1"/>
  <c r="AP17" i="25" s="1"/>
  <c r="AQ25" i="25" l="1"/>
  <c r="AQ17" i="25" s="1"/>
  <c r="AR25" i="25" l="1"/>
  <c r="AR17" i="25" s="1"/>
  <c r="AS25" i="25" l="1"/>
  <c r="AS17" i="25" s="1"/>
  <c r="AT25" i="25" l="1"/>
  <c r="AT17" i="25" s="1"/>
  <c r="AU25" i="25" l="1"/>
  <c r="AU17" i="25" s="1"/>
  <c r="AV25" i="25" l="1"/>
  <c r="AV17" i="25" s="1"/>
  <c r="AW25" i="25" l="1"/>
  <c r="AW17" i="25" s="1"/>
  <c r="AX25" i="25" l="1"/>
  <c r="AX17" i="25" s="1"/>
  <c r="AY25" i="25" l="1"/>
  <c r="AY17" i="25" s="1"/>
  <c r="AZ25" i="25" l="1"/>
  <c r="AZ17" i="25" s="1"/>
  <c r="BA25" i="25" l="1"/>
  <c r="BA17" i="25" s="1"/>
  <c r="BB25" i="25" l="1"/>
  <c r="BB17" i="25" s="1"/>
  <c r="BC25" i="25" l="1"/>
  <c r="BC17" i="25" s="1"/>
  <c r="BD25" i="25" l="1"/>
  <c r="BD17" i="25" s="1"/>
  <c r="BE25" i="25" l="1"/>
  <c r="BE17" i="25" s="1"/>
  <c r="BF25" i="25" l="1"/>
  <c r="BF17" i="25" s="1"/>
  <c r="BG25" i="25" l="1"/>
  <c r="BG17" i="25" s="1"/>
  <c r="BH25" i="25" l="1"/>
  <c r="BH17" i="25" l="1"/>
  <c r="BI4" i="11"/>
  <c r="BJ4" i="11"/>
  <c r="AS4" i="11" l="1"/>
  <c r="AU4" i="11" s="1"/>
  <c r="AE41" i="41" s="1"/>
  <c r="AX4" i="11" l="1"/>
  <c r="AE13" i="11" l="1"/>
  <c r="F5" i="23" l="1"/>
  <c r="F6" i="23"/>
  <c r="F7" i="23" l="1"/>
  <c r="F168" i="23" s="1"/>
  <c r="F52" i="23"/>
  <c r="F57" i="23"/>
  <c r="F58" i="23"/>
  <c r="F63" i="23"/>
  <c r="F59" i="23"/>
  <c r="F68" i="23"/>
  <c r="F60" i="23"/>
  <c r="F54" i="23"/>
  <c r="F67" i="23"/>
  <c r="F51" i="23"/>
  <c r="F55" i="23"/>
  <c r="F64" i="23"/>
  <c r="F65" i="23"/>
  <c r="F126" i="23"/>
  <c r="F124" i="23"/>
  <c r="F118" i="23"/>
  <c r="F127" i="23"/>
  <c r="F76" i="23"/>
  <c r="F75" i="23"/>
  <c r="BK75" i="23" s="1"/>
  <c r="BL14" i="23" s="1"/>
  <c r="AD10" i="22" s="1"/>
  <c r="F77" i="23"/>
  <c r="F78" i="23"/>
  <c r="F80" i="23"/>
  <c r="F81" i="23"/>
  <c r="F79" i="23"/>
  <c r="F83" i="23"/>
  <c r="F85" i="23"/>
  <c r="F82" i="23"/>
  <c r="F84" i="23"/>
  <c r="F89" i="23"/>
  <c r="F86" i="23"/>
  <c r="F87" i="23"/>
  <c r="F93" i="23"/>
  <c r="F90" i="23"/>
  <c r="F88" i="23"/>
  <c r="F92" i="23"/>
  <c r="F91" i="23"/>
  <c r="F100" i="23"/>
  <c r="F101" i="23"/>
  <c r="F95" i="23"/>
  <c r="F96" i="23"/>
  <c r="F97" i="23"/>
  <c r="F102" i="23"/>
  <c r="F104" i="23"/>
  <c r="F105" i="23"/>
  <c r="F108" i="23"/>
  <c r="F111" i="23"/>
  <c r="F103" i="23"/>
  <c r="F107" i="23"/>
  <c r="F106" i="23"/>
  <c r="F98" i="23"/>
  <c r="F99" i="23"/>
  <c r="F109" i="23"/>
  <c r="F113" i="23"/>
  <c r="F120" i="23"/>
  <c r="F129" i="23"/>
  <c r="F94" i="23"/>
  <c r="F119" i="23"/>
  <c r="F122" i="23"/>
  <c r="F123" i="23"/>
  <c r="F114" i="23"/>
  <c r="F125" i="23"/>
  <c r="F110" i="23"/>
  <c r="F128" i="23"/>
  <c r="F112" i="23"/>
  <c r="F116" i="23"/>
  <c r="F115" i="23"/>
  <c r="F117" i="23"/>
  <c r="F121" i="23"/>
  <c r="G6" i="23"/>
  <c r="G5" i="23"/>
  <c r="G34" i="25"/>
  <c r="F47" i="23"/>
  <c r="F15" i="23"/>
  <c r="F17" i="23"/>
  <c r="F14" i="23"/>
  <c r="BK14" i="23" s="1"/>
  <c r="AD11" i="22" s="1"/>
  <c r="F16" i="23"/>
  <c r="F18" i="23"/>
  <c r="F19" i="23"/>
  <c r="F21" i="23"/>
  <c r="F20" i="23"/>
  <c r="F22" i="23"/>
  <c r="F23" i="23"/>
  <c r="F25" i="23"/>
  <c r="F24" i="23"/>
  <c r="F30" i="23"/>
  <c r="F26" i="23"/>
  <c r="F27" i="23"/>
  <c r="F28" i="23"/>
  <c r="F29" i="23"/>
  <c r="F31" i="23"/>
  <c r="F34" i="23"/>
  <c r="F33" i="23"/>
  <c r="F35" i="23"/>
  <c r="F46" i="23"/>
  <c r="F48" i="23"/>
  <c r="F50" i="23"/>
  <c r="F40" i="23"/>
  <c r="F41" i="23"/>
  <c r="F32" i="23"/>
  <c r="F42" i="23"/>
  <c r="F49" i="23"/>
  <c r="F37" i="23"/>
  <c r="F39" i="23"/>
  <c r="F43" i="23"/>
  <c r="F45" i="23"/>
  <c r="F36" i="23"/>
  <c r="F38" i="23"/>
  <c r="F44" i="23"/>
  <c r="F66" i="23"/>
  <c r="F62" i="23"/>
  <c r="F56" i="23"/>
  <c r="F53" i="23"/>
  <c r="F61" i="23"/>
  <c r="F148" i="23" l="1"/>
  <c r="F176" i="23"/>
  <c r="F155" i="23"/>
  <c r="F170" i="23"/>
  <c r="F175" i="23"/>
  <c r="F183" i="23"/>
  <c r="F4" i="23"/>
  <c r="F182" i="23"/>
  <c r="F143" i="23"/>
  <c r="F156" i="23"/>
  <c r="F145" i="23"/>
  <c r="F179" i="23"/>
  <c r="F166" i="23"/>
  <c r="F144" i="23"/>
  <c r="F151" i="23"/>
  <c r="F172" i="23"/>
  <c r="F160" i="23"/>
  <c r="F178" i="23"/>
  <c r="F189" i="23"/>
  <c r="F154" i="23"/>
  <c r="F159" i="23"/>
  <c r="F140" i="23"/>
  <c r="F136" i="23"/>
  <c r="BK136" i="23" s="1"/>
  <c r="BM14" i="23" s="1"/>
  <c r="AD9" i="22" s="1"/>
  <c r="AD12" i="22" s="1"/>
  <c r="F188" i="23"/>
  <c r="F184" i="23"/>
  <c r="F153" i="23"/>
  <c r="F177" i="23"/>
  <c r="F137" i="23"/>
  <c r="F152" i="23"/>
  <c r="F185" i="23"/>
  <c r="F181" i="23"/>
  <c r="F158" i="23"/>
  <c r="F157" i="23"/>
  <c r="F138" i="23"/>
  <c r="F149" i="23"/>
  <c r="F180" i="23"/>
  <c r="F173" i="23"/>
  <c r="F190" i="23"/>
  <c r="F147" i="23"/>
  <c r="F174" i="23"/>
  <c r="F150" i="23"/>
  <c r="F187" i="23"/>
  <c r="F169" i="23"/>
  <c r="F141" i="23"/>
  <c r="F139" i="23"/>
  <c r="F146" i="23"/>
  <c r="F142" i="23"/>
  <c r="F186" i="23"/>
  <c r="F171" i="23"/>
  <c r="F164" i="23"/>
  <c r="F165" i="23"/>
  <c r="F167" i="23"/>
  <c r="F163" i="23"/>
  <c r="F161" i="23"/>
  <c r="F162" i="23"/>
  <c r="G7" i="23"/>
  <c r="G117" i="23"/>
  <c r="G115" i="23"/>
  <c r="G93" i="23"/>
  <c r="G96" i="23"/>
  <c r="G123" i="23"/>
  <c r="G113" i="23"/>
  <c r="G80" i="23"/>
  <c r="G106" i="23"/>
  <c r="G126" i="23"/>
  <c r="G87" i="23"/>
  <c r="G110" i="23"/>
  <c r="G78" i="23"/>
  <c r="G102" i="23"/>
  <c r="G79" i="23"/>
  <c r="G109" i="23"/>
  <c r="G100" i="23"/>
  <c r="G129" i="23"/>
  <c r="G111" i="23"/>
  <c r="G124" i="23"/>
  <c r="G104" i="23"/>
  <c r="G91" i="23"/>
  <c r="G89" i="23"/>
  <c r="G99" i="23"/>
  <c r="G116" i="23"/>
  <c r="G94" i="23"/>
  <c r="G83" i="23"/>
  <c r="G125" i="23"/>
  <c r="G81" i="23"/>
  <c r="G122" i="23"/>
  <c r="G77" i="23"/>
  <c r="G82" i="23"/>
  <c r="G112" i="23"/>
  <c r="G121" i="23"/>
  <c r="G128" i="23"/>
  <c r="G108" i="23"/>
  <c r="G103" i="23"/>
  <c r="G76" i="23"/>
  <c r="BK76" i="23" s="1"/>
  <c r="BL15" i="23" s="1"/>
  <c r="AE10" i="22" s="1"/>
  <c r="G86" i="23"/>
  <c r="G107" i="23"/>
  <c r="G127" i="23"/>
  <c r="G118" i="23"/>
  <c r="G98" i="23"/>
  <c r="G105" i="23"/>
  <c r="G92" i="23"/>
  <c r="G88" i="23"/>
  <c r="G85" i="23"/>
  <c r="G84" i="23"/>
  <c r="G101" i="23"/>
  <c r="G120" i="23"/>
  <c r="G114" i="23"/>
  <c r="G97" i="23"/>
  <c r="G95" i="23"/>
  <c r="G90" i="23"/>
  <c r="G119" i="23"/>
  <c r="H34" i="25"/>
  <c r="H6" i="23"/>
  <c r="H5" i="23"/>
  <c r="G44" i="23"/>
  <c r="G31" i="23"/>
  <c r="G23" i="23"/>
  <c r="G38" i="23"/>
  <c r="G46" i="23"/>
  <c r="G54" i="23"/>
  <c r="G34" i="23"/>
  <c r="G17" i="23"/>
  <c r="G32" i="23"/>
  <c r="G24" i="23"/>
  <c r="G35" i="23"/>
  <c r="G56" i="23"/>
  <c r="G21" i="23"/>
  <c r="G60" i="23"/>
  <c r="G65" i="23"/>
  <c r="G28" i="23"/>
  <c r="G62" i="23"/>
  <c r="G29" i="23"/>
  <c r="G42" i="23"/>
  <c r="G40" i="23"/>
  <c r="G63" i="23"/>
  <c r="G26" i="23"/>
  <c r="G36" i="23"/>
  <c r="G53" i="23"/>
  <c r="G15" i="23"/>
  <c r="BK15" i="23" s="1"/>
  <c r="AE11" i="22" s="1"/>
  <c r="G51" i="23"/>
  <c r="G16" i="23"/>
  <c r="G47" i="23"/>
  <c r="G64" i="23"/>
  <c r="G27" i="23"/>
  <c r="G41" i="23"/>
  <c r="G68" i="23"/>
  <c r="G55" i="23"/>
  <c r="G61" i="23"/>
  <c r="G19" i="23"/>
  <c r="G30" i="23"/>
  <c r="G37" i="23"/>
  <c r="G20" i="23"/>
  <c r="G49" i="23"/>
  <c r="G67" i="23"/>
  <c r="G18" i="23"/>
  <c r="G22" i="23"/>
  <c r="G25" i="23"/>
  <c r="G58" i="23"/>
  <c r="G50" i="23"/>
  <c r="G52" i="23"/>
  <c r="G33" i="23"/>
  <c r="G57" i="23"/>
  <c r="G39" i="23"/>
  <c r="G48" i="23"/>
  <c r="G59" i="23"/>
  <c r="G45" i="23"/>
  <c r="G43" i="23"/>
  <c r="G66" i="23"/>
  <c r="BN14" i="23" l="1"/>
  <c r="H77" i="23"/>
  <c r="BK77" i="23" s="1"/>
  <c r="BL16" i="23" s="1"/>
  <c r="AF10" i="22" s="1"/>
  <c r="H111" i="23"/>
  <c r="H109" i="23"/>
  <c r="H102" i="23"/>
  <c r="H83" i="23"/>
  <c r="H124" i="23"/>
  <c r="H103" i="23"/>
  <c r="H110" i="23"/>
  <c r="H106" i="23"/>
  <c r="H122" i="23"/>
  <c r="H82" i="23"/>
  <c r="H101" i="23"/>
  <c r="H120" i="23"/>
  <c r="H114" i="23"/>
  <c r="H125" i="23"/>
  <c r="H89" i="23"/>
  <c r="H113" i="23"/>
  <c r="H126" i="23"/>
  <c r="H90" i="23"/>
  <c r="H121" i="23"/>
  <c r="H84" i="23"/>
  <c r="H107" i="23"/>
  <c r="H86" i="23"/>
  <c r="H112" i="23"/>
  <c r="H88" i="23"/>
  <c r="H128" i="23"/>
  <c r="H95" i="23"/>
  <c r="H119" i="23"/>
  <c r="H129" i="23"/>
  <c r="H85" i="23"/>
  <c r="H118" i="23"/>
  <c r="H94" i="23"/>
  <c r="H99" i="23"/>
  <c r="H78" i="23"/>
  <c r="H127" i="23"/>
  <c r="H98" i="23"/>
  <c r="H105" i="23"/>
  <c r="H91" i="23"/>
  <c r="H80" i="23"/>
  <c r="H93" i="23"/>
  <c r="H108" i="23"/>
  <c r="H104" i="23"/>
  <c r="H87" i="23"/>
  <c r="H100" i="23"/>
  <c r="H92" i="23"/>
  <c r="H96" i="23"/>
  <c r="H97" i="23"/>
  <c r="H116" i="23"/>
  <c r="H117" i="23"/>
  <c r="H123" i="23"/>
  <c r="H81" i="23"/>
  <c r="H79" i="23"/>
  <c r="H115" i="23"/>
  <c r="H64" i="23"/>
  <c r="H32" i="23"/>
  <c r="H51" i="23"/>
  <c r="H62" i="23"/>
  <c r="H57" i="23"/>
  <c r="H20" i="23"/>
  <c r="H59" i="23"/>
  <c r="H23" i="23"/>
  <c r="H30" i="23"/>
  <c r="H31" i="23"/>
  <c r="H18" i="23"/>
  <c r="H43" i="23"/>
  <c r="H25" i="23"/>
  <c r="H36" i="23"/>
  <c r="H50" i="23"/>
  <c r="H17" i="23"/>
  <c r="H34" i="23"/>
  <c r="H28" i="23"/>
  <c r="H19" i="23"/>
  <c r="H58" i="23"/>
  <c r="H26" i="23"/>
  <c r="H55" i="23"/>
  <c r="H63" i="23"/>
  <c r="H48" i="23"/>
  <c r="H24" i="23"/>
  <c r="H56" i="23"/>
  <c r="H52" i="23"/>
  <c r="H60" i="23"/>
  <c r="H21" i="23"/>
  <c r="H67" i="23"/>
  <c r="H46" i="23"/>
  <c r="H39" i="23"/>
  <c r="H45" i="23"/>
  <c r="H42" i="23"/>
  <c r="H47" i="23"/>
  <c r="H35" i="23"/>
  <c r="H68" i="23"/>
  <c r="H41" i="23"/>
  <c r="H44" i="23"/>
  <c r="H66" i="23"/>
  <c r="H37" i="23"/>
  <c r="H22" i="23"/>
  <c r="H61" i="23"/>
  <c r="H40" i="23"/>
  <c r="H27" i="23"/>
  <c r="H49" i="23"/>
  <c r="H38" i="23"/>
  <c r="H54" i="23"/>
  <c r="H53" i="23"/>
  <c r="H29" i="23"/>
  <c r="H65" i="23"/>
  <c r="H33" i="23"/>
  <c r="H16" i="23"/>
  <c r="BK16" i="23" s="1"/>
  <c r="AF11" i="22" s="1"/>
  <c r="G185" i="23"/>
  <c r="G145" i="23"/>
  <c r="G161" i="23"/>
  <c r="G157" i="23"/>
  <c r="G156" i="23"/>
  <c r="G141" i="23"/>
  <c r="G165" i="23"/>
  <c r="G164" i="23"/>
  <c r="G158" i="23"/>
  <c r="G155" i="23"/>
  <c r="G187" i="23"/>
  <c r="G170" i="23"/>
  <c r="G163" i="23"/>
  <c r="G166" i="23"/>
  <c r="G160" i="23"/>
  <c r="G181" i="23"/>
  <c r="G140" i="23"/>
  <c r="G153" i="23"/>
  <c r="G171" i="23"/>
  <c r="G186" i="23"/>
  <c r="G179" i="23"/>
  <c r="G168" i="23"/>
  <c r="G177" i="23"/>
  <c r="G159" i="23"/>
  <c r="G172" i="23"/>
  <c r="G147" i="23"/>
  <c r="G148" i="23"/>
  <c r="G146" i="23"/>
  <c r="G184" i="23"/>
  <c r="G183" i="23"/>
  <c r="G174" i="23"/>
  <c r="G150" i="23"/>
  <c r="G152" i="23"/>
  <c r="G142" i="23"/>
  <c r="G176" i="23"/>
  <c r="G137" i="23"/>
  <c r="BK137" i="23" s="1"/>
  <c r="BM15" i="23" s="1"/>
  <c r="AE9" i="22" s="1"/>
  <c r="AE12" i="22" s="1"/>
  <c r="G188" i="23"/>
  <c r="G139" i="23"/>
  <c r="G167" i="23"/>
  <c r="G149" i="23"/>
  <c r="G154" i="23"/>
  <c r="G173" i="23"/>
  <c r="G175" i="23"/>
  <c r="G169" i="23"/>
  <c r="G182" i="23"/>
  <c r="G144" i="23"/>
  <c r="G190" i="23"/>
  <c r="G178" i="23"/>
  <c r="G143" i="23"/>
  <c r="G151" i="23"/>
  <c r="G189" i="23"/>
  <c r="G162" i="23"/>
  <c r="G180" i="23"/>
  <c r="G138" i="23"/>
  <c r="I34" i="25"/>
  <c r="I6" i="23"/>
  <c r="I5" i="23"/>
  <c r="G4" i="23"/>
  <c r="H40" i="25"/>
  <c r="H7" i="23"/>
  <c r="H4" i="23" s="1"/>
  <c r="AE15" i="22" l="1"/>
  <c r="C9" i="22"/>
  <c r="AD15" i="22"/>
  <c r="AD16" i="22"/>
  <c r="I42" i="23"/>
  <c r="I65" i="23"/>
  <c r="I36" i="23"/>
  <c r="I44" i="23"/>
  <c r="I40" i="23"/>
  <c r="I62" i="23"/>
  <c r="I37" i="23"/>
  <c r="I22" i="23"/>
  <c r="I39" i="23"/>
  <c r="I41" i="23"/>
  <c r="I33" i="23"/>
  <c r="I51" i="23"/>
  <c r="I19" i="23"/>
  <c r="I25" i="23"/>
  <c r="I34" i="23"/>
  <c r="I55" i="23"/>
  <c r="I60" i="23"/>
  <c r="I57" i="23"/>
  <c r="I46" i="23"/>
  <c r="I53" i="23"/>
  <c r="I56" i="23"/>
  <c r="I64" i="23"/>
  <c r="I35" i="23"/>
  <c r="I43" i="23"/>
  <c r="I58" i="23"/>
  <c r="I47" i="23"/>
  <c r="I21" i="23"/>
  <c r="I68" i="23"/>
  <c r="I45" i="23"/>
  <c r="I59" i="23"/>
  <c r="I28" i="23"/>
  <c r="I17" i="23"/>
  <c r="BK17" i="23" s="1"/>
  <c r="AG11" i="22" s="1"/>
  <c r="I61" i="23"/>
  <c r="I26" i="23"/>
  <c r="I18" i="23"/>
  <c r="I30" i="23"/>
  <c r="I29" i="23"/>
  <c r="I24" i="23"/>
  <c r="I67" i="23"/>
  <c r="I66" i="23"/>
  <c r="I48" i="23"/>
  <c r="I27" i="23"/>
  <c r="I49" i="23"/>
  <c r="I38" i="23"/>
  <c r="I54" i="23"/>
  <c r="I63" i="23"/>
  <c r="I20" i="23"/>
  <c r="I50" i="23"/>
  <c r="I52" i="23"/>
  <c r="I32" i="23"/>
  <c r="I23" i="23"/>
  <c r="I31" i="23"/>
  <c r="I40" i="25"/>
  <c r="I7" i="23"/>
  <c r="I4" i="23" s="1"/>
  <c r="BN15" i="23"/>
  <c r="H166" i="23"/>
  <c r="H189" i="23"/>
  <c r="H167" i="23"/>
  <c r="H139" i="23"/>
  <c r="H154" i="23"/>
  <c r="H172" i="23"/>
  <c r="H162" i="23"/>
  <c r="H183" i="23"/>
  <c r="H175" i="23"/>
  <c r="H174" i="23"/>
  <c r="H145" i="23"/>
  <c r="H164" i="23"/>
  <c r="H173" i="23"/>
  <c r="H143" i="23"/>
  <c r="H141" i="23"/>
  <c r="H159" i="23"/>
  <c r="H150" i="23"/>
  <c r="H152" i="23"/>
  <c r="H171" i="23"/>
  <c r="H168" i="23"/>
  <c r="H156" i="23"/>
  <c r="H158" i="23"/>
  <c r="H138" i="23"/>
  <c r="BK138" i="23" s="1"/>
  <c r="BM16" i="23" s="1"/>
  <c r="AF9" i="22" s="1"/>
  <c r="AF12" i="22" s="1"/>
  <c r="H186" i="23"/>
  <c r="H188" i="23"/>
  <c r="H178" i="23"/>
  <c r="H161" i="23"/>
  <c r="H185" i="23"/>
  <c r="H190" i="23"/>
  <c r="H180" i="23"/>
  <c r="H177" i="23"/>
  <c r="H165" i="23"/>
  <c r="H157" i="23"/>
  <c r="H187" i="23"/>
  <c r="H155" i="23"/>
  <c r="H148" i="23"/>
  <c r="H144" i="23"/>
  <c r="H151" i="23"/>
  <c r="H176" i="23"/>
  <c r="H140" i="23"/>
  <c r="H163" i="23"/>
  <c r="H153" i="23"/>
  <c r="H182" i="23"/>
  <c r="H160" i="23"/>
  <c r="H169" i="23"/>
  <c r="H147" i="23"/>
  <c r="H170" i="23"/>
  <c r="H184" i="23"/>
  <c r="H181" i="23"/>
  <c r="H146" i="23"/>
  <c r="H149" i="23"/>
  <c r="H142" i="23"/>
  <c r="H179" i="23"/>
  <c r="J6" i="23"/>
  <c r="J5" i="23"/>
  <c r="J34" i="25"/>
  <c r="I117" i="23"/>
  <c r="I100" i="23"/>
  <c r="I119" i="23"/>
  <c r="I111" i="23"/>
  <c r="I78" i="23"/>
  <c r="BK78" i="23" s="1"/>
  <c r="BL17" i="23" s="1"/>
  <c r="AG10" i="22" s="1"/>
  <c r="I108" i="23"/>
  <c r="I109" i="23"/>
  <c r="I121" i="23"/>
  <c r="I115" i="23"/>
  <c r="I84" i="23"/>
  <c r="I92" i="23"/>
  <c r="I86" i="23"/>
  <c r="I107" i="23"/>
  <c r="I125" i="23"/>
  <c r="I103" i="23"/>
  <c r="I99" i="23"/>
  <c r="I105" i="23"/>
  <c r="I126" i="23"/>
  <c r="I96" i="23"/>
  <c r="I95" i="23"/>
  <c r="I94" i="23"/>
  <c r="I81" i="23"/>
  <c r="I118" i="23"/>
  <c r="I122" i="23"/>
  <c r="I97" i="23"/>
  <c r="I80" i="23"/>
  <c r="I101" i="23"/>
  <c r="I90" i="23"/>
  <c r="I104" i="23"/>
  <c r="I113" i="23"/>
  <c r="I89" i="23"/>
  <c r="I83" i="23"/>
  <c r="I110" i="23"/>
  <c r="I87" i="23"/>
  <c r="I85" i="23"/>
  <c r="I120" i="23"/>
  <c r="I79" i="23"/>
  <c r="I114" i="23"/>
  <c r="I102" i="23"/>
  <c r="I91" i="23"/>
  <c r="I106" i="23"/>
  <c r="I127" i="23"/>
  <c r="I128" i="23"/>
  <c r="I124" i="23"/>
  <c r="I116" i="23"/>
  <c r="I129" i="23"/>
  <c r="I112" i="23"/>
  <c r="I82" i="23"/>
  <c r="I88" i="23"/>
  <c r="I98" i="23"/>
  <c r="I123" i="23"/>
  <c r="I93" i="23"/>
  <c r="J9" i="22" l="1"/>
  <c r="G9" i="22"/>
  <c r="I9" i="22" s="1"/>
  <c r="B9" i="32"/>
  <c r="AD19" i="22"/>
  <c r="C10" i="22"/>
  <c r="AE16" i="22"/>
  <c r="BN16" i="23"/>
  <c r="J98" i="23"/>
  <c r="J91" i="23"/>
  <c r="J89" i="23"/>
  <c r="J93" i="23"/>
  <c r="J106" i="23"/>
  <c r="J104" i="23"/>
  <c r="J108" i="23"/>
  <c r="J126" i="23"/>
  <c r="J88" i="23"/>
  <c r="J90" i="23"/>
  <c r="J117" i="23"/>
  <c r="J115" i="23"/>
  <c r="J87" i="23"/>
  <c r="J94" i="23"/>
  <c r="J92" i="23"/>
  <c r="J111" i="23"/>
  <c r="J102" i="23"/>
  <c r="J128" i="23"/>
  <c r="J113" i="23"/>
  <c r="J85" i="23"/>
  <c r="J105" i="23"/>
  <c r="J118" i="23"/>
  <c r="J124" i="23"/>
  <c r="J96" i="23"/>
  <c r="J107" i="23"/>
  <c r="J123" i="23"/>
  <c r="J79" i="23"/>
  <c r="BK79" i="23" s="1"/>
  <c r="BL18" i="23" s="1"/>
  <c r="AH10" i="22" s="1"/>
  <c r="J99" i="23"/>
  <c r="J129" i="23"/>
  <c r="J125" i="23"/>
  <c r="J121" i="23"/>
  <c r="J81" i="23"/>
  <c r="J100" i="23"/>
  <c r="J122" i="23"/>
  <c r="J80" i="23"/>
  <c r="J97" i="23"/>
  <c r="J120" i="23"/>
  <c r="J86" i="23"/>
  <c r="J114" i="23"/>
  <c r="J127" i="23"/>
  <c r="J119" i="23"/>
  <c r="J109" i="23"/>
  <c r="J103" i="23"/>
  <c r="J82" i="23"/>
  <c r="J110" i="23"/>
  <c r="J84" i="23"/>
  <c r="J116" i="23"/>
  <c r="J95" i="23"/>
  <c r="J83" i="23"/>
  <c r="J112" i="23"/>
  <c r="J101" i="23"/>
  <c r="J53" i="23"/>
  <c r="J55" i="23"/>
  <c r="J36" i="23"/>
  <c r="J62" i="23"/>
  <c r="J31" i="23"/>
  <c r="J19" i="23"/>
  <c r="J52" i="23"/>
  <c r="J54" i="23"/>
  <c r="J26" i="23"/>
  <c r="J25" i="23"/>
  <c r="J64" i="23"/>
  <c r="J50" i="23"/>
  <c r="J18" i="23"/>
  <c r="BK18" i="23" s="1"/>
  <c r="AH11" i="22" s="1"/>
  <c r="J33" i="23"/>
  <c r="J20" i="23"/>
  <c r="J57" i="23"/>
  <c r="J38" i="23"/>
  <c r="J44" i="23"/>
  <c r="J21" i="23"/>
  <c r="J66" i="23"/>
  <c r="J37" i="23"/>
  <c r="J46" i="23"/>
  <c r="J51" i="23"/>
  <c r="J39" i="23"/>
  <c r="J61" i="23"/>
  <c r="J27" i="23"/>
  <c r="J45" i="23"/>
  <c r="J67" i="23"/>
  <c r="J41" i="23"/>
  <c r="J48" i="23"/>
  <c r="J59" i="23"/>
  <c r="J47" i="23"/>
  <c r="J35" i="23"/>
  <c r="J24" i="23"/>
  <c r="J29" i="23"/>
  <c r="J34" i="23"/>
  <c r="J23" i="23"/>
  <c r="J68" i="23"/>
  <c r="J22" i="23"/>
  <c r="J40" i="23"/>
  <c r="J65" i="23"/>
  <c r="J49" i="23"/>
  <c r="J32" i="23"/>
  <c r="J42" i="23"/>
  <c r="J60" i="23"/>
  <c r="J28" i="23"/>
  <c r="J43" i="23"/>
  <c r="J63" i="23"/>
  <c r="J30" i="23"/>
  <c r="J58" i="23"/>
  <c r="J56" i="23"/>
  <c r="K34" i="25"/>
  <c r="L34" i="25" s="1"/>
  <c r="K19" i="25"/>
  <c r="K6" i="23" s="1"/>
  <c r="K18" i="25"/>
  <c r="K5" i="23" s="1"/>
  <c r="K20" i="25"/>
  <c r="J7" i="23"/>
  <c r="J40" i="25"/>
  <c r="L20" i="25"/>
  <c r="L19" i="25"/>
  <c r="L6" i="23" s="1"/>
  <c r="L18" i="25"/>
  <c r="L5" i="23" s="1"/>
  <c r="I178" i="23"/>
  <c r="I146" i="23"/>
  <c r="I142" i="23"/>
  <c r="I139" i="23"/>
  <c r="BK139" i="23" s="1"/>
  <c r="BM17" i="23" s="1"/>
  <c r="AG9" i="22" s="1"/>
  <c r="AG12" i="22" s="1"/>
  <c r="I186" i="23"/>
  <c r="I156" i="23"/>
  <c r="I157" i="23"/>
  <c r="I166" i="23"/>
  <c r="I159" i="23"/>
  <c r="I154" i="23"/>
  <c r="I175" i="23"/>
  <c r="I183" i="23"/>
  <c r="I184" i="23"/>
  <c r="I163" i="23"/>
  <c r="I148" i="23"/>
  <c r="I162" i="23"/>
  <c r="I167" i="23"/>
  <c r="I161" i="23"/>
  <c r="I153" i="23"/>
  <c r="I143" i="23"/>
  <c r="I164" i="23"/>
  <c r="I147" i="23"/>
  <c r="I179" i="23"/>
  <c r="I169" i="23"/>
  <c r="I177" i="23"/>
  <c r="I188" i="23"/>
  <c r="I171" i="23"/>
  <c r="I170" i="23"/>
  <c r="I145" i="23"/>
  <c r="I140" i="23"/>
  <c r="I141" i="23"/>
  <c r="I144" i="23"/>
  <c r="I165" i="23"/>
  <c r="I173" i="23"/>
  <c r="I176" i="23"/>
  <c r="I174" i="23"/>
  <c r="I155" i="23"/>
  <c r="I190" i="23"/>
  <c r="I181" i="23"/>
  <c r="I185" i="23"/>
  <c r="I158" i="23"/>
  <c r="I152" i="23"/>
  <c r="I187" i="23"/>
  <c r="I160" i="23"/>
  <c r="I149" i="23"/>
  <c r="I151" i="23"/>
  <c r="I180" i="23"/>
  <c r="I182" i="23"/>
  <c r="I150" i="23"/>
  <c r="I172" i="23"/>
  <c r="I189" i="23"/>
  <c r="I168" i="23"/>
  <c r="AE19" i="22" l="1"/>
  <c r="J10" i="22"/>
  <c r="AQ9" i="32"/>
  <c r="AJ9" i="11"/>
  <c r="AK9" i="11"/>
  <c r="B10" i="32"/>
  <c r="G10" i="22"/>
  <c r="I10" i="22" s="1"/>
  <c r="BN17" i="23"/>
  <c r="L102" i="23"/>
  <c r="L118" i="23"/>
  <c r="L124" i="23"/>
  <c r="L113" i="23"/>
  <c r="L104" i="23"/>
  <c r="L83" i="23"/>
  <c r="L96" i="23"/>
  <c r="L114" i="23"/>
  <c r="L107" i="23"/>
  <c r="L115" i="23"/>
  <c r="L112" i="23"/>
  <c r="L85" i="23"/>
  <c r="L89" i="23"/>
  <c r="L82" i="23"/>
  <c r="L116" i="23"/>
  <c r="L129" i="23"/>
  <c r="L90" i="23"/>
  <c r="L120" i="23"/>
  <c r="L103" i="23"/>
  <c r="L81" i="23"/>
  <c r="L126" i="23"/>
  <c r="L109" i="23"/>
  <c r="L123" i="23"/>
  <c r="L117" i="23"/>
  <c r="L105" i="23"/>
  <c r="L93" i="23"/>
  <c r="L127" i="23"/>
  <c r="L125" i="23"/>
  <c r="L119" i="23"/>
  <c r="L94" i="23"/>
  <c r="L99" i="23"/>
  <c r="L87" i="23"/>
  <c r="L98" i="23"/>
  <c r="L101" i="23"/>
  <c r="L97" i="23"/>
  <c r="L111" i="23"/>
  <c r="L95" i="23"/>
  <c r="L84" i="23"/>
  <c r="L122" i="23"/>
  <c r="L110" i="23"/>
  <c r="L108" i="23"/>
  <c r="L91" i="23"/>
  <c r="L100" i="23"/>
  <c r="L121" i="23"/>
  <c r="L106" i="23"/>
  <c r="L92" i="23"/>
  <c r="L86" i="23"/>
  <c r="L128" i="23"/>
  <c r="L88" i="23"/>
  <c r="N19" i="25"/>
  <c r="N6" i="23" s="1"/>
  <c r="N18" i="25"/>
  <c r="N5" i="23" s="1"/>
  <c r="N20" i="25"/>
  <c r="L50" i="23"/>
  <c r="L21" i="23"/>
  <c r="L23" i="23"/>
  <c r="L58" i="23"/>
  <c r="L67" i="23"/>
  <c r="L33" i="23"/>
  <c r="L20" i="23"/>
  <c r="L32" i="23"/>
  <c r="L37" i="23"/>
  <c r="L56" i="23"/>
  <c r="L38" i="23"/>
  <c r="L55" i="23"/>
  <c r="L40" i="23"/>
  <c r="L47" i="23"/>
  <c r="L29" i="23"/>
  <c r="L64" i="23"/>
  <c r="L66" i="23"/>
  <c r="L68" i="23"/>
  <c r="L45" i="23"/>
  <c r="L25" i="23"/>
  <c r="L53" i="23"/>
  <c r="L51" i="23"/>
  <c r="L26" i="23"/>
  <c r="L30" i="23"/>
  <c r="L61" i="23"/>
  <c r="L24" i="23"/>
  <c r="L62" i="23"/>
  <c r="L44" i="23"/>
  <c r="L22" i="23"/>
  <c r="L52" i="23"/>
  <c r="L34" i="23"/>
  <c r="L39" i="23"/>
  <c r="L27" i="23"/>
  <c r="L31" i="23"/>
  <c r="L28" i="23"/>
  <c r="L65" i="23"/>
  <c r="L43" i="23"/>
  <c r="L57" i="23"/>
  <c r="L54" i="23"/>
  <c r="L48" i="23"/>
  <c r="L49" i="23"/>
  <c r="L63" i="23"/>
  <c r="L36" i="23"/>
  <c r="L41" i="23"/>
  <c r="L42" i="23"/>
  <c r="L35" i="23"/>
  <c r="L46" i="23"/>
  <c r="L59" i="23"/>
  <c r="L60" i="23"/>
  <c r="J158" i="23"/>
  <c r="J162" i="23"/>
  <c r="J173" i="23"/>
  <c r="J148" i="23"/>
  <c r="J149" i="23"/>
  <c r="J150" i="23"/>
  <c r="J180" i="23"/>
  <c r="J174" i="23"/>
  <c r="J186" i="23"/>
  <c r="J143" i="23"/>
  <c r="J171" i="23"/>
  <c r="J177" i="23"/>
  <c r="J190" i="23"/>
  <c r="J166" i="23"/>
  <c r="J163" i="23"/>
  <c r="J187" i="23"/>
  <c r="J147" i="23"/>
  <c r="J182" i="23"/>
  <c r="J165" i="23"/>
  <c r="J145" i="23"/>
  <c r="J164" i="23"/>
  <c r="J169" i="23"/>
  <c r="J168" i="23"/>
  <c r="J156" i="23"/>
  <c r="J170" i="23"/>
  <c r="J160" i="23"/>
  <c r="J184" i="23"/>
  <c r="J175" i="23"/>
  <c r="J185" i="23"/>
  <c r="J152" i="23"/>
  <c r="J154" i="23"/>
  <c r="J141" i="23"/>
  <c r="J155" i="23"/>
  <c r="J172" i="23"/>
  <c r="J153" i="23"/>
  <c r="J167" i="23"/>
  <c r="J161" i="23"/>
  <c r="J144" i="23"/>
  <c r="J142" i="23"/>
  <c r="J183" i="23"/>
  <c r="J181" i="23"/>
  <c r="J188" i="23"/>
  <c r="J151" i="23"/>
  <c r="J179" i="23"/>
  <c r="J140" i="23"/>
  <c r="J146" i="23"/>
  <c r="J178" i="23"/>
  <c r="J176" i="23"/>
  <c r="J157" i="23"/>
  <c r="J189" i="23"/>
  <c r="J159" i="23"/>
  <c r="L40" i="25"/>
  <c r="L7" i="23"/>
  <c r="L4" i="23" s="1"/>
  <c r="M34" i="25"/>
  <c r="N34" i="25" s="1"/>
  <c r="M19" i="25"/>
  <c r="M6" i="23" s="1"/>
  <c r="M18" i="25"/>
  <c r="M5" i="23" s="1"/>
  <c r="M20" i="25"/>
  <c r="K7" i="23"/>
  <c r="K4" i="23" s="1"/>
  <c r="K40" i="25"/>
  <c r="K87" i="23"/>
  <c r="K115" i="23"/>
  <c r="K114" i="23"/>
  <c r="K106" i="23"/>
  <c r="K86" i="23"/>
  <c r="K116" i="23"/>
  <c r="K104" i="23"/>
  <c r="K88" i="23"/>
  <c r="K111" i="23"/>
  <c r="K123" i="23"/>
  <c r="K105" i="23"/>
  <c r="K97" i="23"/>
  <c r="K93" i="23"/>
  <c r="K95" i="23"/>
  <c r="K129" i="23"/>
  <c r="K89" i="23"/>
  <c r="K113" i="23"/>
  <c r="K118" i="23"/>
  <c r="K128" i="23"/>
  <c r="K100" i="23"/>
  <c r="K103" i="23"/>
  <c r="K112" i="23"/>
  <c r="K101" i="23"/>
  <c r="K119" i="23"/>
  <c r="K81" i="23"/>
  <c r="K99" i="23"/>
  <c r="K122" i="23"/>
  <c r="K121" i="23"/>
  <c r="K92" i="23"/>
  <c r="K82" i="23"/>
  <c r="K91" i="23"/>
  <c r="K98" i="23"/>
  <c r="K109" i="23"/>
  <c r="K127" i="23"/>
  <c r="K125" i="23"/>
  <c r="K94" i="23"/>
  <c r="K85" i="23"/>
  <c r="K83" i="23"/>
  <c r="K107" i="23"/>
  <c r="K96" i="23"/>
  <c r="K108" i="23"/>
  <c r="K90" i="23"/>
  <c r="K80" i="23"/>
  <c r="BK80" i="23" s="1"/>
  <c r="BL19" i="23" s="1"/>
  <c r="AI10" i="22" s="1"/>
  <c r="K102" i="23"/>
  <c r="K117" i="23"/>
  <c r="K126" i="23"/>
  <c r="K84" i="23"/>
  <c r="K110" i="23"/>
  <c r="K124" i="23"/>
  <c r="K120" i="23"/>
  <c r="J4" i="23"/>
  <c r="K66" i="23"/>
  <c r="K23" i="23"/>
  <c r="K41" i="23"/>
  <c r="K21" i="23"/>
  <c r="K64" i="23"/>
  <c r="K45" i="23"/>
  <c r="K57" i="23"/>
  <c r="K53" i="23"/>
  <c r="K42" i="23"/>
  <c r="K49" i="23"/>
  <c r="K56" i="23"/>
  <c r="K63" i="23"/>
  <c r="K52" i="23"/>
  <c r="K33" i="23"/>
  <c r="K62" i="23"/>
  <c r="K29" i="23"/>
  <c r="K19" i="23"/>
  <c r="BK19" i="23" s="1"/>
  <c r="AI11" i="22" s="1"/>
  <c r="K34" i="23"/>
  <c r="K30" i="23"/>
  <c r="K26" i="23"/>
  <c r="K35" i="23"/>
  <c r="K60" i="23"/>
  <c r="K44" i="23"/>
  <c r="K58" i="23"/>
  <c r="K37" i="23"/>
  <c r="K22" i="23"/>
  <c r="K32" i="23"/>
  <c r="K40" i="23"/>
  <c r="K55" i="23"/>
  <c r="K24" i="23"/>
  <c r="K51" i="23"/>
  <c r="K65" i="23"/>
  <c r="K36" i="23"/>
  <c r="K59" i="23"/>
  <c r="K67" i="23"/>
  <c r="K68" i="23"/>
  <c r="K38" i="23"/>
  <c r="K48" i="23"/>
  <c r="K20" i="23"/>
  <c r="K47" i="23"/>
  <c r="K28" i="23"/>
  <c r="K27" i="23"/>
  <c r="K31" i="23"/>
  <c r="K54" i="23"/>
  <c r="K50" i="23"/>
  <c r="K61" i="23"/>
  <c r="K46" i="23"/>
  <c r="K43" i="23"/>
  <c r="K25" i="23"/>
  <c r="K39" i="23"/>
  <c r="AF15" i="22"/>
  <c r="C11" i="22"/>
  <c r="AF16" i="22"/>
  <c r="M40" i="25" l="1"/>
  <c r="L9" i="32"/>
  <c r="V9" i="32" s="1"/>
  <c r="AL9" i="11"/>
  <c r="AY9" i="32"/>
  <c r="AK9" i="32"/>
  <c r="AQ10" i="32"/>
  <c r="AK10" i="11"/>
  <c r="AJ10" i="11"/>
  <c r="AM9" i="11"/>
  <c r="BK140" i="23"/>
  <c r="BM18" i="23" s="1"/>
  <c r="AG16" i="22"/>
  <c r="AF19" i="22"/>
  <c r="J11" i="22"/>
  <c r="B11" i="32"/>
  <c r="G11" i="22"/>
  <c r="L186" i="23"/>
  <c r="L168" i="23"/>
  <c r="L171" i="23"/>
  <c r="L165" i="23"/>
  <c r="L153" i="23"/>
  <c r="L175" i="23"/>
  <c r="L187" i="23"/>
  <c r="L152" i="23"/>
  <c r="L180" i="23"/>
  <c r="L150" i="23"/>
  <c r="L151" i="23"/>
  <c r="L162" i="23"/>
  <c r="L142" i="23"/>
  <c r="L163" i="23"/>
  <c r="L166" i="23"/>
  <c r="L182" i="23"/>
  <c r="L184" i="23"/>
  <c r="L167" i="23"/>
  <c r="L176" i="23"/>
  <c r="L149" i="23"/>
  <c r="L154" i="23"/>
  <c r="L177" i="23"/>
  <c r="L159" i="23"/>
  <c r="L160" i="23"/>
  <c r="L144" i="23"/>
  <c r="L181" i="23"/>
  <c r="L190" i="23"/>
  <c r="L173" i="23"/>
  <c r="L161" i="23"/>
  <c r="L146" i="23"/>
  <c r="L147" i="23"/>
  <c r="L172" i="23"/>
  <c r="L170" i="23"/>
  <c r="L164" i="23"/>
  <c r="L178" i="23"/>
  <c r="L155" i="23"/>
  <c r="L183" i="23"/>
  <c r="L174" i="23"/>
  <c r="L148" i="23"/>
  <c r="L143" i="23"/>
  <c r="L145" i="23"/>
  <c r="L157" i="23"/>
  <c r="L185" i="23"/>
  <c r="L188" i="23"/>
  <c r="L189" i="23"/>
  <c r="L179" i="23"/>
  <c r="L156" i="23"/>
  <c r="L158" i="23"/>
  <c r="L169" i="23"/>
  <c r="N85" i="23"/>
  <c r="N115" i="23"/>
  <c r="N92" i="23"/>
  <c r="N108" i="23"/>
  <c r="N120" i="23"/>
  <c r="N123" i="23"/>
  <c r="N116" i="23"/>
  <c r="N127" i="23"/>
  <c r="N111" i="23"/>
  <c r="N88" i="23"/>
  <c r="N91" i="23"/>
  <c r="N124" i="23"/>
  <c r="N121" i="23"/>
  <c r="N110" i="23"/>
  <c r="N122" i="23"/>
  <c r="N117" i="23"/>
  <c r="N128" i="23"/>
  <c r="N106" i="23"/>
  <c r="N102" i="23"/>
  <c r="N97" i="23"/>
  <c r="N96" i="23"/>
  <c r="N103" i="23"/>
  <c r="N105" i="23"/>
  <c r="N98" i="23"/>
  <c r="N126" i="23"/>
  <c r="N86" i="23"/>
  <c r="N114" i="23"/>
  <c r="N125" i="23"/>
  <c r="N109" i="23"/>
  <c r="N104" i="23"/>
  <c r="N84" i="23"/>
  <c r="N107" i="23"/>
  <c r="N87" i="23"/>
  <c r="N118" i="23"/>
  <c r="N90" i="23"/>
  <c r="N94" i="23"/>
  <c r="N83" i="23"/>
  <c r="N95" i="23"/>
  <c r="N89" i="23"/>
  <c r="N119" i="23"/>
  <c r="N100" i="23"/>
  <c r="N129" i="23"/>
  <c r="N113" i="23"/>
  <c r="N112" i="23"/>
  <c r="N101" i="23"/>
  <c r="N99" i="23"/>
  <c r="N93" i="23"/>
  <c r="N50" i="23"/>
  <c r="N43" i="23"/>
  <c r="N61" i="23"/>
  <c r="N64" i="23"/>
  <c r="N25" i="23"/>
  <c r="N22" i="23"/>
  <c r="N57" i="23"/>
  <c r="N48" i="23"/>
  <c r="N23" i="23"/>
  <c r="N29" i="23"/>
  <c r="N24" i="23"/>
  <c r="N33" i="23"/>
  <c r="N27" i="23"/>
  <c r="N40" i="23"/>
  <c r="N66" i="23"/>
  <c r="N56" i="23"/>
  <c r="N51" i="23"/>
  <c r="N42" i="23"/>
  <c r="N67" i="23"/>
  <c r="N37" i="23"/>
  <c r="N30" i="23"/>
  <c r="N34" i="23"/>
  <c r="N62" i="23"/>
  <c r="N44" i="23"/>
  <c r="N47" i="23"/>
  <c r="N41" i="23"/>
  <c r="N35" i="23"/>
  <c r="N31" i="23"/>
  <c r="N32" i="23"/>
  <c r="N59" i="23"/>
  <c r="N68" i="23"/>
  <c r="N45" i="23"/>
  <c r="N38" i="23"/>
  <c r="N46" i="23"/>
  <c r="N26" i="23"/>
  <c r="N28" i="23"/>
  <c r="N52" i="23"/>
  <c r="N55" i="23"/>
  <c r="N58" i="23"/>
  <c r="N36" i="23"/>
  <c r="N49" i="23"/>
  <c r="N53" i="23"/>
  <c r="N63" i="23"/>
  <c r="N60" i="23"/>
  <c r="N39" i="23"/>
  <c r="N54" i="23"/>
  <c r="N65" i="23"/>
  <c r="O20" i="25"/>
  <c r="O34" i="25"/>
  <c r="O18" i="25"/>
  <c r="O5" i="23" s="1"/>
  <c r="O19" i="25"/>
  <c r="O6" i="23" s="1"/>
  <c r="BK81" i="23"/>
  <c r="BL20" i="23" s="1"/>
  <c r="AJ10" i="22" s="1"/>
  <c r="M7" i="23"/>
  <c r="M4" i="23" s="1"/>
  <c r="M115" i="23"/>
  <c r="M102" i="23"/>
  <c r="M82" i="23"/>
  <c r="BK82" i="23" s="1"/>
  <c r="BL21" i="23" s="1"/>
  <c r="AK10" i="22" s="1"/>
  <c r="M122" i="23"/>
  <c r="M97" i="23"/>
  <c r="M108" i="23"/>
  <c r="M85" i="23"/>
  <c r="M105" i="23"/>
  <c r="M96" i="23"/>
  <c r="M121" i="23"/>
  <c r="M89" i="23"/>
  <c r="M99" i="23"/>
  <c r="M111" i="23"/>
  <c r="M93" i="23"/>
  <c r="M95" i="23"/>
  <c r="M109" i="23"/>
  <c r="M87" i="23"/>
  <c r="M104" i="23"/>
  <c r="M114" i="23"/>
  <c r="M91" i="23"/>
  <c r="M123" i="23"/>
  <c r="M98" i="23"/>
  <c r="M113" i="23"/>
  <c r="M126" i="23"/>
  <c r="M120" i="23"/>
  <c r="M118" i="23"/>
  <c r="M103" i="23"/>
  <c r="M100" i="23"/>
  <c r="M119" i="23"/>
  <c r="M86" i="23"/>
  <c r="M128" i="23"/>
  <c r="M112" i="23"/>
  <c r="M110" i="23"/>
  <c r="M117" i="23"/>
  <c r="M84" i="23"/>
  <c r="M124" i="23"/>
  <c r="M125" i="23"/>
  <c r="M90" i="23"/>
  <c r="M107" i="23"/>
  <c r="M116" i="23"/>
  <c r="M101" i="23"/>
  <c r="M127" i="23"/>
  <c r="M129" i="23"/>
  <c r="M94" i="23"/>
  <c r="M83" i="23"/>
  <c r="M106" i="23"/>
  <c r="M88" i="23"/>
  <c r="M92" i="23"/>
  <c r="M21" i="23"/>
  <c r="BK21" i="23" s="1"/>
  <c r="AK11" i="22" s="1"/>
  <c r="M48" i="23"/>
  <c r="M49" i="23"/>
  <c r="M30" i="23"/>
  <c r="M51" i="23"/>
  <c r="M40" i="23"/>
  <c r="M28" i="23"/>
  <c r="M66" i="23"/>
  <c r="M64" i="23"/>
  <c r="M53" i="23"/>
  <c r="M50" i="23"/>
  <c r="M46" i="23"/>
  <c r="M41" i="23"/>
  <c r="M57" i="23"/>
  <c r="M27" i="23"/>
  <c r="M31" i="23"/>
  <c r="M22" i="23"/>
  <c r="M39" i="23"/>
  <c r="M47" i="23"/>
  <c r="M25" i="23"/>
  <c r="M44" i="23"/>
  <c r="M26" i="23"/>
  <c r="M37" i="23"/>
  <c r="M59" i="23"/>
  <c r="M58" i="23"/>
  <c r="M54" i="23"/>
  <c r="M65" i="23"/>
  <c r="M34" i="23"/>
  <c r="M29" i="23"/>
  <c r="M60" i="23"/>
  <c r="M61" i="23"/>
  <c r="M36" i="23"/>
  <c r="M32" i="23"/>
  <c r="M55" i="23"/>
  <c r="M63" i="23"/>
  <c r="M68" i="23"/>
  <c r="M43" i="23"/>
  <c r="M23" i="23"/>
  <c r="M62" i="23"/>
  <c r="M56" i="23"/>
  <c r="M42" i="23"/>
  <c r="M33" i="23"/>
  <c r="M35" i="23"/>
  <c r="M52" i="23"/>
  <c r="M45" i="23"/>
  <c r="M24" i="23"/>
  <c r="M67" i="23"/>
  <c r="M38" i="23"/>
  <c r="AG15" i="22"/>
  <c r="C12" i="22"/>
  <c r="K161" i="23"/>
  <c r="K150" i="23"/>
  <c r="K172" i="23"/>
  <c r="K173" i="23"/>
  <c r="K174" i="23"/>
  <c r="K160" i="23"/>
  <c r="K158" i="23"/>
  <c r="K177" i="23"/>
  <c r="K190" i="23"/>
  <c r="K180" i="23"/>
  <c r="K181" i="23"/>
  <c r="K166" i="23"/>
  <c r="K188" i="23"/>
  <c r="K182" i="23"/>
  <c r="K185" i="23"/>
  <c r="K159" i="23"/>
  <c r="K175" i="23"/>
  <c r="K168" i="23"/>
  <c r="K162" i="23"/>
  <c r="K141" i="23"/>
  <c r="BK141" i="23" s="1"/>
  <c r="BM19" i="23" s="1"/>
  <c r="AI9" i="22" s="1"/>
  <c r="AI12" i="22" s="1"/>
  <c r="K163" i="23"/>
  <c r="K149" i="23"/>
  <c r="K153" i="23"/>
  <c r="K155" i="23"/>
  <c r="K178" i="23"/>
  <c r="K184" i="23"/>
  <c r="K176" i="23"/>
  <c r="K148" i="23"/>
  <c r="K171" i="23"/>
  <c r="K154" i="23"/>
  <c r="K169" i="23"/>
  <c r="K156" i="23"/>
  <c r="K144" i="23"/>
  <c r="K145" i="23"/>
  <c r="K179" i="23"/>
  <c r="K157" i="23"/>
  <c r="K147" i="23"/>
  <c r="K143" i="23"/>
  <c r="K186" i="23"/>
  <c r="K152" i="23"/>
  <c r="K189" i="23"/>
  <c r="K146" i="23"/>
  <c r="K165" i="23"/>
  <c r="K142" i="23"/>
  <c r="K151" i="23"/>
  <c r="K183" i="23"/>
  <c r="K167" i="23"/>
  <c r="K187" i="23"/>
  <c r="K164" i="23"/>
  <c r="K170" i="23"/>
  <c r="BK20" i="23"/>
  <c r="AJ11" i="22" s="1"/>
  <c r="N40" i="25"/>
  <c r="N7" i="23"/>
  <c r="AH9" i="22" l="1"/>
  <c r="AH12" i="22" s="1"/>
  <c r="AC9" i="32"/>
  <c r="BI36" i="32" s="1"/>
  <c r="L10" i="32"/>
  <c r="V10" i="32" s="1"/>
  <c r="AF46" i="41"/>
  <c r="AY10" i="32"/>
  <c r="AK10" i="32"/>
  <c r="AQ11" i="32"/>
  <c r="AM10" i="11"/>
  <c r="AL10" i="11"/>
  <c r="BR9" i="11"/>
  <c r="BN18" i="23"/>
  <c r="C14" i="22"/>
  <c r="BK22" i="23"/>
  <c r="AL11" i="22" s="1"/>
  <c r="P34" i="25"/>
  <c r="P20" i="25"/>
  <c r="P19" i="25"/>
  <c r="P6" i="23" s="1"/>
  <c r="P18" i="25"/>
  <c r="P5" i="23" s="1"/>
  <c r="I11" i="22"/>
  <c r="AJ11" i="11"/>
  <c r="AK11" i="11"/>
  <c r="BK83" i="23"/>
  <c r="BL22" i="23" s="1"/>
  <c r="AL10" i="22" s="1"/>
  <c r="BK142" i="23"/>
  <c r="BM20" i="23" s="1"/>
  <c r="AJ9" i="22" s="1"/>
  <c r="AJ12" i="22" s="1"/>
  <c r="O52" i="23"/>
  <c r="O50" i="23"/>
  <c r="O61" i="23"/>
  <c r="O64" i="23"/>
  <c r="O60" i="23"/>
  <c r="O24" i="23"/>
  <c r="O26" i="23"/>
  <c r="O35" i="23"/>
  <c r="O68" i="23"/>
  <c r="O58" i="23"/>
  <c r="O56" i="23"/>
  <c r="O27" i="23"/>
  <c r="O29" i="23"/>
  <c r="O59" i="23"/>
  <c r="O47" i="23"/>
  <c r="O36" i="23"/>
  <c r="O54" i="23"/>
  <c r="O62" i="23"/>
  <c r="O43" i="23"/>
  <c r="O44" i="23"/>
  <c r="O48" i="23"/>
  <c r="O38" i="23"/>
  <c r="O33" i="23"/>
  <c r="O55" i="23"/>
  <c r="O39" i="23"/>
  <c r="O23" i="23"/>
  <c r="BK23" i="23" s="1"/>
  <c r="AM11" i="22" s="1"/>
  <c r="O53" i="23"/>
  <c r="O45" i="23"/>
  <c r="O49" i="23"/>
  <c r="O66" i="23"/>
  <c r="O40" i="23"/>
  <c r="O32" i="23"/>
  <c r="O57" i="23"/>
  <c r="O63" i="23"/>
  <c r="O28" i="23"/>
  <c r="O34" i="23"/>
  <c r="O37" i="23"/>
  <c r="O25" i="23"/>
  <c r="O31" i="23"/>
  <c r="O42" i="23"/>
  <c r="O46" i="23"/>
  <c r="O51" i="23"/>
  <c r="O41" i="23"/>
  <c r="O30" i="23"/>
  <c r="O65" i="23"/>
  <c r="O67" i="23"/>
  <c r="BN19" i="23"/>
  <c r="O109" i="23"/>
  <c r="O105" i="23"/>
  <c r="O86" i="23"/>
  <c r="O114" i="23"/>
  <c r="O124" i="23"/>
  <c r="O123" i="23"/>
  <c r="O126" i="23"/>
  <c r="O94" i="23"/>
  <c r="O128" i="23"/>
  <c r="O99" i="23"/>
  <c r="O110" i="23"/>
  <c r="O95" i="23"/>
  <c r="O108" i="23"/>
  <c r="O96" i="23"/>
  <c r="O111" i="23"/>
  <c r="O125" i="23"/>
  <c r="O84" i="23"/>
  <c r="BK84" i="23" s="1"/>
  <c r="BL23" i="23" s="1"/>
  <c r="AM10" i="22" s="1"/>
  <c r="O101" i="23"/>
  <c r="O102" i="23"/>
  <c r="O116" i="23"/>
  <c r="O106" i="23"/>
  <c r="O97" i="23"/>
  <c r="O118" i="23"/>
  <c r="O91" i="23"/>
  <c r="O87" i="23"/>
  <c r="O103" i="23"/>
  <c r="O88" i="23"/>
  <c r="O85" i="23"/>
  <c r="O112" i="23"/>
  <c r="O121" i="23"/>
  <c r="O119" i="23"/>
  <c r="O127" i="23"/>
  <c r="O92" i="23"/>
  <c r="O113" i="23"/>
  <c r="O100" i="23"/>
  <c r="O104" i="23"/>
  <c r="O89" i="23"/>
  <c r="O122" i="23"/>
  <c r="O93" i="23"/>
  <c r="O98" i="23"/>
  <c r="O90" i="23"/>
  <c r="O120" i="23"/>
  <c r="O129" i="23"/>
  <c r="O115" i="23"/>
  <c r="O117" i="23"/>
  <c r="O107" i="23"/>
  <c r="N182" i="23"/>
  <c r="N158" i="23"/>
  <c r="N160" i="23"/>
  <c r="N175" i="23"/>
  <c r="N188" i="23"/>
  <c r="N183" i="23"/>
  <c r="N181" i="23"/>
  <c r="N155" i="23"/>
  <c r="N169" i="23"/>
  <c r="N177" i="23"/>
  <c r="N186" i="23"/>
  <c r="N149" i="23"/>
  <c r="N147" i="23"/>
  <c r="N153" i="23"/>
  <c r="N151" i="23"/>
  <c r="N171" i="23"/>
  <c r="N145" i="23"/>
  <c r="N178" i="23"/>
  <c r="N154" i="23"/>
  <c r="N162" i="23"/>
  <c r="N164" i="23"/>
  <c r="N156" i="23"/>
  <c r="N176" i="23"/>
  <c r="N168" i="23"/>
  <c r="N185" i="23"/>
  <c r="N167" i="23"/>
  <c r="N157" i="23"/>
  <c r="N144" i="23"/>
  <c r="N184" i="23"/>
  <c r="N179" i="23"/>
  <c r="N180" i="23"/>
  <c r="N165" i="23"/>
  <c r="N166" i="23"/>
  <c r="N146" i="23"/>
  <c r="N170" i="23"/>
  <c r="N148" i="23"/>
  <c r="N152" i="23"/>
  <c r="N189" i="23"/>
  <c r="N173" i="23"/>
  <c r="N172" i="23"/>
  <c r="N159" i="23"/>
  <c r="N150" i="23"/>
  <c r="N187" i="23"/>
  <c r="N161" i="23"/>
  <c r="N163" i="23"/>
  <c r="N174" i="23"/>
  <c r="N190" i="23"/>
  <c r="J12" i="22"/>
  <c r="B12" i="32"/>
  <c r="G12" i="22"/>
  <c r="AG19" i="22"/>
  <c r="M145" i="23"/>
  <c r="M154" i="23"/>
  <c r="M177" i="23"/>
  <c r="M150" i="23"/>
  <c r="M176" i="23"/>
  <c r="M144" i="23"/>
  <c r="M182" i="23"/>
  <c r="M174" i="23"/>
  <c r="M167" i="23"/>
  <c r="M162" i="23"/>
  <c r="M178" i="23"/>
  <c r="M168" i="23"/>
  <c r="M147" i="23"/>
  <c r="M179" i="23"/>
  <c r="M172" i="23"/>
  <c r="M163" i="23"/>
  <c r="M171" i="23"/>
  <c r="M160" i="23"/>
  <c r="M148" i="23"/>
  <c r="M169" i="23"/>
  <c r="M166" i="23"/>
  <c r="M149" i="23"/>
  <c r="M190" i="23"/>
  <c r="M183" i="23"/>
  <c r="M175" i="23"/>
  <c r="M153" i="23"/>
  <c r="M187" i="23"/>
  <c r="M164" i="23"/>
  <c r="M181" i="23"/>
  <c r="M157" i="23"/>
  <c r="M159" i="23"/>
  <c r="M189" i="23"/>
  <c r="M161" i="23"/>
  <c r="M152" i="23"/>
  <c r="M185" i="23"/>
  <c r="M186" i="23"/>
  <c r="M173" i="23"/>
  <c r="M165" i="23"/>
  <c r="M170" i="23"/>
  <c r="M188" i="23"/>
  <c r="M156" i="23"/>
  <c r="M158" i="23"/>
  <c r="M155" i="23"/>
  <c r="M180" i="23"/>
  <c r="M146" i="23"/>
  <c r="M143" i="23"/>
  <c r="BK143" i="23" s="1"/>
  <c r="BM21" i="23" s="1"/>
  <c r="AK9" i="22" s="1"/>
  <c r="AK12" i="22" s="1"/>
  <c r="M151" i="23"/>
  <c r="M184" i="23"/>
  <c r="O40" i="25"/>
  <c r="O7" i="23"/>
  <c r="O4" i="23" s="1"/>
  <c r="N4" i="23"/>
  <c r="AH16" i="22" l="1"/>
  <c r="AI16" i="22" s="1"/>
  <c r="AH15" i="22"/>
  <c r="AH19" i="22" s="1"/>
  <c r="C13" i="22"/>
  <c r="J13" i="22" s="1"/>
  <c r="AC10" i="32"/>
  <c r="BI37" i="32" s="1"/>
  <c r="BR10" i="11"/>
  <c r="AY11" i="32"/>
  <c r="AK11" i="32"/>
  <c r="AQ12" i="32"/>
  <c r="AF47" i="41"/>
  <c r="AI15" i="22"/>
  <c r="C16" i="22"/>
  <c r="BN21" i="23"/>
  <c r="P116" i="23"/>
  <c r="P121" i="23"/>
  <c r="P98" i="23"/>
  <c r="P111" i="23"/>
  <c r="P101" i="23"/>
  <c r="P97" i="23"/>
  <c r="P123" i="23"/>
  <c r="P122" i="23"/>
  <c r="P93" i="23"/>
  <c r="P108" i="23"/>
  <c r="P91" i="23"/>
  <c r="P113" i="23"/>
  <c r="P120" i="23"/>
  <c r="P86" i="23"/>
  <c r="P104" i="23"/>
  <c r="P109" i="23"/>
  <c r="P99" i="23"/>
  <c r="P100" i="23"/>
  <c r="P89" i="23"/>
  <c r="P115" i="23"/>
  <c r="P127" i="23"/>
  <c r="P114" i="23"/>
  <c r="P129" i="23"/>
  <c r="P102" i="23"/>
  <c r="P105" i="23"/>
  <c r="P94" i="23"/>
  <c r="P107" i="23"/>
  <c r="P90" i="23"/>
  <c r="P106" i="23"/>
  <c r="P117" i="23"/>
  <c r="P85" i="23"/>
  <c r="BK85" i="23" s="1"/>
  <c r="BL24" i="23" s="1"/>
  <c r="AN10" i="22" s="1"/>
  <c r="P118" i="23"/>
  <c r="P128" i="23"/>
  <c r="P126" i="23"/>
  <c r="P92" i="23"/>
  <c r="P96" i="23"/>
  <c r="P125" i="23"/>
  <c r="P88" i="23"/>
  <c r="P110" i="23"/>
  <c r="P95" i="23"/>
  <c r="P112" i="23"/>
  <c r="P103" i="23"/>
  <c r="P87" i="23"/>
  <c r="P124" i="23"/>
  <c r="P119" i="23"/>
  <c r="Q18" i="25"/>
  <c r="Q5" i="23" s="1"/>
  <c r="Q20" i="25"/>
  <c r="Q34" i="25"/>
  <c r="R34" i="25" s="1"/>
  <c r="Q19" i="25"/>
  <c r="Q6" i="23" s="1"/>
  <c r="BN20" i="23"/>
  <c r="AM11" i="11"/>
  <c r="AL11" i="11"/>
  <c r="P37" i="23"/>
  <c r="P44" i="23"/>
  <c r="P67" i="23"/>
  <c r="P33" i="23"/>
  <c r="P32" i="23"/>
  <c r="P41" i="23"/>
  <c r="P47" i="23"/>
  <c r="P56" i="23"/>
  <c r="P51" i="23"/>
  <c r="P57" i="23"/>
  <c r="P65" i="23"/>
  <c r="P62" i="23"/>
  <c r="P63" i="23"/>
  <c r="P24" i="23"/>
  <c r="BK24" i="23" s="1"/>
  <c r="AN11" i="22" s="1"/>
  <c r="P36" i="23"/>
  <c r="P52" i="23"/>
  <c r="P43" i="23"/>
  <c r="P68" i="23"/>
  <c r="P38" i="23"/>
  <c r="P59" i="23"/>
  <c r="P60" i="23"/>
  <c r="P27" i="23"/>
  <c r="P35" i="23"/>
  <c r="P31" i="23"/>
  <c r="P29" i="23"/>
  <c r="P26" i="23"/>
  <c r="P28" i="23"/>
  <c r="P25" i="23"/>
  <c r="P58" i="23"/>
  <c r="P30" i="23"/>
  <c r="P39" i="23"/>
  <c r="P66" i="23"/>
  <c r="P34" i="23"/>
  <c r="P50" i="23"/>
  <c r="P55" i="23"/>
  <c r="P40" i="23"/>
  <c r="P64" i="23"/>
  <c r="P49" i="23"/>
  <c r="P45" i="23"/>
  <c r="P46" i="23"/>
  <c r="P61" i="23"/>
  <c r="P48" i="23"/>
  <c r="P54" i="23"/>
  <c r="P42" i="23"/>
  <c r="P53" i="23"/>
  <c r="L11" i="32"/>
  <c r="V11" i="32" s="1"/>
  <c r="P7" i="23"/>
  <c r="P40" i="25"/>
  <c r="R18" i="25"/>
  <c r="R5" i="23" s="1"/>
  <c r="R20" i="25"/>
  <c r="R19" i="25"/>
  <c r="R6" i="23" s="1"/>
  <c r="BK144" i="23"/>
  <c r="BM22" i="23" s="1"/>
  <c r="O179" i="23"/>
  <c r="O170" i="23"/>
  <c r="O148" i="23"/>
  <c r="O153" i="23"/>
  <c r="O182" i="23"/>
  <c r="O171" i="23"/>
  <c r="O180" i="23"/>
  <c r="O175" i="23"/>
  <c r="O162" i="23"/>
  <c r="O159" i="23"/>
  <c r="O169" i="23"/>
  <c r="O164" i="23"/>
  <c r="O166" i="23"/>
  <c r="O151" i="23"/>
  <c r="O181" i="23"/>
  <c r="O185" i="23"/>
  <c r="O190" i="23"/>
  <c r="O160" i="23"/>
  <c r="O149" i="23"/>
  <c r="O168" i="23"/>
  <c r="O183" i="23"/>
  <c r="O188" i="23"/>
  <c r="O161" i="23"/>
  <c r="O158" i="23"/>
  <c r="O145" i="23"/>
  <c r="BK145" i="23" s="1"/>
  <c r="BM23" i="23" s="1"/>
  <c r="AM9" i="22" s="1"/>
  <c r="AM12" i="22" s="1"/>
  <c r="O174" i="23"/>
  <c r="O176" i="23"/>
  <c r="O156" i="23"/>
  <c r="O147" i="23"/>
  <c r="O189" i="23"/>
  <c r="O177" i="23"/>
  <c r="O157" i="23"/>
  <c r="O163" i="23"/>
  <c r="O178" i="23"/>
  <c r="O187" i="23"/>
  <c r="O165" i="23"/>
  <c r="O172" i="23"/>
  <c r="O186" i="23"/>
  <c r="O155" i="23"/>
  <c r="O167" i="23"/>
  <c r="O154" i="23"/>
  <c r="O150" i="23"/>
  <c r="O173" i="23"/>
  <c r="O146" i="23"/>
  <c r="O184" i="23"/>
  <c r="O152" i="23"/>
  <c r="AJ12" i="11"/>
  <c r="I12" i="22"/>
  <c r="AK12" i="11"/>
  <c r="B14" i="32"/>
  <c r="J14" i="22"/>
  <c r="G14" i="22"/>
  <c r="G13" i="22" l="1"/>
  <c r="AK13" i="11" s="1"/>
  <c r="B13" i="32"/>
  <c r="AQ13" i="32" s="1"/>
  <c r="AL9" i="22"/>
  <c r="AL12" i="22" s="1"/>
  <c r="AC11" i="32"/>
  <c r="BI38" i="32" s="1"/>
  <c r="AY12" i="32"/>
  <c r="AK12" i="32"/>
  <c r="AQ14" i="32"/>
  <c r="AJ16" i="22"/>
  <c r="AK16" i="22" s="1"/>
  <c r="AI19" i="22"/>
  <c r="AK15" i="22"/>
  <c r="L12" i="32"/>
  <c r="V12" i="32" s="1"/>
  <c r="BN22" i="23"/>
  <c r="R59" i="23"/>
  <c r="R36" i="23"/>
  <c r="R62" i="23"/>
  <c r="R26" i="23"/>
  <c r="R39" i="23"/>
  <c r="R27" i="23"/>
  <c r="R33" i="23"/>
  <c r="R45" i="23"/>
  <c r="R50" i="23"/>
  <c r="R51" i="23"/>
  <c r="R35" i="23"/>
  <c r="R56" i="23"/>
  <c r="R43" i="23"/>
  <c r="R61" i="23"/>
  <c r="R40" i="23"/>
  <c r="R32" i="23"/>
  <c r="R49" i="23"/>
  <c r="R44" i="23"/>
  <c r="R29" i="23"/>
  <c r="R65" i="23"/>
  <c r="R48" i="23"/>
  <c r="R57" i="23"/>
  <c r="R52" i="23"/>
  <c r="R31" i="23"/>
  <c r="R60" i="23"/>
  <c r="R46" i="23"/>
  <c r="R68" i="23"/>
  <c r="R28" i="23"/>
  <c r="R63" i="23"/>
  <c r="R53" i="23"/>
  <c r="R47" i="23"/>
  <c r="R42" i="23"/>
  <c r="R67" i="23"/>
  <c r="R55" i="23"/>
  <c r="R34" i="23"/>
  <c r="R58" i="23"/>
  <c r="R41" i="23"/>
  <c r="R66" i="23"/>
  <c r="R30" i="23"/>
  <c r="R37" i="23"/>
  <c r="R64" i="23"/>
  <c r="R54" i="23"/>
  <c r="R38" i="23"/>
  <c r="AJ15" i="22"/>
  <c r="C15" i="22"/>
  <c r="S18" i="25"/>
  <c r="S5" i="23" s="1"/>
  <c r="S19" i="25"/>
  <c r="S6" i="23" s="1"/>
  <c r="S34" i="25"/>
  <c r="S20" i="25"/>
  <c r="I14" i="22"/>
  <c r="AJ14" i="11"/>
  <c r="AK14" i="11"/>
  <c r="Q37" i="23"/>
  <c r="Q44" i="23"/>
  <c r="Q54" i="23"/>
  <c r="Q31" i="23"/>
  <c r="Q52" i="23"/>
  <c r="Q65" i="23"/>
  <c r="Q59" i="23"/>
  <c r="Q32" i="23"/>
  <c r="Q36" i="23"/>
  <c r="Q61" i="23"/>
  <c r="Q51" i="23"/>
  <c r="Q43" i="23"/>
  <c r="Q63" i="23"/>
  <c r="Q25" i="23"/>
  <c r="BK25" i="23" s="1"/>
  <c r="AO11" i="22" s="1"/>
  <c r="Q29" i="23"/>
  <c r="Q38" i="23"/>
  <c r="Q40" i="23"/>
  <c r="Q45" i="23"/>
  <c r="Q47" i="23"/>
  <c r="Q42" i="23"/>
  <c r="Q56" i="23"/>
  <c r="Q34" i="23"/>
  <c r="Q26" i="23"/>
  <c r="Q27" i="23"/>
  <c r="Q55" i="23"/>
  <c r="Q28" i="23"/>
  <c r="Q62" i="23"/>
  <c r="Q53" i="23"/>
  <c r="Q50" i="23"/>
  <c r="Q46" i="23"/>
  <c r="Q64" i="23"/>
  <c r="Q30" i="23"/>
  <c r="Q49" i="23"/>
  <c r="Q41" i="23"/>
  <c r="Q68" i="23"/>
  <c r="Q35" i="23"/>
  <c r="Q39" i="23"/>
  <c r="Q66" i="23"/>
  <c r="Q57" i="23"/>
  <c r="Q67" i="23"/>
  <c r="Q48" i="23"/>
  <c r="Q33" i="23"/>
  <c r="Q60" i="23"/>
  <c r="Q58" i="23"/>
  <c r="BN23" i="23"/>
  <c r="R40" i="25"/>
  <c r="R7" i="23"/>
  <c r="R4" i="23" s="1"/>
  <c r="P177" i="23"/>
  <c r="P169" i="23"/>
  <c r="P172" i="23"/>
  <c r="P153" i="23"/>
  <c r="P161" i="23"/>
  <c r="P184" i="23"/>
  <c r="P181" i="23"/>
  <c r="P159" i="23"/>
  <c r="P152" i="23"/>
  <c r="P187" i="23"/>
  <c r="P160" i="23"/>
  <c r="P174" i="23"/>
  <c r="P149" i="23"/>
  <c r="P165" i="23"/>
  <c r="P180" i="23"/>
  <c r="P155" i="23"/>
  <c r="P158" i="23"/>
  <c r="P166" i="23"/>
  <c r="P185" i="23"/>
  <c r="P179" i="23"/>
  <c r="P188" i="23"/>
  <c r="P146" i="23"/>
  <c r="BK146" i="23" s="1"/>
  <c r="BM24" i="23" s="1"/>
  <c r="AN9" i="22" s="1"/>
  <c r="AN12" i="22" s="1"/>
  <c r="P175" i="23"/>
  <c r="P178" i="23"/>
  <c r="P186" i="23"/>
  <c r="P162" i="23"/>
  <c r="P176" i="23"/>
  <c r="P164" i="23"/>
  <c r="P148" i="23"/>
  <c r="P170" i="23"/>
  <c r="P157" i="23"/>
  <c r="P183" i="23"/>
  <c r="P182" i="23"/>
  <c r="P171" i="23"/>
  <c r="P189" i="23"/>
  <c r="P173" i="23"/>
  <c r="P168" i="23"/>
  <c r="P151" i="23"/>
  <c r="P163" i="23"/>
  <c r="P156" i="23"/>
  <c r="P167" i="23"/>
  <c r="P190" i="23"/>
  <c r="P154" i="23"/>
  <c r="P147" i="23"/>
  <c r="P150" i="23"/>
  <c r="J16" i="22"/>
  <c r="B16" i="32"/>
  <c r="G16" i="22"/>
  <c r="R106" i="23"/>
  <c r="R111" i="23"/>
  <c r="R109" i="23"/>
  <c r="R124" i="23"/>
  <c r="R91" i="23"/>
  <c r="R122" i="23"/>
  <c r="R87" i="23"/>
  <c r="R99" i="23"/>
  <c r="R98" i="23"/>
  <c r="R105" i="23"/>
  <c r="R117" i="23"/>
  <c r="R129" i="23"/>
  <c r="R108" i="23"/>
  <c r="R115" i="23"/>
  <c r="R120" i="23"/>
  <c r="R90" i="23"/>
  <c r="R121" i="23"/>
  <c r="R116" i="23"/>
  <c r="R95" i="23"/>
  <c r="R114" i="23"/>
  <c r="R101" i="23"/>
  <c r="R93" i="23"/>
  <c r="R113" i="23"/>
  <c r="R88" i="23"/>
  <c r="R125" i="23"/>
  <c r="R104" i="23"/>
  <c r="R96" i="23"/>
  <c r="R100" i="23"/>
  <c r="R123" i="23"/>
  <c r="R107" i="23"/>
  <c r="R89" i="23"/>
  <c r="R94" i="23"/>
  <c r="R126" i="23"/>
  <c r="R128" i="23"/>
  <c r="R119" i="23"/>
  <c r="R110" i="23"/>
  <c r="R102" i="23"/>
  <c r="R92" i="23"/>
  <c r="R97" i="23"/>
  <c r="R118" i="23"/>
  <c r="R127" i="23"/>
  <c r="R112" i="23"/>
  <c r="R103" i="23"/>
  <c r="Q7" i="23"/>
  <c r="Q4" i="23" s="1"/>
  <c r="Q40" i="25"/>
  <c r="AM12" i="11"/>
  <c r="AL12" i="11"/>
  <c r="BR11" i="11"/>
  <c r="AF48" i="41"/>
  <c r="Q93" i="23"/>
  <c r="Q102" i="23"/>
  <c r="Q106" i="23"/>
  <c r="Q122" i="23"/>
  <c r="Q108" i="23"/>
  <c r="Q113" i="23"/>
  <c r="Q109" i="23"/>
  <c r="Q129" i="23"/>
  <c r="Q88" i="23"/>
  <c r="Q112" i="23"/>
  <c r="Q117" i="23"/>
  <c r="Q119" i="23"/>
  <c r="Q128" i="23"/>
  <c r="Q87" i="23"/>
  <c r="Q127" i="23"/>
  <c r="Q126" i="23"/>
  <c r="Q98" i="23"/>
  <c r="Q123" i="23"/>
  <c r="Q107" i="23"/>
  <c r="Q94" i="23"/>
  <c r="Q116" i="23"/>
  <c r="Q92" i="23"/>
  <c r="Q95" i="23"/>
  <c r="Q118" i="23"/>
  <c r="Q105" i="23"/>
  <c r="Q104" i="23"/>
  <c r="Q111" i="23"/>
  <c r="Q124" i="23"/>
  <c r="Q101" i="23"/>
  <c r="Q110" i="23"/>
  <c r="Q103" i="23"/>
  <c r="Q97" i="23"/>
  <c r="Q99" i="23"/>
  <c r="Q125" i="23"/>
  <c r="Q96" i="23"/>
  <c r="Q89" i="23"/>
  <c r="Q91" i="23"/>
  <c r="Q100" i="23"/>
  <c r="Q114" i="23"/>
  <c r="Q121" i="23"/>
  <c r="Q115" i="23"/>
  <c r="Q86" i="23"/>
  <c r="BK86" i="23" s="1"/>
  <c r="BL25" i="23" s="1"/>
  <c r="AO10" i="22" s="1"/>
  <c r="Q120" i="23"/>
  <c r="Q90" i="23"/>
  <c r="P4" i="23"/>
  <c r="I13" i="22" l="1"/>
  <c r="AJ13" i="11"/>
  <c r="L13" i="32" s="1"/>
  <c r="V13" i="32" s="1"/>
  <c r="C17" i="22"/>
  <c r="B17" i="32" s="1"/>
  <c r="AL15" i="22"/>
  <c r="AL16" i="22"/>
  <c r="AM16" i="22" s="1"/>
  <c r="AC12" i="32"/>
  <c r="BI39" i="32" s="1"/>
  <c r="AY13" i="32"/>
  <c r="AK13" i="32"/>
  <c r="AM9" i="32" s="1"/>
  <c r="AO9" i="32" s="1"/>
  <c r="AY14" i="32"/>
  <c r="AK14" i="32"/>
  <c r="AQ16" i="32"/>
  <c r="C18" i="22"/>
  <c r="AM15" i="22"/>
  <c r="BK87" i="23"/>
  <c r="BL26" i="23" s="1"/>
  <c r="AP10" i="22" s="1"/>
  <c r="AJ19" i="22"/>
  <c r="AK19" i="22" s="1"/>
  <c r="BN24" i="23"/>
  <c r="AM13" i="11"/>
  <c r="AL13" i="11"/>
  <c r="S45" i="23"/>
  <c r="S42" i="23"/>
  <c r="S53" i="23"/>
  <c r="S30" i="23"/>
  <c r="S27" i="23"/>
  <c r="BK27" i="23" s="1"/>
  <c r="AQ11" i="22" s="1"/>
  <c r="S29" i="23"/>
  <c r="S38" i="23"/>
  <c r="S28" i="23"/>
  <c r="S62" i="23"/>
  <c r="S61" i="23"/>
  <c r="S65" i="23"/>
  <c r="S43" i="23"/>
  <c r="S44" i="23"/>
  <c r="S57" i="23"/>
  <c r="S50" i="23"/>
  <c r="S68" i="23"/>
  <c r="S67" i="23"/>
  <c r="S34" i="23"/>
  <c r="S46" i="23"/>
  <c r="S60" i="23"/>
  <c r="S47" i="23"/>
  <c r="S39" i="23"/>
  <c r="S54" i="23"/>
  <c r="S32" i="23"/>
  <c r="S64" i="23"/>
  <c r="S48" i="23"/>
  <c r="S59" i="23"/>
  <c r="S36" i="23"/>
  <c r="S55" i="23"/>
  <c r="S51" i="23"/>
  <c r="S52" i="23"/>
  <c r="S37" i="23"/>
  <c r="S63" i="23"/>
  <c r="S56" i="23"/>
  <c r="S41" i="23"/>
  <c r="S40" i="23"/>
  <c r="S35" i="23"/>
  <c r="S66" i="23"/>
  <c r="S31" i="23"/>
  <c r="S58" i="23"/>
  <c r="S49" i="23"/>
  <c r="S33" i="23"/>
  <c r="S111" i="23"/>
  <c r="S122" i="23"/>
  <c r="S114" i="23"/>
  <c r="S96" i="23"/>
  <c r="S109" i="23"/>
  <c r="S89" i="23"/>
  <c r="S105" i="23"/>
  <c r="S92" i="23"/>
  <c r="S101" i="23"/>
  <c r="S103" i="23"/>
  <c r="S104" i="23"/>
  <c r="S112" i="23"/>
  <c r="S116" i="23"/>
  <c r="S102" i="23"/>
  <c r="S119" i="23"/>
  <c r="S121" i="23"/>
  <c r="S110" i="23"/>
  <c r="S94" i="23"/>
  <c r="S107" i="23"/>
  <c r="S88" i="23"/>
  <c r="BK88" i="23" s="1"/>
  <c r="BL27" i="23" s="1"/>
  <c r="AQ10" i="22" s="1"/>
  <c r="S127" i="23"/>
  <c r="S128" i="23"/>
  <c r="S126" i="23"/>
  <c r="S125" i="23"/>
  <c r="S124" i="23"/>
  <c r="S120" i="23"/>
  <c r="S99" i="23"/>
  <c r="S98" i="23"/>
  <c r="S97" i="23"/>
  <c r="S117" i="23"/>
  <c r="S91" i="23"/>
  <c r="S100" i="23"/>
  <c r="S90" i="23"/>
  <c r="S95" i="23"/>
  <c r="S129" i="23"/>
  <c r="S113" i="23"/>
  <c r="S108" i="23"/>
  <c r="S115" i="23"/>
  <c r="S93" i="23"/>
  <c r="S123" i="23"/>
  <c r="S118" i="23"/>
  <c r="S106" i="23"/>
  <c r="AM14" i="11"/>
  <c r="AL14" i="11"/>
  <c r="BW14" i="11"/>
  <c r="J15" i="22"/>
  <c r="B15" i="32"/>
  <c r="G15" i="22"/>
  <c r="L14" i="32"/>
  <c r="V14" i="32" s="1"/>
  <c r="Q184" i="23"/>
  <c r="Q187" i="23"/>
  <c r="Q155" i="23"/>
  <c r="Q182" i="23"/>
  <c r="Q189" i="23"/>
  <c r="Q170" i="23"/>
  <c r="Q180" i="23"/>
  <c r="Q183" i="23"/>
  <c r="Q174" i="23"/>
  <c r="Q163" i="23"/>
  <c r="Q171" i="23"/>
  <c r="Q167" i="23"/>
  <c r="Q154" i="23"/>
  <c r="Q150" i="23"/>
  <c r="Q148" i="23"/>
  <c r="Q161" i="23"/>
  <c r="Q185" i="23"/>
  <c r="Q178" i="23"/>
  <c r="Q188" i="23"/>
  <c r="Q156" i="23"/>
  <c r="Q149" i="23"/>
  <c r="Q175" i="23"/>
  <c r="Q152" i="23"/>
  <c r="Q166" i="23"/>
  <c r="Q164" i="23"/>
  <c r="Q177" i="23"/>
  <c r="Q165" i="23"/>
  <c r="Q157" i="23"/>
  <c r="Q190" i="23"/>
  <c r="Q153" i="23"/>
  <c r="Q160" i="23"/>
  <c r="Q172" i="23"/>
  <c r="Q147" i="23"/>
  <c r="BK147" i="23" s="1"/>
  <c r="BM25" i="23" s="1"/>
  <c r="AO9" i="22" s="1"/>
  <c r="AO12" i="22" s="1"/>
  <c r="Q168" i="23"/>
  <c r="Q173" i="23"/>
  <c r="Q151" i="23"/>
  <c r="Q179" i="23"/>
  <c r="Q159" i="23"/>
  <c r="Q176" i="23"/>
  <c r="Q169" i="23"/>
  <c r="Q158" i="23"/>
  <c r="Q186" i="23"/>
  <c r="Q162" i="23"/>
  <c r="Q181" i="23"/>
  <c r="R164" i="23"/>
  <c r="R173" i="23"/>
  <c r="R169" i="23"/>
  <c r="R176" i="23"/>
  <c r="R179" i="23"/>
  <c r="R167" i="23"/>
  <c r="R170" i="23"/>
  <c r="R154" i="23"/>
  <c r="R155" i="23"/>
  <c r="R182" i="23"/>
  <c r="R168" i="23"/>
  <c r="R162" i="23"/>
  <c r="R180" i="23"/>
  <c r="R166" i="23"/>
  <c r="R189" i="23"/>
  <c r="R159" i="23"/>
  <c r="R190" i="23"/>
  <c r="R181" i="23"/>
  <c r="R161" i="23"/>
  <c r="R153" i="23"/>
  <c r="R152" i="23"/>
  <c r="R165" i="23"/>
  <c r="R148" i="23"/>
  <c r="R177" i="23"/>
  <c r="R150" i="23"/>
  <c r="R188" i="23"/>
  <c r="R151" i="23"/>
  <c r="R163" i="23"/>
  <c r="R158" i="23"/>
  <c r="R149" i="23"/>
  <c r="R178" i="23"/>
  <c r="R184" i="23"/>
  <c r="R183" i="23"/>
  <c r="R174" i="23"/>
  <c r="R185" i="23"/>
  <c r="R156" i="23"/>
  <c r="R186" i="23"/>
  <c r="R175" i="23"/>
  <c r="R171" i="23"/>
  <c r="R187" i="23"/>
  <c r="R160" i="23"/>
  <c r="R172" i="23"/>
  <c r="R157" i="23"/>
  <c r="BK26" i="23"/>
  <c r="AP11" i="22" s="1"/>
  <c r="BR12" i="11"/>
  <c r="AF49" i="41"/>
  <c r="I16" i="22"/>
  <c r="AJ16" i="11"/>
  <c r="AK16" i="11"/>
  <c r="T34" i="25"/>
  <c r="T19" i="25"/>
  <c r="T6" i="23" s="1"/>
  <c r="T18" i="25"/>
  <c r="T5" i="23" s="1"/>
  <c r="T20" i="25"/>
  <c r="S7" i="23"/>
  <c r="S4" i="23" s="1"/>
  <c r="S40" i="25"/>
  <c r="G17" i="22" l="1"/>
  <c r="I17" i="22" s="1"/>
  <c r="AL19" i="22"/>
  <c r="AM19" i="22" s="1"/>
  <c r="J17" i="22"/>
  <c r="AC14" i="32"/>
  <c r="BI41" i="32" s="1"/>
  <c r="G18" i="22"/>
  <c r="AJ18" i="11" s="1"/>
  <c r="AC13" i="32"/>
  <c r="BI40" i="32" s="1"/>
  <c r="AY16" i="32"/>
  <c r="AK16" i="32"/>
  <c r="AQ17" i="32"/>
  <c r="AQ15" i="32"/>
  <c r="B18" i="32"/>
  <c r="J18" i="22"/>
  <c r="BK148" i="23"/>
  <c r="BM26" i="23" s="1"/>
  <c r="AP9" i="22" s="1"/>
  <c r="AP12" i="22" s="1"/>
  <c r="BN25" i="23"/>
  <c r="L16" i="32"/>
  <c r="V16" i="32" s="1"/>
  <c r="U20" i="25"/>
  <c r="U34" i="25"/>
  <c r="U18" i="25"/>
  <c r="U5" i="23" s="1"/>
  <c r="U19" i="25"/>
  <c r="U6" i="23" s="1"/>
  <c r="AN15" i="22"/>
  <c r="C19" i="22"/>
  <c r="AN16" i="22"/>
  <c r="AF51" i="41"/>
  <c r="BR14" i="11"/>
  <c r="T40" i="25"/>
  <c r="T7" i="23"/>
  <c r="T4" i="23" s="1"/>
  <c r="T66" i="23"/>
  <c r="T37" i="23"/>
  <c r="T67" i="23"/>
  <c r="T58" i="23"/>
  <c r="T35" i="23"/>
  <c r="T47" i="23"/>
  <c r="T49" i="23"/>
  <c r="T28" i="23"/>
  <c r="BK28" i="23" s="1"/>
  <c r="AR11" i="22" s="1"/>
  <c r="T53" i="23"/>
  <c r="T44" i="23"/>
  <c r="T33" i="23"/>
  <c r="T36" i="23"/>
  <c r="T42" i="23"/>
  <c r="T52" i="23"/>
  <c r="T61" i="23"/>
  <c r="T59" i="23"/>
  <c r="T60" i="23"/>
  <c r="T46" i="23"/>
  <c r="T51" i="23"/>
  <c r="T68" i="23"/>
  <c r="T43" i="23"/>
  <c r="T34" i="23"/>
  <c r="T32" i="23"/>
  <c r="T62" i="23"/>
  <c r="T57" i="23"/>
  <c r="T30" i="23"/>
  <c r="T31" i="23"/>
  <c r="T38" i="23"/>
  <c r="T63" i="23"/>
  <c r="T41" i="23"/>
  <c r="T45" i="23"/>
  <c r="T39" i="23"/>
  <c r="T40" i="23"/>
  <c r="T65" i="23"/>
  <c r="T55" i="23"/>
  <c r="T56" i="23"/>
  <c r="T64" i="23"/>
  <c r="T48" i="23"/>
  <c r="T29" i="23"/>
  <c r="T54" i="23"/>
  <c r="T50" i="23"/>
  <c r="AM16" i="11"/>
  <c r="BW16" i="11"/>
  <c r="BR13" i="11"/>
  <c r="BS13" i="11" s="1"/>
  <c r="AF50" i="41"/>
  <c r="BX13" i="11"/>
  <c r="T101" i="23"/>
  <c r="T114" i="23"/>
  <c r="T113" i="23"/>
  <c r="T123" i="23"/>
  <c r="T124" i="23"/>
  <c r="T126" i="23"/>
  <c r="T120" i="23"/>
  <c r="T106" i="23"/>
  <c r="T117" i="23"/>
  <c r="T97" i="23"/>
  <c r="T119" i="23"/>
  <c r="T89" i="23"/>
  <c r="BK89" i="23" s="1"/>
  <c r="BL28" i="23" s="1"/>
  <c r="AR10" i="22" s="1"/>
  <c r="T91" i="23"/>
  <c r="T104" i="23"/>
  <c r="T103" i="23"/>
  <c r="T112" i="23"/>
  <c r="T125" i="23"/>
  <c r="T94" i="23"/>
  <c r="T111" i="23"/>
  <c r="T110" i="23"/>
  <c r="T127" i="23"/>
  <c r="T102" i="23"/>
  <c r="T121" i="23"/>
  <c r="T109" i="23"/>
  <c r="T122" i="23"/>
  <c r="T115" i="23"/>
  <c r="T95" i="23"/>
  <c r="T118" i="23"/>
  <c r="T128" i="23"/>
  <c r="T107" i="23"/>
  <c r="T96" i="23"/>
  <c r="T99" i="23"/>
  <c r="T90" i="23"/>
  <c r="T98" i="23"/>
  <c r="T108" i="23"/>
  <c r="T129" i="23"/>
  <c r="T92" i="23"/>
  <c r="T100" i="23"/>
  <c r="T116" i="23"/>
  <c r="T105" i="23"/>
  <c r="T93" i="23"/>
  <c r="S188" i="23"/>
  <c r="S164" i="23"/>
  <c r="S163" i="23"/>
  <c r="S162" i="23"/>
  <c r="S178" i="23"/>
  <c r="S185" i="23"/>
  <c r="S150" i="23"/>
  <c r="S177" i="23"/>
  <c r="S172" i="23"/>
  <c r="S169" i="23"/>
  <c r="S160" i="23"/>
  <c r="S173" i="23"/>
  <c r="S168" i="23"/>
  <c r="S180" i="23"/>
  <c r="S189" i="23"/>
  <c r="S167" i="23"/>
  <c r="S155" i="23"/>
  <c r="S152" i="23"/>
  <c r="S153" i="23"/>
  <c r="S186" i="23"/>
  <c r="S190" i="23"/>
  <c r="S161" i="23"/>
  <c r="S154" i="23"/>
  <c r="S184" i="23"/>
  <c r="S151" i="23"/>
  <c r="S183" i="23"/>
  <c r="S156" i="23"/>
  <c r="S158" i="23"/>
  <c r="S166" i="23"/>
  <c r="S181" i="23"/>
  <c r="S182" i="23"/>
  <c r="S174" i="23"/>
  <c r="S171" i="23"/>
  <c r="S165" i="23"/>
  <c r="S170" i="23"/>
  <c r="S175" i="23"/>
  <c r="S179" i="23"/>
  <c r="S176" i="23"/>
  <c r="S187" i="23"/>
  <c r="S159" i="23"/>
  <c r="S149" i="23"/>
  <c r="BK149" i="23" s="1"/>
  <c r="BM27" i="23" s="1"/>
  <c r="AQ9" i="22" s="1"/>
  <c r="AQ12" i="22" s="1"/>
  <c r="S157" i="23"/>
  <c r="I15" i="22"/>
  <c r="AJ15" i="11"/>
  <c r="AK15" i="11"/>
  <c r="AK17" i="11" l="1"/>
  <c r="BW17" i="11" s="1"/>
  <c r="AJ17" i="11"/>
  <c r="L17" i="32" s="1"/>
  <c r="V17" i="32" s="1"/>
  <c r="I18" i="22"/>
  <c r="AK18" i="11"/>
  <c r="AY15" i="32"/>
  <c r="AK15" i="32"/>
  <c r="AY17" i="32"/>
  <c r="AK17" i="32"/>
  <c r="AQ18" i="32"/>
  <c r="BN26" i="23"/>
  <c r="AQ15" i="22"/>
  <c r="U40" i="25"/>
  <c r="U7" i="23"/>
  <c r="U4" i="23" s="1"/>
  <c r="BN27" i="23"/>
  <c r="AF53" i="41"/>
  <c r="BR16" i="11"/>
  <c r="B19" i="32"/>
  <c r="J19" i="22"/>
  <c r="G19" i="22"/>
  <c r="AL15" i="11"/>
  <c r="AM15" i="11"/>
  <c r="BW15" i="11"/>
  <c r="L15" i="32"/>
  <c r="V15" i="32" s="1"/>
  <c r="AN19" i="22"/>
  <c r="U116" i="23"/>
  <c r="U104" i="23"/>
  <c r="U106" i="23"/>
  <c r="U113" i="23"/>
  <c r="U128" i="23"/>
  <c r="U103" i="23"/>
  <c r="U95" i="23"/>
  <c r="U90" i="23"/>
  <c r="BK90" i="23" s="1"/>
  <c r="BL29" i="23" s="1"/>
  <c r="AS10" i="22" s="1"/>
  <c r="U100" i="23"/>
  <c r="U124" i="23"/>
  <c r="U127" i="23"/>
  <c r="U102" i="23"/>
  <c r="U112" i="23"/>
  <c r="U98" i="23"/>
  <c r="U97" i="23"/>
  <c r="U105" i="23"/>
  <c r="U91" i="23"/>
  <c r="U115" i="23"/>
  <c r="U114" i="23"/>
  <c r="U110" i="23"/>
  <c r="U122" i="23"/>
  <c r="U129" i="23"/>
  <c r="U92" i="23"/>
  <c r="U121" i="23"/>
  <c r="U107" i="23"/>
  <c r="U96" i="23"/>
  <c r="U125" i="23"/>
  <c r="U118" i="23"/>
  <c r="U111" i="23"/>
  <c r="U94" i="23"/>
  <c r="U93" i="23"/>
  <c r="U109" i="23"/>
  <c r="U101" i="23"/>
  <c r="U123" i="23"/>
  <c r="U108" i="23"/>
  <c r="U126" i="23"/>
  <c r="U119" i="23"/>
  <c r="U117" i="23"/>
  <c r="U120" i="23"/>
  <c r="U99" i="23"/>
  <c r="AO15" i="22"/>
  <c r="C20" i="22"/>
  <c r="V19" i="25"/>
  <c r="V6" i="23" s="1"/>
  <c r="V20" i="25"/>
  <c r="V18" i="25"/>
  <c r="V5" i="23" s="1"/>
  <c r="V34" i="25"/>
  <c r="L18" i="32"/>
  <c r="V18" i="32" s="1"/>
  <c r="T167" i="23"/>
  <c r="T151" i="23"/>
  <c r="T166" i="23"/>
  <c r="T173" i="23"/>
  <c r="T154" i="23"/>
  <c r="T155" i="23"/>
  <c r="T181" i="23"/>
  <c r="T175" i="23"/>
  <c r="T188" i="23"/>
  <c r="T180" i="23"/>
  <c r="T150" i="23"/>
  <c r="BK150" i="23" s="1"/>
  <c r="BM28" i="23" s="1"/>
  <c r="AR9" i="22" s="1"/>
  <c r="AR12" i="22" s="1"/>
  <c r="T179" i="23"/>
  <c r="T182" i="23"/>
  <c r="T168" i="23"/>
  <c r="T152" i="23"/>
  <c r="T159" i="23"/>
  <c r="T189" i="23"/>
  <c r="T164" i="23"/>
  <c r="T183" i="23"/>
  <c r="T176" i="23"/>
  <c r="T157" i="23"/>
  <c r="T170" i="23"/>
  <c r="T165" i="23"/>
  <c r="T153" i="23"/>
  <c r="T177" i="23"/>
  <c r="T163" i="23"/>
  <c r="T160" i="23"/>
  <c r="T184" i="23"/>
  <c r="T178" i="23"/>
  <c r="T186" i="23"/>
  <c r="T190" i="23"/>
  <c r="T169" i="23"/>
  <c r="T156" i="23"/>
  <c r="T174" i="23"/>
  <c r="T187" i="23"/>
  <c r="T185" i="23"/>
  <c r="T158" i="23"/>
  <c r="T162" i="23"/>
  <c r="T161" i="23"/>
  <c r="T171" i="23"/>
  <c r="T172" i="23"/>
  <c r="AO16" i="22"/>
  <c r="U52" i="23"/>
  <c r="U48" i="23"/>
  <c r="U63" i="23"/>
  <c r="U56" i="23"/>
  <c r="U62" i="23"/>
  <c r="U67" i="23"/>
  <c r="U33" i="23"/>
  <c r="U66" i="23"/>
  <c r="U68" i="23"/>
  <c r="U32" i="23"/>
  <c r="U46" i="23"/>
  <c r="U49" i="23"/>
  <c r="U59" i="23"/>
  <c r="U38" i="23"/>
  <c r="U50" i="23"/>
  <c r="U34" i="23"/>
  <c r="U40" i="23"/>
  <c r="U57" i="23"/>
  <c r="U37" i="23"/>
  <c r="U55" i="23"/>
  <c r="U47" i="23"/>
  <c r="U43" i="23"/>
  <c r="U58" i="23"/>
  <c r="U44" i="23"/>
  <c r="U30" i="23"/>
  <c r="U35" i="23"/>
  <c r="U64" i="23"/>
  <c r="U29" i="23"/>
  <c r="BK29" i="23" s="1"/>
  <c r="AS11" i="22" s="1"/>
  <c r="U36" i="23"/>
  <c r="U65" i="23"/>
  <c r="U60" i="23"/>
  <c r="U54" i="23"/>
  <c r="U31" i="23"/>
  <c r="U51" i="23"/>
  <c r="U41" i="23"/>
  <c r="U53" i="23"/>
  <c r="U42" i="23"/>
  <c r="U39" i="23"/>
  <c r="U45" i="23"/>
  <c r="U61" i="23"/>
  <c r="AM17" i="11" l="1"/>
  <c r="AM18" i="11"/>
  <c r="BW18" i="11"/>
  <c r="AC15" i="32"/>
  <c r="BI42" i="32" s="1"/>
  <c r="AY18" i="32"/>
  <c r="AK18" i="32"/>
  <c r="AM14" i="32" s="1"/>
  <c r="AO14" i="32" s="1"/>
  <c r="AQ19" i="32"/>
  <c r="AP16" i="22"/>
  <c r="AQ16" i="22" s="1"/>
  <c r="C21" i="22"/>
  <c r="AP15" i="22"/>
  <c r="C22" i="22"/>
  <c r="J20" i="22"/>
  <c r="B20" i="32"/>
  <c r="G20" i="22"/>
  <c r="AO19" i="22"/>
  <c r="U152" i="23"/>
  <c r="U164" i="23"/>
  <c r="U186" i="23"/>
  <c r="U175" i="23"/>
  <c r="U176" i="23"/>
  <c r="U169" i="23"/>
  <c r="U161" i="23"/>
  <c r="U189" i="23"/>
  <c r="U165" i="23"/>
  <c r="U172" i="23"/>
  <c r="U188" i="23"/>
  <c r="U183" i="23"/>
  <c r="U155" i="23"/>
  <c r="U156" i="23"/>
  <c r="U151" i="23"/>
  <c r="BK151" i="23" s="1"/>
  <c r="BM29" i="23" s="1"/>
  <c r="AS9" i="22" s="1"/>
  <c r="AS12" i="22" s="1"/>
  <c r="U190" i="23"/>
  <c r="U173" i="23"/>
  <c r="U153" i="23"/>
  <c r="U170" i="23"/>
  <c r="U187" i="23"/>
  <c r="U182" i="23"/>
  <c r="U154" i="23"/>
  <c r="U158" i="23"/>
  <c r="U159" i="23"/>
  <c r="U166" i="23"/>
  <c r="U174" i="23"/>
  <c r="U171" i="23"/>
  <c r="U181" i="23"/>
  <c r="U167" i="23"/>
  <c r="U180" i="23"/>
  <c r="U157" i="23"/>
  <c r="U168" i="23"/>
  <c r="U162" i="23"/>
  <c r="U163" i="23"/>
  <c r="U184" i="23"/>
  <c r="U178" i="23"/>
  <c r="U177" i="23"/>
  <c r="U179" i="23"/>
  <c r="U185" i="23"/>
  <c r="U160" i="23"/>
  <c r="V56" i="23"/>
  <c r="V62" i="23"/>
  <c r="V53" i="23"/>
  <c r="V34" i="23"/>
  <c r="V43" i="23"/>
  <c r="V36" i="23"/>
  <c r="V54" i="23"/>
  <c r="V44" i="23"/>
  <c r="V55" i="23"/>
  <c r="V47" i="23"/>
  <c r="V58" i="23"/>
  <c r="V48" i="23"/>
  <c r="V37" i="23"/>
  <c r="V67" i="23"/>
  <c r="V38" i="23"/>
  <c r="V57" i="23"/>
  <c r="V64" i="23"/>
  <c r="V63" i="23"/>
  <c r="V61" i="23"/>
  <c r="V52" i="23"/>
  <c r="V39" i="23"/>
  <c r="V32" i="23"/>
  <c r="V35" i="23"/>
  <c r="V42" i="23"/>
  <c r="V31" i="23"/>
  <c r="V33" i="23"/>
  <c r="V68" i="23"/>
  <c r="V41" i="23"/>
  <c r="V65" i="23"/>
  <c r="V45" i="23"/>
  <c r="V59" i="23"/>
  <c r="V49" i="23"/>
  <c r="V40" i="23"/>
  <c r="V66" i="23"/>
  <c r="V46" i="23"/>
  <c r="V51" i="23"/>
  <c r="V50" i="23"/>
  <c r="V60" i="23"/>
  <c r="V30" i="23"/>
  <c r="BK30" i="23" s="1"/>
  <c r="AT11" i="22" s="1"/>
  <c r="AF54" i="41"/>
  <c r="BR17" i="11"/>
  <c r="V7" i="23"/>
  <c r="V4" i="23" s="1"/>
  <c r="V40" i="25"/>
  <c r="W34" i="25"/>
  <c r="W19" i="25"/>
  <c r="W6" i="23" s="1"/>
  <c r="W18" i="25"/>
  <c r="W5" i="23" s="1"/>
  <c r="W20" i="25"/>
  <c r="BN28" i="23"/>
  <c r="I19" i="22"/>
  <c r="AJ19" i="11"/>
  <c r="AK19" i="11"/>
  <c r="BR15" i="11"/>
  <c r="AF52" i="41"/>
  <c r="V111" i="23"/>
  <c r="V129" i="23"/>
  <c r="V128" i="23"/>
  <c r="V105" i="23"/>
  <c r="V119" i="23"/>
  <c r="V94" i="23"/>
  <c r="V101" i="23"/>
  <c r="V92" i="23"/>
  <c r="V114" i="23"/>
  <c r="V98" i="23"/>
  <c r="V122" i="23"/>
  <c r="V112" i="23"/>
  <c r="V120" i="23"/>
  <c r="V99" i="23"/>
  <c r="V106" i="23"/>
  <c r="V113" i="23"/>
  <c r="V118" i="23"/>
  <c r="V109" i="23"/>
  <c r="V104" i="23"/>
  <c r="V96" i="23"/>
  <c r="V91" i="23"/>
  <c r="BK91" i="23" s="1"/>
  <c r="BL30" i="23" s="1"/>
  <c r="AT10" i="22" s="1"/>
  <c r="V126" i="23"/>
  <c r="V108" i="23"/>
  <c r="V103" i="23"/>
  <c r="V127" i="23"/>
  <c r="V115" i="23"/>
  <c r="V95" i="23"/>
  <c r="V121" i="23"/>
  <c r="V123" i="23"/>
  <c r="V124" i="23"/>
  <c r="V97" i="23"/>
  <c r="V93" i="23"/>
  <c r="V102" i="23"/>
  <c r="V110" i="23"/>
  <c r="V125" i="23"/>
  <c r="V116" i="23"/>
  <c r="V117" i="23"/>
  <c r="V107" i="23"/>
  <c r="V100" i="23"/>
  <c r="BR18" i="11" l="1"/>
  <c r="BS18" i="11" s="1"/>
  <c r="AF55" i="41"/>
  <c r="BX18" i="11"/>
  <c r="J22" i="22"/>
  <c r="B21" i="32"/>
  <c r="AQ21" i="32" s="1"/>
  <c r="AY19" i="32"/>
  <c r="AK19" i="32"/>
  <c r="AQ20" i="32"/>
  <c r="G21" i="22"/>
  <c r="AJ21" i="11" s="1"/>
  <c r="J21" i="22"/>
  <c r="AP19" i="22"/>
  <c r="AQ19" i="22" s="1"/>
  <c r="AR16" i="22"/>
  <c r="C23" i="22"/>
  <c r="AR15" i="22"/>
  <c r="B22" i="32"/>
  <c r="G22" i="22"/>
  <c r="AJ22" i="11" s="1"/>
  <c r="AS15" i="22"/>
  <c r="I20" i="22"/>
  <c r="AJ20" i="11"/>
  <c r="AK20" i="11"/>
  <c r="X34" i="25"/>
  <c r="X20" i="25"/>
  <c r="X18" i="25"/>
  <c r="X5" i="23" s="1"/>
  <c r="X19" i="25"/>
  <c r="X6" i="23" s="1"/>
  <c r="W40" i="25"/>
  <c r="W7" i="23"/>
  <c r="W4" i="23" s="1"/>
  <c r="W112" i="23"/>
  <c r="W121" i="23"/>
  <c r="W99" i="23"/>
  <c r="W104" i="23"/>
  <c r="W120" i="23"/>
  <c r="W113" i="23"/>
  <c r="W119" i="23"/>
  <c r="W110" i="23"/>
  <c r="W97" i="23"/>
  <c r="W126" i="23"/>
  <c r="W125" i="23"/>
  <c r="W102" i="23"/>
  <c r="W92" i="23"/>
  <c r="BK92" i="23" s="1"/>
  <c r="BL31" i="23" s="1"/>
  <c r="AU10" i="22" s="1"/>
  <c r="W115" i="23"/>
  <c r="W108" i="23"/>
  <c r="W98" i="23"/>
  <c r="W93" i="23"/>
  <c r="W111" i="23"/>
  <c r="W117" i="23"/>
  <c r="W129" i="23"/>
  <c r="W94" i="23"/>
  <c r="W101" i="23"/>
  <c r="W107" i="23"/>
  <c r="W96" i="23"/>
  <c r="W103" i="23"/>
  <c r="W127" i="23"/>
  <c r="W118" i="23"/>
  <c r="W109" i="23"/>
  <c r="W116" i="23"/>
  <c r="W128" i="23"/>
  <c r="W105" i="23"/>
  <c r="W95" i="23"/>
  <c r="W123" i="23"/>
  <c r="W124" i="23"/>
  <c r="W114" i="23"/>
  <c r="W100" i="23"/>
  <c r="W106" i="23"/>
  <c r="W122" i="23"/>
  <c r="BN29" i="23"/>
  <c r="W45" i="23"/>
  <c r="W52" i="23"/>
  <c r="W62" i="23"/>
  <c r="W61" i="23"/>
  <c r="W40" i="23"/>
  <c r="W49" i="23"/>
  <c r="W68" i="23"/>
  <c r="W59" i="23"/>
  <c r="W32" i="23"/>
  <c r="W56" i="23"/>
  <c r="W53" i="23"/>
  <c r="W42" i="23"/>
  <c r="W65" i="23"/>
  <c r="W43" i="23"/>
  <c r="W57" i="23"/>
  <c r="W39" i="23"/>
  <c r="W44" i="23"/>
  <c r="W63" i="23"/>
  <c r="W36" i="23"/>
  <c r="W67" i="23"/>
  <c r="W51" i="23"/>
  <c r="W50" i="23"/>
  <c r="W33" i="23"/>
  <c r="W54" i="23"/>
  <c r="W38" i="23"/>
  <c r="W55" i="23"/>
  <c r="W47" i="23"/>
  <c r="W34" i="23"/>
  <c r="W31" i="23"/>
  <c r="BK31" i="23" s="1"/>
  <c r="AU11" i="22" s="1"/>
  <c r="W64" i="23"/>
  <c r="W41" i="23"/>
  <c r="W58" i="23"/>
  <c r="W48" i="23"/>
  <c r="W66" i="23"/>
  <c r="W46" i="23"/>
  <c r="W35" i="23"/>
  <c r="W60" i="23"/>
  <c r="W37" i="23"/>
  <c r="V190" i="23"/>
  <c r="V157" i="23"/>
  <c r="V169" i="23"/>
  <c r="V184" i="23"/>
  <c r="V171" i="23"/>
  <c r="V178" i="23"/>
  <c r="V175" i="23"/>
  <c r="V172" i="23"/>
  <c r="V153" i="23"/>
  <c r="V165" i="23"/>
  <c r="V182" i="23"/>
  <c r="V164" i="23"/>
  <c r="V167" i="23"/>
  <c r="V152" i="23"/>
  <c r="BK152" i="23" s="1"/>
  <c r="BM30" i="23" s="1"/>
  <c r="AT9" i="22" s="1"/>
  <c r="AT12" i="22" s="1"/>
  <c r="V183" i="23"/>
  <c r="V170" i="23"/>
  <c r="V156" i="23"/>
  <c r="V168" i="23"/>
  <c r="V160" i="23"/>
  <c r="V187" i="23"/>
  <c r="V174" i="23"/>
  <c r="V162" i="23"/>
  <c r="V176" i="23"/>
  <c r="V186" i="23"/>
  <c r="V180" i="23"/>
  <c r="V161" i="23"/>
  <c r="V163" i="23"/>
  <c r="V173" i="23"/>
  <c r="V179" i="23"/>
  <c r="V159" i="23"/>
  <c r="V189" i="23"/>
  <c r="V177" i="23"/>
  <c r="V154" i="23"/>
  <c r="V188" i="23"/>
  <c r="V166" i="23"/>
  <c r="V181" i="23"/>
  <c r="V155" i="23"/>
  <c r="V158" i="23"/>
  <c r="V185" i="23"/>
  <c r="AM19" i="11"/>
  <c r="BW19" i="11"/>
  <c r="L19" i="32"/>
  <c r="V19" i="32" s="1"/>
  <c r="B23" i="32" l="1"/>
  <c r="AQ23" i="32" s="1"/>
  <c r="AY21" i="32"/>
  <c r="AK21" i="32"/>
  <c r="AY20" i="32"/>
  <c r="AK20" i="32"/>
  <c r="AQ22" i="32"/>
  <c r="AK21" i="11"/>
  <c r="I21" i="22"/>
  <c r="J23" i="22"/>
  <c r="G23" i="22"/>
  <c r="I23" i="22" s="1"/>
  <c r="I22" i="22"/>
  <c r="AK22" i="11"/>
  <c r="AR19" i="22"/>
  <c r="AS19" i="22" s="1"/>
  <c r="C24" i="22"/>
  <c r="AS16" i="22"/>
  <c r="C25" i="22"/>
  <c r="X104" i="23"/>
  <c r="X123" i="23"/>
  <c r="X129" i="23"/>
  <c r="X122" i="23"/>
  <c r="X127" i="23"/>
  <c r="X128" i="23"/>
  <c r="X99" i="23"/>
  <c r="X126" i="23"/>
  <c r="X113" i="23"/>
  <c r="X118" i="23"/>
  <c r="X120" i="23"/>
  <c r="X103" i="23"/>
  <c r="X110" i="23"/>
  <c r="X117" i="23"/>
  <c r="X101" i="23"/>
  <c r="X125" i="23"/>
  <c r="X96" i="23"/>
  <c r="X102" i="23"/>
  <c r="X95" i="23"/>
  <c r="X93" i="23"/>
  <c r="BK93" i="23" s="1"/>
  <c r="BL32" i="23" s="1"/>
  <c r="AV10" i="22" s="1"/>
  <c r="X97" i="23"/>
  <c r="X105" i="23"/>
  <c r="X124" i="23"/>
  <c r="X94" i="23"/>
  <c r="X112" i="23"/>
  <c r="X115" i="23"/>
  <c r="X108" i="23"/>
  <c r="X111" i="23"/>
  <c r="X109" i="23"/>
  <c r="X116" i="23"/>
  <c r="X98" i="23"/>
  <c r="X106" i="23"/>
  <c r="X114" i="23"/>
  <c r="X107" i="23"/>
  <c r="X119" i="23"/>
  <c r="X100" i="23"/>
  <c r="X121" i="23"/>
  <c r="L22" i="32"/>
  <c r="V22" i="32" s="1"/>
  <c r="X40" i="25"/>
  <c r="X7" i="23"/>
  <c r="X4" i="23" s="1"/>
  <c r="BN30" i="23"/>
  <c r="W189" i="23"/>
  <c r="W158" i="23"/>
  <c r="W159" i="23"/>
  <c r="W162" i="23"/>
  <c r="W161" i="23"/>
  <c r="W185" i="23"/>
  <c r="W160" i="23"/>
  <c r="W184" i="23"/>
  <c r="W167" i="23"/>
  <c r="W180" i="23"/>
  <c r="W181" i="23"/>
  <c r="W188" i="23"/>
  <c r="W187" i="23"/>
  <c r="W171" i="23"/>
  <c r="W155" i="23"/>
  <c r="W157" i="23"/>
  <c r="W156" i="23"/>
  <c r="W164" i="23"/>
  <c r="W190" i="23"/>
  <c r="W165" i="23"/>
  <c r="W163" i="23"/>
  <c r="W166" i="23"/>
  <c r="W176" i="23"/>
  <c r="W174" i="23"/>
  <c r="W186" i="23"/>
  <c r="W154" i="23"/>
  <c r="W179" i="23"/>
  <c r="W169" i="23"/>
  <c r="W168" i="23"/>
  <c r="W172" i="23"/>
  <c r="W183" i="23"/>
  <c r="W153" i="23"/>
  <c r="BK153" i="23" s="1"/>
  <c r="BM31" i="23" s="1"/>
  <c r="AU9" i="22" s="1"/>
  <c r="AU12" i="22" s="1"/>
  <c r="W182" i="23"/>
  <c r="W177" i="23"/>
  <c r="W175" i="23"/>
  <c r="W173" i="23"/>
  <c r="W170" i="23"/>
  <c r="W178" i="23"/>
  <c r="BW20" i="11"/>
  <c r="AM20" i="11"/>
  <c r="L21" i="32"/>
  <c r="V21" i="32" s="1"/>
  <c r="L20" i="32"/>
  <c r="V20" i="32" s="1"/>
  <c r="AF56" i="41"/>
  <c r="BR19" i="11"/>
  <c r="Y18" i="25"/>
  <c r="Y5" i="23" s="1"/>
  <c r="Y20" i="25"/>
  <c r="Y34" i="25"/>
  <c r="Y19" i="25"/>
  <c r="Y6" i="23" s="1"/>
  <c r="X39" i="23"/>
  <c r="X58" i="23"/>
  <c r="X48" i="23"/>
  <c r="X61" i="23"/>
  <c r="X56" i="23"/>
  <c r="X50" i="23"/>
  <c r="X45" i="23"/>
  <c r="X44" i="23"/>
  <c r="X67" i="23"/>
  <c r="X47" i="23"/>
  <c r="X34" i="23"/>
  <c r="X66" i="23"/>
  <c r="X64" i="23"/>
  <c r="X55" i="23"/>
  <c r="X62" i="23"/>
  <c r="X53" i="23"/>
  <c r="X65" i="23"/>
  <c r="X32" i="23"/>
  <c r="BK32" i="23" s="1"/>
  <c r="AV11" i="22" s="1"/>
  <c r="X41" i="23"/>
  <c r="X40" i="23"/>
  <c r="X36" i="23"/>
  <c r="X33" i="23"/>
  <c r="X60" i="23"/>
  <c r="X51" i="23"/>
  <c r="X57" i="23"/>
  <c r="X46" i="23"/>
  <c r="X49" i="23"/>
  <c r="X35" i="23"/>
  <c r="X43" i="23"/>
  <c r="X38" i="23"/>
  <c r="X59" i="23"/>
  <c r="X52" i="23"/>
  <c r="X42" i="23"/>
  <c r="X37" i="23"/>
  <c r="X54" i="23"/>
  <c r="X68" i="23"/>
  <c r="X63" i="23"/>
  <c r="B24" i="32" l="1"/>
  <c r="AQ24" i="32" s="1"/>
  <c r="AY23" i="32"/>
  <c r="AK23" i="32"/>
  <c r="AY22" i="32"/>
  <c r="AK22" i="32"/>
  <c r="BW21" i="11"/>
  <c r="AM21" i="11"/>
  <c r="AK23" i="11"/>
  <c r="AJ23" i="11"/>
  <c r="BW22" i="11"/>
  <c r="AM22" i="11"/>
  <c r="AT15" i="22"/>
  <c r="G24" i="22"/>
  <c r="AJ24" i="11" s="1"/>
  <c r="J24" i="22"/>
  <c r="AT16" i="22"/>
  <c r="BN31" i="23"/>
  <c r="Y33" i="23"/>
  <c r="BK33" i="23" s="1"/>
  <c r="AW11" i="22" s="1"/>
  <c r="Y55" i="23"/>
  <c r="Y60" i="23"/>
  <c r="Y34" i="23"/>
  <c r="Y51" i="23"/>
  <c r="Y35" i="23"/>
  <c r="Y65" i="23"/>
  <c r="Y43" i="23"/>
  <c r="Y62" i="23"/>
  <c r="Y50" i="23"/>
  <c r="Y38" i="23"/>
  <c r="Y67" i="23"/>
  <c r="Y39" i="23"/>
  <c r="Y63" i="23"/>
  <c r="Y40" i="23"/>
  <c r="Y44" i="23"/>
  <c r="Y42" i="23"/>
  <c r="Y68" i="23"/>
  <c r="Y54" i="23"/>
  <c r="Y41" i="23"/>
  <c r="Y47" i="23"/>
  <c r="Y61" i="23"/>
  <c r="Y36" i="23"/>
  <c r="Y66" i="23"/>
  <c r="Y64" i="23"/>
  <c r="Y49" i="23"/>
  <c r="Y59" i="23"/>
  <c r="Y53" i="23"/>
  <c r="Y37" i="23"/>
  <c r="Y52" i="23"/>
  <c r="Y45" i="23"/>
  <c r="Y46" i="23"/>
  <c r="Y48" i="23"/>
  <c r="Y57" i="23"/>
  <c r="Y56" i="23"/>
  <c r="Y58" i="23"/>
  <c r="Y119" i="23"/>
  <c r="Y100" i="23"/>
  <c r="Y121" i="23"/>
  <c r="Y123" i="23"/>
  <c r="Y98" i="23"/>
  <c r="Y113" i="23"/>
  <c r="Y116" i="23"/>
  <c r="Y124" i="23"/>
  <c r="Y97" i="23"/>
  <c r="Y118" i="23"/>
  <c r="Y102" i="23"/>
  <c r="Y120" i="23"/>
  <c r="Y95" i="23"/>
  <c r="Y99" i="23"/>
  <c r="Y128" i="23"/>
  <c r="Y101" i="23"/>
  <c r="Y110" i="23"/>
  <c r="Y94" i="23"/>
  <c r="BK94" i="23" s="1"/>
  <c r="BL33" i="23" s="1"/>
  <c r="AW10" i="22" s="1"/>
  <c r="Y106" i="23"/>
  <c r="Y125" i="23"/>
  <c r="Y126" i="23"/>
  <c r="Y114" i="23"/>
  <c r="Y111" i="23"/>
  <c r="Y127" i="23"/>
  <c r="Y115" i="23"/>
  <c r="Y108" i="23"/>
  <c r="Y129" i="23"/>
  <c r="Y117" i="23"/>
  <c r="Y96" i="23"/>
  <c r="Y105" i="23"/>
  <c r="Y122" i="23"/>
  <c r="Y107" i="23"/>
  <c r="Y109" i="23"/>
  <c r="Y104" i="23"/>
  <c r="Y103" i="23"/>
  <c r="Y112" i="23"/>
  <c r="X188" i="23"/>
  <c r="X176" i="23"/>
  <c r="X180" i="23"/>
  <c r="X172" i="23"/>
  <c r="X154" i="23"/>
  <c r="BK154" i="23" s="1"/>
  <c r="BM32" i="23" s="1"/>
  <c r="AV9" i="22" s="1"/>
  <c r="AV12" i="22" s="1"/>
  <c r="X171" i="23"/>
  <c r="X162" i="23"/>
  <c r="X163" i="23"/>
  <c r="X161" i="23"/>
  <c r="X157" i="23"/>
  <c r="X179" i="23"/>
  <c r="X173" i="23"/>
  <c r="X177" i="23"/>
  <c r="X168" i="23"/>
  <c r="X174" i="23"/>
  <c r="X166" i="23"/>
  <c r="X167" i="23"/>
  <c r="X190" i="23"/>
  <c r="X187" i="23"/>
  <c r="X160" i="23"/>
  <c r="X178" i="23"/>
  <c r="X159" i="23"/>
  <c r="X183" i="23"/>
  <c r="X186" i="23"/>
  <c r="X164" i="23"/>
  <c r="X165" i="23"/>
  <c r="X181" i="23"/>
  <c r="X185" i="23"/>
  <c r="X184" i="23"/>
  <c r="X182" i="23"/>
  <c r="X155" i="23"/>
  <c r="X175" i="23"/>
  <c r="X169" i="23"/>
  <c r="X170" i="23"/>
  <c r="X158" i="23"/>
  <c r="X189" i="23"/>
  <c r="X156" i="23"/>
  <c r="Y40" i="25"/>
  <c r="Y7" i="23"/>
  <c r="J25" i="22"/>
  <c r="B25" i="32"/>
  <c r="G25" i="22"/>
  <c r="Z34" i="25"/>
  <c r="Z18" i="25"/>
  <c r="Z5" i="23" s="1"/>
  <c r="Z19" i="25"/>
  <c r="Z6" i="23" s="1"/>
  <c r="Z20" i="25"/>
  <c r="BR20" i="11"/>
  <c r="AF57" i="41"/>
  <c r="L23" i="32" l="1"/>
  <c r="V23" i="32" s="1"/>
  <c r="BR21" i="11"/>
  <c r="BR22" i="11"/>
  <c r="AY24" i="32"/>
  <c r="AK24" i="32"/>
  <c r="AQ25" i="32"/>
  <c r="AF58" i="41"/>
  <c r="BW23" i="11"/>
  <c r="AM23" i="11"/>
  <c r="AF59" i="41"/>
  <c r="AK24" i="11"/>
  <c r="AT19" i="22"/>
  <c r="I24" i="22"/>
  <c r="AU16" i="22"/>
  <c r="BN32" i="23"/>
  <c r="Z65" i="23"/>
  <c r="Z53" i="23"/>
  <c r="Z67" i="23"/>
  <c r="Z44" i="23"/>
  <c r="Z63" i="23"/>
  <c r="Z51" i="23"/>
  <c r="Z54" i="23"/>
  <c r="Z62" i="23"/>
  <c r="Z68" i="23"/>
  <c r="Z41" i="23"/>
  <c r="Z39" i="23"/>
  <c r="Z40" i="23"/>
  <c r="Z52" i="23"/>
  <c r="Z34" i="23"/>
  <c r="BK34" i="23" s="1"/>
  <c r="AX11" i="22" s="1"/>
  <c r="Z59" i="23"/>
  <c r="Z61" i="23"/>
  <c r="Z48" i="23"/>
  <c r="Z57" i="23"/>
  <c r="Z56" i="23"/>
  <c r="Z43" i="23"/>
  <c r="Z58" i="23"/>
  <c r="Z38" i="23"/>
  <c r="Z60" i="23"/>
  <c r="Z55" i="23"/>
  <c r="Z50" i="23"/>
  <c r="Z49" i="23"/>
  <c r="Z42" i="23"/>
  <c r="Z36" i="23"/>
  <c r="Z66" i="23"/>
  <c r="Z35" i="23"/>
  <c r="Z45" i="23"/>
  <c r="Z47" i="23"/>
  <c r="Z46" i="23"/>
  <c r="Z64" i="23"/>
  <c r="Z37" i="23"/>
  <c r="Y180" i="23"/>
  <c r="Y155" i="23"/>
  <c r="BK155" i="23" s="1"/>
  <c r="BM33" i="23" s="1"/>
  <c r="AW9" i="22" s="1"/>
  <c r="AW12" i="22" s="1"/>
  <c r="Y186" i="23"/>
  <c r="Y168" i="23"/>
  <c r="Y157" i="23"/>
  <c r="Y166" i="23"/>
  <c r="Y177" i="23"/>
  <c r="Y158" i="23"/>
  <c r="Y188" i="23"/>
  <c r="Y187" i="23"/>
  <c r="Y170" i="23"/>
  <c r="Y185" i="23"/>
  <c r="Y156" i="23"/>
  <c r="Y184" i="23"/>
  <c r="Y181" i="23"/>
  <c r="Y174" i="23"/>
  <c r="Y189" i="23"/>
  <c r="Y182" i="23"/>
  <c r="Y190" i="23"/>
  <c r="Y165" i="23"/>
  <c r="Y178" i="23"/>
  <c r="Y173" i="23"/>
  <c r="Y163" i="23"/>
  <c r="Y167" i="23"/>
  <c r="Y160" i="23"/>
  <c r="Y169" i="23"/>
  <c r="Y159" i="23"/>
  <c r="Y183" i="23"/>
  <c r="Y164" i="23"/>
  <c r="Y161" i="23"/>
  <c r="Y172" i="23"/>
  <c r="Y175" i="23"/>
  <c r="Y162" i="23"/>
  <c r="Y171" i="23"/>
  <c r="Y179" i="23"/>
  <c r="Y176" i="23"/>
  <c r="AA19" i="25"/>
  <c r="AA6" i="23" s="1"/>
  <c r="AA18" i="25"/>
  <c r="AA5" i="23" s="1"/>
  <c r="AA34" i="25"/>
  <c r="AA20" i="25"/>
  <c r="Z7" i="23"/>
  <c r="Z4" i="23" s="1"/>
  <c r="Z40" i="25"/>
  <c r="L24" i="32"/>
  <c r="V24" i="32" s="1"/>
  <c r="Z124" i="23"/>
  <c r="Z99" i="23"/>
  <c r="Z116" i="23"/>
  <c r="Z122" i="23"/>
  <c r="Z114" i="23"/>
  <c r="Z119" i="23"/>
  <c r="Z98" i="23"/>
  <c r="Z112" i="23"/>
  <c r="Z111" i="23"/>
  <c r="Z109" i="23"/>
  <c r="Z103" i="23"/>
  <c r="Z126" i="23"/>
  <c r="Z95" i="23"/>
  <c r="BK95" i="23" s="1"/>
  <c r="BL34" i="23" s="1"/>
  <c r="AX10" i="22" s="1"/>
  <c r="Z96" i="23"/>
  <c r="Z123" i="23"/>
  <c r="Z113" i="23"/>
  <c r="Z121" i="23"/>
  <c r="Z117" i="23"/>
  <c r="Z101" i="23"/>
  <c r="Z107" i="23"/>
  <c r="Z108" i="23"/>
  <c r="Z105" i="23"/>
  <c r="Z104" i="23"/>
  <c r="Z120" i="23"/>
  <c r="Z106" i="23"/>
  <c r="Z118" i="23"/>
  <c r="Z127" i="23"/>
  <c r="Z129" i="23"/>
  <c r="Z115" i="23"/>
  <c r="Z97" i="23"/>
  <c r="Z125" i="23"/>
  <c r="Z110" i="23"/>
  <c r="Z100" i="23"/>
  <c r="Z128" i="23"/>
  <c r="Z102" i="23"/>
  <c r="AU15" i="22"/>
  <c r="C26" i="22"/>
  <c r="I25" i="22"/>
  <c r="AJ25" i="11"/>
  <c r="AK25" i="11"/>
  <c r="Y4" i="23"/>
  <c r="BR23" i="11" l="1"/>
  <c r="BS23" i="11" s="1"/>
  <c r="AY25" i="32"/>
  <c r="AK25" i="32"/>
  <c r="BX23" i="11"/>
  <c r="AF60" i="41"/>
  <c r="AM24" i="11"/>
  <c r="BW24" i="11"/>
  <c r="AV16" i="22"/>
  <c r="BN33" i="23"/>
  <c r="AB18" i="25"/>
  <c r="AB5" i="23" s="1"/>
  <c r="AB19" i="25"/>
  <c r="AB6" i="23" s="1"/>
  <c r="AB34" i="25"/>
  <c r="AB20" i="25"/>
  <c r="B26" i="32"/>
  <c r="J26" i="22"/>
  <c r="G26" i="22"/>
  <c r="AA7" i="23"/>
  <c r="AA4" i="23" s="1"/>
  <c r="AA40" i="25"/>
  <c r="AV15" i="22"/>
  <c r="C27" i="22"/>
  <c r="AU19" i="22"/>
  <c r="AM25" i="11"/>
  <c r="BW25" i="11"/>
  <c r="L25" i="32"/>
  <c r="V25" i="32" s="1"/>
  <c r="AA112" i="23"/>
  <c r="AA101" i="23"/>
  <c r="AA122" i="23"/>
  <c r="AA109" i="23"/>
  <c r="AA115" i="23"/>
  <c r="AA119" i="23"/>
  <c r="AA113" i="23"/>
  <c r="AA117" i="23"/>
  <c r="AA100" i="23"/>
  <c r="AA104" i="23"/>
  <c r="AA118" i="23"/>
  <c r="AA128" i="23"/>
  <c r="AA96" i="23"/>
  <c r="BK96" i="23" s="1"/>
  <c r="BL35" i="23" s="1"/>
  <c r="AY10" i="22" s="1"/>
  <c r="AA107" i="23"/>
  <c r="AA99" i="23"/>
  <c r="AA116" i="23"/>
  <c r="AA124" i="23"/>
  <c r="AA114" i="23"/>
  <c r="AA120" i="23"/>
  <c r="AA103" i="23"/>
  <c r="AA106" i="23"/>
  <c r="AA108" i="23"/>
  <c r="AA121" i="23"/>
  <c r="AA125" i="23"/>
  <c r="AA111" i="23"/>
  <c r="AA105" i="23"/>
  <c r="AA123" i="23"/>
  <c r="AA110" i="23"/>
  <c r="AA126" i="23"/>
  <c r="AA98" i="23"/>
  <c r="AA127" i="23"/>
  <c r="AA102" i="23"/>
  <c r="AA97" i="23"/>
  <c r="AA129" i="23"/>
  <c r="AA67" i="23"/>
  <c r="AA43" i="23"/>
  <c r="AA65" i="23"/>
  <c r="AA64" i="23"/>
  <c r="AA44" i="23"/>
  <c r="AA36" i="23"/>
  <c r="AA54" i="23"/>
  <c r="AA46" i="23"/>
  <c r="AA50" i="23"/>
  <c r="AA53" i="23"/>
  <c r="AA59" i="23"/>
  <c r="AA48" i="23"/>
  <c r="AA56" i="23"/>
  <c r="AA58" i="23"/>
  <c r="AA66" i="23"/>
  <c r="AA45" i="23"/>
  <c r="AA52" i="23"/>
  <c r="AA51" i="23"/>
  <c r="AA61" i="23"/>
  <c r="AA47" i="23"/>
  <c r="AA49" i="23"/>
  <c r="AA41" i="23"/>
  <c r="AA55" i="23"/>
  <c r="AA38" i="23"/>
  <c r="AA42" i="23"/>
  <c r="AA60" i="23"/>
  <c r="AA39" i="23"/>
  <c r="AA62" i="23"/>
  <c r="AA63" i="23"/>
  <c r="AA68" i="23"/>
  <c r="AA40" i="23"/>
  <c r="AA37" i="23"/>
  <c r="AA57" i="23"/>
  <c r="AA35" i="23"/>
  <c r="BK35" i="23" s="1"/>
  <c r="AY11" i="22" s="1"/>
  <c r="Z173" i="23"/>
  <c r="Z159" i="23"/>
  <c r="Z177" i="23"/>
  <c r="Z160" i="23"/>
  <c r="Z166" i="23"/>
  <c r="Z170" i="23"/>
  <c r="Z175" i="23"/>
  <c r="Z164" i="23"/>
  <c r="Z189" i="23"/>
  <c r="Z157" i="23"/>
  <c r="Z181" i="23"/>
  <c r="Z174" i="23"/>
  <c r="Z172" i="23"/>
  <c r="Z168" i="23"/>
  <c r="Z179" i="23"/>
  <c r="Z186" i="23"/>
  <c r="Z184" i="23"/>
  <c r="Z190" i="23"/>
  <c r="Z182" i="23"/>
  <c r="Z176" i="23"/>
  <c r="Z171" i="23"/>
  <c r="Z158" i="23"/>
  <c r="Z187" i="23"/>
  <c r="Z178" i="23"/>
  <c r="Z161" i="23"/>
  <c r="Z185" i="23"/>
  <c r="Z163" i="23"/>
  <c r="Z167" i="23"/>
  <c r="Z165" i="23"/>
  <c r="Z156" i="23"/>
  <c r="BK156" i="23" s="1"/>
  <c r="BM34" i="23" s="1"/>
  <c r="AX9" i="22" s="1"/>
  <c r="AX12" i="22" s="1"/>
  <c r="Z180" i="23"/>
  <c r="Z188" i="23"/>
  <c r="Z169" i="23"/>
  <c r="Z183" i="23"/>
  <c r="Z162" i="23"/>
  <c r="AF61" i="41" l="1"/>
  <c r="AQ26" i="32"/>
  <c r="BR24" i="11"/>
  <c r="AW16" i="22"/>
  <c r="J27" i="22"/>
  <c r="B27" i="32"/>
  <c r="G27" i="22"/>
  <c r="AC34" i="25"/>
  <c r="AD34" i="25" s="1"/>
  <c r="AC18" i="25"/>
  <c r="AC5" i="23" s="1"/>
  <c r="AC19" i="25"/>
  <c r="AC6" i="23" s="1"/>
  <c r="AC20" i="25"/>
  <c r="AB40" i="25"/>
  <c r="AB7" i="23"/>
  <c r="AB4" i="23" s="1"/>
  <c r="BR25" i="11"/>
  <c r="AF62" i="41"/>
  <c r="AB61" i="23"/>
  <c r="AB36" i="23"/>
  <c r="BK36" i="23" s="1"/>
  <c r="AZ11" i="22" s="1"/>
  <c r="AB60" i="23"/>
  <c r="AB65" i="23"/>
  <c r="AB66" i="23"/>
  <c r="AB41" i="23"/>
  <c r="AB48" i="23"/>
  <c r="AB56" i="23"/>
  <c r="AB37" i="23"/>
  <c r="AB39" i="23"/>
  <c r="AB47" i="23"/>
  <c r="AB44" i="23"/>
  <c r="AB59" i="23"/>
  <c r="AB68" i="23"/>
  <c r="AB46" i="23"/>
  <c r="AB43" i="23"/>
  <c r="AB63" i="23"/>
  <c r="AB42" i="23"/>
  <c r="AB64" i="23"/>
  <c r="AB45" i="23"/>
  <c r="AB49" i="23"/>
  <c r="AB55" i="23"/>
  <c r="AB67" i="23"/>
  <c r="AB53" i="23"/>
  <c r="AB50" i="23"/>
  <c r="AB52" i="23"/>
  <c r="AB62" i="23"/>
  <c r="AB40" i="23"/>
  <c r="AB57" i="23"/>
  <c r="AB58" i="23"/>
  <c r="AB51" i="23"/>
  <c r="AB38" i="23"/>
  <c r="AB54" i="23"/>
  <c r="AA186" i="23"/>
  <c r="AA170" i="23"/>
  <c r="AA175" i="23"/>
  <c r="AA179" i="23"/>
  <c r="AA176" i="23"/>
  <c r="AA178" i="23"/>
  <c r="AA190" i="23"/>
  <c r="AA159" i="23"/>
  <c r="AA180" i="23"/>
  <c r="AA185" i="23"/>
  <c r="AA183" i="23"/>
  <c r="AA174" i="23"/>
  <c r="AA158" i="23"/>
  <c r="AA171" i="23"/>
  <c r="AA173" i="23"/>
  <c r="AA167" i="23"/>
  <c r="AA184" i="23"/>
  <c r="AA172" i="23"/>
  <c r="AA164" i="23"/>
  <c r="AA187" i="23"/>
  <c r="AA189" i="23"/>
  <c r="AA160" i="23"/>
  <c r="AA168" i="23"/>
  <c r="AA157" i="23"/>
  <c r="BK157" i="23" s="1"/>
  <c r="BM35" i="23" s="1"/>
  <c r="AY9" i="22" s="1"/>
  <c r="AY12" i="22" s="1"/>
  <c r="AA181" i="23"/>
  <c r="AA165" i="23"/>
  <c r="AA169" i="23"/>
  <c r="AA163" i="23"/>
  <c r="AA166" i="23"/>
  <c r="AA188" i="23"/>
  <c r="AA162" i="23"/>
  <c r="AA182" i="23"/>
  <c r="AA177" i="23"/>
  <c r="AA161" i="23"/>
  <c r="AB117" i="23"/>
  <c r="AB122" i="23"/>
  <c r="AB124" i="23"/>
  <c r="AB125" i="23"/>
  <c r="AB105" i="23"/>
  <c r="AB114" i="23"/>
  <c r="AB127" i="23"/>
  <c r="AB100" i="23"/>
  <c r="AB123" i="23"/>
  <c r="AB126" i="23"/>
  <c r="AB108" i="23"/>
  <c r="AB115" i="23"/>
  <c r="AB110" i="23"/>
  <c r="AB118" i="23"/>
  <c r="AB106" i="23"/>
  <c r="AB111" i="23"/>
  <c r="AB97" i="23"/>
  <c r="BK97" i="23" s="1"/>
  <c r="BL36" i="23" s="1"/>
  <c r="AZ10" i="22" s="1"/>
  <c r="AB103" i="23"/>
  <c r="AB119" i="23"/>
  <c r="AB112" i="23"/>
  <c r="AB101" i="23"/>
  <c r="AB107" i="23"/>
  <c r="AB98" i="23"/>
  <c r="AB109" i="23"/>
  <c r="AB113" i="23"/>
  <c r="AB99" i="23"/>
  <c r="AB128" i="23"/>
  <c r="AB102" i="23"/>
  <c r="AB129" i="23"/>
  <c r="AB120" i="23"/>
  <c r="AB104" i="23"/>
  <c r="AB121" i="23"/>
  <c r="AB116" i="23"/>
  <c r="AJ26" i="11"/>
  <c r="I26" i="22"/>
  <c r="AK26" i="11"/>
  <c r="BN34" i="23"/>
  <c r="AV19" i="22"/>
  <c r="AW15" i="22"/>
  <c r="C28" i="22"/>
  <c r="AY26" i="32" l="1"/>
  <c r="AK26" i="32"/>
  <c r="AQ27" i="32"/>
  <c r="AX16" i="22"/>
  <c r="C29" i="22"/>
  <c r="AX15" i="22"/>
  <c r="AW19" i="22"/>
  <c r="AM26" i="11"/>
  <c r="BW26" i="11"/>
  <c r="AC45" i="23"/>
  <c r="AC65" i="23"/>
  <c r="AC37" i="23"/>
  <c r="BK37" i="23" s="1"/>
  <c r="BA11" i="22" s="1"/>
  <c r="AC54" i="23"/>
  <c r="AC56" i="23"/>
  <c r="AC63" i="23"/>
  <c r="AC61" i="23"/>
  <c r="AC60" i="23"/>
  <c r="AC62" i="23"/>
  <c r="AC46" i="23"/>
  <c r="AC47" i="23"/>
  <c r="AC48" i="23"/>
  <c r="AC68" i="23"/>
  <c r="AC42" i="23"/>
  <c r="AC39" i="23"/>
  <c r="AC64" i="23"/>
  <c r="AC59" i="23"/>
  <c r="AC38" i="23"/>
  <c r="AC51" i="23"/>
  <c r="AC67" i="23"/>
  <c r="AC44" i="23"/>
  <c r="AC43" i="23"/>
  <c r="AC52" i="23"/>
  <c r="AC55" i="23"/>
  <c r="AC53" i="23"/>
  <c r="AC50" i="23"/>
  <c r="AC66" i="23"/>
  <c r="AC41" i="23"/>
  <c r="AC49" i="23"/>
  <c r="AC58" i="23"/>
  <c r="AC40" i="23"/>
  <c r="AC57" i="23"/>
  <c r="AC108" i="23"/>
  <c r="AC106" i="23"/>
  <c r="AC109" i="23"/>
  <c r="AC129" i="23"/>
  <c r="AC104" i="23"/>
  <c r="AC99" i="23"/>
  <c r="AC125" i="23"/>
  <c r="AC110" i="23"/>
  <c r="AC121" i="23"/>
  <c r="AC112" i="23"/>
  <c r="AC105" i="23"/>
  <c r="AC102" i="23"/>
  <c r="AC117" i="23"/>
  <c r="AC113" i="23"/>
  <c r="AC128" i="23"/>
  <c r="AC120" i="23"/>
  <c r="AC100" i="23"/>
  <c r="AC123" i="23"/>
  <c r="AC103" i="23"/>
  <c r="AC126" i="23"/>
  <c r="AC127" i="23"/>
  <c r="AC101" i="23"/>
  <c r="AC98" i="23"/>
  <c r="BK98" i="23" s="1"/>
  <c r="BL37" i="23" s="1"/>
  <c r="BA10" i="22" s="1"/>
  <c r="AC118" i="23"/>
  <c r="AC116" i="23"/>
  <c r="AC122" i="23"/>
  <c r="AC111" i="23"/>
  <c r="AC114" i="23"/>
  <c r="AC107" i="23"/>
  <c r="AC124" i="23"/>
  <c r="AC115" i="23"/>
  <c r="AC119" i="23"/>
  <c r="L26" i="32"/>
  <c r="V26" i="32" s="1"/>
  <c r="J28" i="22"/>
  <c r="B28" i="32"/>
  <c r="G28" i="22"/>
  <c r="I27" i="22"/>
  <c r="AJ27" i="11"/>
  <c r="AK27" i="11"/>
  <c r="AB172" i="23"/>
  <c r="AB182" i="23"/>
  <c r="AB173" i="23"/>
  <c r="AB159" i="23"/>
  <c r="AB160" i="23"/>
  <c r="AB171" i="23"/>
  <c r="AB167" i="23"/>
  <c r="AB176" i="23"/>
  <c r="AB190" i="23"/>
  <c r="AB181" i="23"/>
  <c r="AB188" i="23"/>
  <c r="AB183" i="23"/>
  <c r="AB164" i="23"/>
  <c r="AB168" i="23"/>
  <c r="AB170" i="23"/>
  <c r="AB165" i="23"/>
  <c r="AB162" i="23"/>
  <c r="AB163" i="23"/>
  <c r="AB186" i="23"/>
  <c r="AB161" i="23"/>
  <c r="AB178" i="23"/>
  <c r="AB187" i="23"/>
  <c r="AB166" i="23"/>
  <c r="AB175" i="23"/>
  <c r="AB189" i="23"/>
  <c r="AB180" i="23"/>
  <c r="AB177" i="23"/>
  <c r="AB158" i="23"/>
  <c r="BK158" i="23" s="1"/>
  <c r="BM36" i="23" s="1"/>
  <c r="AZ9" i="22" s="1"/>
  <c r="AZ12" i="22" s="1"/>
  <c r="AB174" i="23"/>
  <c r="AB169" i="23"/>
  <c r="AB185" i="23"/>
  <c r="AB184" i="23"/>
  <c r="AB179" i="23"/>
  <c r="AD18" i="25"/>
  <c r="AD5" i="23" s="1"/>
  <c r="AD20" i="25"/>
  <c r="AD19" i="25"/>
  <c r="AD6" i="23" s="1"/>
  <c r="AC40" i="25"/>
  <c r="AC7" i="23"/>
  <c r="BN35" i="23"/>
  <c r="B29" i="32" l="1"/>
  <c r="AQ29" i="32" s="1"/>
  <c r="AY27" i="32"/>
  <c r="AK27" i="32"/>
  <c r="AQ28" i="32"/>
  <c r="G29" i="22"/>
  <c r="AJ29" i="11" s="1"/>
  <c r="J29" i="22"/>
  <c r="AX19" i="22"/>
  <c r="AY16" i="22"/>
  <c r="C30" i="22"/>
  <c r="AY15" i="22"/>
  <c r="I28" i="22"/>
  <c r="AK28" i="11"/>
  <c r="AJ28" i="11"/>
  <c r="AC179" i="23"/>
  <c r="AC168" i="23"/>
  <c r="AC181" i="23"/>
  <c r="AC160" i="23"/>
  <c r="AC177" i="23"/>
  <c r="AC186" i="23"/>
  <c r="AC183" i="23"/>
  <c r="AC176" i="23"/>
  <c r="AC190" i="23"/>
  <c r="AC172" i="23"/>
  <c r="AC182" i="23"/>
  <c r="AC169" i="23"/>
  <c r="AC171" i="23"/>
  <c r="AC178" i="23"/>
  <c r="AC166" i="23"/>
  <c r="AC175" i="23"/>
  <c r="AC188" i="23"/>
  <c r="AC187" i="23"/>
  <c r="AC163" i="23"/>
  <c r="AC159" i="23"/>
  <c r="BK159" i="23" s="1"/>
  <c r="BM37" i="23" s="1"/>
  <c r="BA9" i="22" s="1"/>
  <c r="BA12" i="22" s="1"/>
  <c r="AC165" i="23"/>
  <c r="AC185" i="23"/>
  <c r="AC170" i="23"/>
  <c r="AC162" i="23"/>
  <c r="AC180" i="23"/>
  <c r="AC174" i="23"/>
  <c r="AC167" i="23"/>
  <c r="AC161" i="23"/>
  <c r="AC173" i="23"/>
  <c r="AC189" i="23"/>
  <c r="AC184" i="23"/>
  <c r="AC164" i="23"/>
  <c r="AE34" i="25"/>
  <c r="AE20" i="25"/>
  <c r="AE7" i="23" s="1"/>
  <c r="AE18" i="25"/>
  <c r="AE5" i="23" s="1"/>
  <c r="AE19" i="25"/>
  <c r="AE6" i="23" s="1"/>
  <c r="L27" i="32"/>
  <c r="V27" i="32" s="1"/>
  <c r="AD61" i="23"/>
  <c r="AD44" i="23"/>
  <c r="AD66" i="23"/>
  <c r="AD50" i="23"/>
  <c r="AD56" i="23"/>
  <c r="AD55" i="23"/>
  <c r="AD47" i="23"/>
  <c r="AD63" i="23"/>
  <c r="AD46" i="23"/>
  <c r="AD42" i="23"/>
  <c r="AD45" i="23"/>
  <c r="AD43" i="23"/>
  <c r="AD53" i="23"/>
  <c r="AD49" i="23"/>
  <c r="AD52" i="23"/>
  <c r="AD58" i="23"/>
  <c r="AD68" i="23"/>
  <c r="AD65" i="23"/>
  <c r="AD41" i="23"/>
  <c r="AD62" i="23"/>
  <c r="AD40" i="23"/>
  <c r="AD60" i="23"/>
  <c r="AD38" i="23"/>
  <c r="BK38" i="23" s="1"/>
  <c r="BB11" i="22" s="1"/>
  <c r="AD59" i="23"/>
  <c r="AD67" i="23"/>
  <c r="AD57" i="23"/>
  <c r="AD39" i="23"/>
  <c r="AD54" i="23"/>
  <c r="AD48" i="23"/>
  <c r="AD64" i="23"/>
  <c r="AD51" i="23"/>
  <c r="AD40" i="25"/>
  <c r="AD7" i="23"/>
  <c r="AD4" i="23" s="1"/>
  <c r="AC4" i="23"/>
  <c r="BR26" i="11"/>
  <c r="AF63" i="41"/>
  <c r="AD100" i="23"/>
  <c r="AD107" i="23"/>
  <c r="AD122" i="23"/>
  <c r="AD115" i="23"/>
  <c r="AD109" i="23"/>
  <c r="AD126" i="23"/>
  <c r="AD120" i="23"/>
  <c r="AD99" i="23"/>
  <c r="BK99" i="23" s="1"/>
  <c r="BL38" i="23" s="1"/>
  <c r="BB10" i="22" s="1"/>
  <c r="AD108" i="23"/>
  <c r="AD124" i="23"/>
  <c r="AD117" i="23"/>
  <c r="AD111" i="23"/>
  <c r="AD105" i="23"/>
  <c r="AD128" i="23"/>
  <c r="AD129" i="23"/>
  <c r="AD103" i="23"/>
  <c r="AD104" i="23"/>
  <c r="AD127" i="23"/>
  <c r="AD118" i="23"/>
  <c r="AD102" i="23"/>
  <c r="AD113" i="23"/>
  <c r="AD112" i="23"/>
  <c r="AD114" i="23"/>
  <c r="AD121" i="23"/>
  <c r="AD123" i="23"/>
  <c r="AD125" i="23"/>
  <c r="AD101" i="23"/>
  <c r="AD110" i="23"/>
  <c r="AD116" i="23"/>
  <c r="AD106" i="23"/>
  <c r="AD119" i="23"/>
  <c r="BN36" i="23"/>
  <c r="BW27" i="11"/>
  <c r="AM27" i="11"/>
  <c r="AD41" i="25" l="1"/>
  <c r="J30" i="22"/>
  <c r="AY28" i="32"/>
  <c r="AK28" i="32"/>
  <c r="AY29" i="32"/>
  <c r="AK29" i="32"/>
  <c r="I29" i="22"/>
  <c r="AK29" i="11"/>
  <c r="B30" i="32"/>
  <c r="G30" i="22"/>
  <c r="I30" i="22" s="1"/>
  <c r="AY19" i="22"/>
  <c r="C31" i="22"/>
  <c r="AZ15" i="22"/>
  <c r="AZ16" i="22"/>
  <c r="BN37" i="23"/>
  <c r="AE172" i="23"/>
  <c r="AE189" i="23"/>
  <c r="AE185" i="23"/>
  <c r="AE170" i="23"/>
  <c r="AE179" i="23"/>
  <c r="AE184" i="23"/>
  <c r="AE169" i="23"/>
  <c r="AE168" i="23"/>
  <c r="AE175" i="23"/>
  <c r="AE176" i="23"/>
  <c r="AE165" i="23"/>
  <c r="AE182" i="23"/>
  <c r="AE171" i="23"/>
  <c r="AE161" i="23"/>
  <c r="AE164" i="23"/>
  <c r="AE167" i="23"/>
  <c r="AE183" i="23"/>
  <c r="AE177" i="23"/>
  <c r="AE163" i="23"/>
  <c r="AE190" i="23"/>
  <c r="AE166" i="23"/>
  <c r="AE174" i="23"/>
  <c r="AE186" i="23"/>
  <c r="AE162" i="23"/>
  <c r="AE187" i="23"/>
  <c r="AE173" i="23"/>
  <c r="AE181" i="23"/>
  <c r="AE188" i="23"/>
  <c r="AE178" i="23"/>
  <c r="AE180" i="23"/>
  <c r="L28" i="32"/>
  <c r="V28" i="32" s="1"/>
  <c r="AM28" i="11"/>
  <c r="BW28" i="11"/>
  <c r="AD176" i="23"/>
  <c r="AD180" i="23"/>
  <c r="AD170" i="23"/>
  <c r="AD169" i="23"/>
  <c r="AD184" i="23"/>
  <c r="AD162" i="23"/>
  <c r="AD168" i="23"/>
  <c r="AD173" i="23"/>
  <c r="AD167" i="23"/>
  <c r="AD160" i="23"/>
  <c r="BK160" i="23" s="1"/>
  <c r="BM38" i="23" s="1"/>
  <c r="BB9" i="22" s="1"/>
  <c r="BB12" i="22" s="1"/>
  <c r="AD171" i="23"/>
  <c r="AD189" i="23"/>
  <c r="AD185" i="23"/>
  <c r="AD182" i="23"/>
  <c r="AD164" i="23"/>
  <c r="AD183" i="23"/>
  <c r="AD187" i="23"/>
  <c r="AD175" i="23"/>
  <c r="AD174" i="23"/>
  <c r="AD181" i="23"/>
  <c r="AD178" i="23"/>
  <c r="AD166" i="23"/>
  <c r="AD177" i="23"/>
  <c r="AD190" i="23"/>
  <c r="AD161" i="23"/>
  <c r="AD163" i="23"/>
  <c r="AD188" i="23"/>
  <c r="AD186" i="23"/>
  <c r="AD179" i="23"/>
  <c r="AD172" i="23"/>
  <c r="AD165" i="23"/>
  <c r="AF18" i="25"/>
  <c r="AF5" i="23" s="1"/>
  <c r="AF34" i="25"/>
  <c r="AF20" i="25"/>
  <c r="AF7" i="23" s="1"/>
  <c r="AF19" i="25"/>
  <c r="AF6" i="23" s="1"/>
  <c r="AE63" i="23"/>
  <c r="AE39" i="23"/>
  <c r="BK39" i="23" s="1"/>
  <c r="AE43" i="23"/>
  <c r="AE56" i="23"/>
  <c r="AE58" i="23"/>
  <c r="AE47" i="23"/>
  <c r="AE61" i="23"/>
  <c r="AE64" i="23"/>
  <c r="AE67" i="23"/>
  <c r="AE60" i="23"/>
  <c r="AE53" i="23"/>
  <c r="AE54" i="23"/>
  <c r="AE51" i="23"/>
  <c r="AE50" i="23"/>
  <c r="AE42" i="23"/>
  <c r="AE52" i="23"/>
  <c r="AE44" i="23"/>
  <c r="AE59" i="23"/>
  <c r="AE57" i="23"/>
  <c r="AE46" i="23"/>
  <c r="AE55" i="23"/>
  <c r="AE45" i="23"/>
  <c r="AE41" i="23"/>
  <c r="AE68" i="23"/>
  <c r="AE62" i="23"/>
  <c r="AE66" i="23"/>
  <c r="AE48" i="23"/>
  <c r="AE65" i="23"/>
  <c r="AE49" i="23"/>
  <c r="AE40" i="23"/>
  <c r="BR27" i="11"/>
  <c r="AF64" i="41"/>
  <c r="L29" i="32"/>
  <c r="V29" i="32" s="1"/>
  <c r="AE108" i="23"/>
  <c r="AE124" i="23"/>
  <c r="AE126" i="23"/>
  <c r="AE123" i="23"/>
  <c r="AE119" i="23"/>
  <c r="AE125" i="23"/>
  <c r="AE121" i="23"/>
  <c r="AE104" i="23"/>
  <c r="AE117" i="23"/>
  <c r="AE122" i="23"/>
  <c r="AE107" i="23"/>
  <c r="AE106" i="23"/>
  <c r="AE101" i="23"/>
  <c r="AE102" i="23"/>
  <c r="AE103" i="23"/>
  <c r="AE112" i="23"/>
  <c r="AE115" i="23"/>
  <c r="AE118" i="23"/>
  <c r="AE114" i="23"/>
  <c r="AE111" i="23"/>
  <c r="AE100" i="23"/>
  <c r="BK100" i="23" s="1"/>
  <c r="BL39" i="23" s="1"/>
  <c r="AE129" i="23"/>
  <c r="AE128" i="23"/>
  <c r="AE113" i="23"/>
  <c r="AE116" i="23"/>
  <c r="AE110" i="23"/>
  <c r="AE127" i="23"/>
  <c r="AE4" i="23"/>
  <c r="AE109" i="23"/>
  <c r="AE105" i="23"/>
  <c r="AE120" i="23"/>
  <c r="G31" i="22" l="1"/>
  <c r="AJ31" i="11" s="1"/>
  <c r="AQ30" i="32"/>
  <c r="BW29" i="11"/>
  <c r="AM29" i="11"/>
  <c r="B31" i="32"/>
  <c r="J31" i="22"/>
  <c r="AJ30" i="11"/>
  <c r="AK30" i="11"/>
  <c r="AZ19" i="22"/>
  <c r="BA15" i="22"/>
  <c r="C32" i="22"/>
  <c r="BK161" i="23"/>
  <c r="BM39" i="23" s="1"/>
  <c r="BN39" i="23" s="1"/>
  <c r="BR28" i="11"/>
  <c r="BS28" i="11" s="1"/>
  <c r="AF65" i="41"/>
  <c r="AG34" i="25"/>
  <c r="AG18" i="25"/>
  <c r="AG5" i="23" s="1"/>
  <c r="AG19" i="25"/>
  <c r="AG6" i="23" s="1"/>
  <c r="AG20" i="25"/>
  <c r="AG7" i="23" s="1"/>
  <c r="AF45" i="23"/>
  <c r="AF55" i="23"/>
  <c r="AF49" i="23"/>
  <c r="AF51" i="23"/>
  <c r="AF60" i="23"/>
  <c r="AF63" i="23"/>
  <c r="AF59" i="23"/>
  <c r="AF67" i="23"/>
  <c r="AF66" i="23"/>
  <c r="AF65" i="23"/>
  <c r="AF68" i="23"/>
  <c r="AF58" i="23"/>
  <c r="AF52" i="23"/>
  <c r="AF56" i="23"/>
  <c r="AF61" i="23"/>
  <c r="AF64" i="23"/>
  <c r="AF54" i="23"/>
  <c r="AF43" i="23"/>
  <c r="AF40" i="23"/>
  <c r="BK40" i="23" s="1"/>
  <c r="AF53" i="23"/>
  <c r="AF42" i="23"/>
  <c r="AF47" i="23"/>
  <c r="AF46" i="23"/>
  <c r="AF50" i="23"/>
  <c r="AF44" i="23"/>
  <c r="AF48" i="23"/>
  <c r="AF41" i="23"/>
  <c r="AF62" i="23"/>
  <c r="AF57" i="23"/>
  <c r="AF175" i="23"/>
  <c r="AF178" i="23"/>
  <c r="AF167" i="23"/>
  <c r="AF171" i="23"/>
  <c r="AF170" i="23"/>
  <c r="AF173" i="23"/>
  <c r="AF164" i="23"/>
  <c r="AF172" i="23"/>
  <c r="AF163" i="23"/>
  <c r="AF177" i="23"/>
  <c r="AF181" i="23"/>
  <c r="AF186" i="23"/>
  <c r="AF176" i="23"/>
  <c r="AF185" i="23"/>
  <c r="AF166" i="23"/>
  <c r="AF187" i="23"/>
  <c r="AF190" i="23"/>
  <c r="AF168" i="23"/>
  <c r="AF179" i="23"/>
  <c r="AF184" i="23"/>
  <c r="AF162" i="23"/>
  <c r="BK162" i="23" s="1"/>
  <c r="BM40" i="23" s="1"/>
  <c r="AF182" i="23"/>
  <c r="AF183" i="23"/>
  <c r="AF169" i="23"/>
  <c r="AF165" i="23"/>
  <c r="AF180" i="23"/>
  <c r="AF174" i="23"/>
  <c r="AF189" i="23"/>
  <c r="AF188" i="23"/>
  <c r="AF118" i="23"/>
  <c r="AF110" i="23"/>
  <c r="AF109" i="23"/>
  <c r="AF117" i="23"/>
  <c r="AF108" i="23"/>
  <c r="AF116" i="23"/>
  <c r="AF113" i="23"/>
  <c r="AF125" i="23"/>
  <c r="AF115" i="23"/>
  <c r="AF104" i="23"/>
  <c r="AF129" i="23"/>
  <c r="AF114" i="23"/>
  <c r="AF106" i="23"/>
  <c r="AF103" i="23"/>
  <c r="AF127" i="23"/>
  <c r="AF111" i="23"/>
  <c r="AF119" i="23"/>
  <c r="AF112" i="23"/>
  <c r="AF4" i="23"/>
  <c r="AF122" i="23"/>
  <c r="AF101" i="23"/>
  <c r="BK101" i="23" s="1"/>
  <c r="BL40" i="23" s="1"/>
  <c r="AF105" i="23"/>
  <c r="AF120" i="23"/>
  <c r="AF102" i="23"/>
  <c r="AF126" i="23"/>
  <c r="AF128" i="23"/>
  <c r="AF123" i="23"/>
  <c r="AF121" i="23"/>
  <c r="AF124" i="23"/>
  <c r="AF107" i="23"/>
  <c r="BN38" i="23"/>
  <c r="BA16" i="22"/>
  <c r="BX28" i="11"/>
  <c r="AK31" i="11" l="1"/>
  <c r="I31" i="22"/>
  <c r="L30" i="32"/>
  <c r="V30" i="32" s="1"/>
  <c r="BR29" i="11"/>
  <c r="AY30" i="32"/>
  <c r="AK30" i="32"/>
  <c r="AQ31" i="32"/>
  <c r="AF66" i="41"/>
  <c r="BW30" i="11"/>
  <c r="AM30" i="11"/>
  <c r="BB15" i="22"/>
  <c r="C33" i="22"/>
  <c r="BB16" i="22"/>
  <c r="BN40" i="23"/>
  <c r="AG109" i="23"/>
  <c r="AG121" i="23"/>
  <c r="AG108" i="23"/>
  <c r="AG127" i="23"/>
  <c r="AG129" i="23"/>
  <c r="AG105" i="23"/>
  <c r="AG117" i="23"/>
  <c r="AG113" i="23"/>
  <c r="AG123" i="23"/>
  <c r="AG126" i="23"/>
  <c r="AG128" i="23"/>
  <c r="AG106" i="23"/>
  <c r="AG4" i="23"/>
  <c r="AG115" i="23"/>
  <c r="AG124" i="23"/>
  <c r="AG125" i="23"/>
  <c r="AG114" i="23"/>
  <c r="AG118" i="23"/>
  <c r="AG112" i="23"/>
  <c r="AG119" i="23"/>
  <c r="AG110" i="23"/>
  <c r="AG102" i="23"/>
  <c r="BK102" i="23" s="1"/>
  <c r="BL41" i="23" s="1"/>
  <c r="AG116" i="23"/>
  <c r="AG122" i="23"/>
  <c r="AG120" i="23"/>
  <c r="AG107" i="23"/>
  <c r="AG104" i="23"/>
  <c r="AG111" i="23"/>
  <c r="AG103" i="23"/>
  <c r="B32" i="32"/>
  <c r="J32" i="22"/>
  <c r="G32" i="22"/>
  <c r="L31" i="32"/>
  <c r="V31" i="32" s="1"/>
  <c r="BA19" i="22"/>
  <c r="AH20" i="25"/>
  <c r="AH7" i="23" s="1"/>
  <c r="AH34" i="25"/>
  <c r="AH18" i="25"/>
  <c r="AH5" i="23" s="1"/>
  <c r="AH19" i="25"/>
  <c r="AH6" i="23" s="1"/>
  <c r="AG64" i="23"/>
  <c r="AG49" i="23"/>
  <c r="AG45" i="23"/>
  <c r="AG47" i="23"/>
  <c r="AG56" i="23"/>
  <c r="AG63" i="23"/>
  <c r="AG57" i="23"/>
  <c r="AG54" i="23"/>
  <c r="AG58" i="23"/>
  <c r="AG51" i="23"/>
  <c r="AG67" i="23"/>
  <c r="AG44" i="23"/>
  <c r="AG68" i="23"/>
  <c r="AG55" i="23"/>
  <c r="AG65" i="23"/>
  <c r="AG53" i="23"/>
  <c r="AG43" i="23"/>
  <c r="AG50" i="23"/>
  <c r="AG48" i="23"/>
  <c r="AG41" i="23"/>
  <c r="BK41" i="23" s="1"/>
  <c r="AG42" i="23"/>
  <c r="AG66" i="23"/>
  <c r="AG46" i="23"/>
  <c r="AG61" i="23"/>
  <c r="AG62" i="23"/>
  <c r="AG60" i="23"/>
  <c r="AG59" i="23"/>
  <c r="AG52" i="23"/>
  <c r="AG168" i="23"/>
  <c r="AG176" i="23"/>
  <c r="AG164" i="23"/>
  <c r="AG177" i="23"/>
  <c r="AG166" i="23"/>
  <c r="AG187" i="23"/>
  <c r="AG167" i="23"/>
  <c r="AG179" i="23"/>
  <c r="AG165" i="23"/>
  <c r="AG171" i="23"/>
  <c r="AG180" i="23"/>
  <c r="AG173" i="23"/>
  <c r="AG182" i="23"/>
  <c r="AG188" i="23"/>
  <c r="AG181" i="23"/>
  <c r="AG190" i="23"/>
  <c r="AG189" i="23"/>
  <c r="AG172" i="23"/>
  <c r="AG175" i="23"/>
  <c r="AG174" i="23"/>
  <c r="AG163" i="23"/>
  <c r="BK163" i="23" s="1"/>
  <c r="BM41" i="23" s="1"/>
  <c r="AG183" i="23"/>
  <c r="AG178" i="23"/>
  <c r="AG184" i="23"/>
  <c r="AG186" i="23"/>
  <c r="AG169" i="23"/>
  <c r="AG170" i="23"/>
  <c r="AG185" i="23"/>
  <c r="BW31" i="11" l="1"/>
  <c r="AM31" i="11"/>
  <c r="B33" i="32"/>
  <c r="AQ33" i="32" s="1"/>
  <c r="AF67" i="41"/>
  <c r="AY31" i="32"/>
  <c r="AK31" i="32"/>
  <c r="AQ32" i="32"/>
  <c r="BR30" i="11"/>
  <c r="BB19" i="22"/>
  <c r="J33" i="22"/>
  <c r="G33" i="22"/>
  <c r="I33" i="22" s="1"/>
  <c r="AH170" i="23"/>
  <c r="AH164" i="23"/>
  <c r="BK164" i="23" s="1"/>
  <c r="BM42" i="23" s="1"/>
  <c r="AH168" i="23"/>
  <c r="AH172" i="23"/>
  <c r="AH185" i="23"/>
  <c r="AH190" i="23"/>
  <c r="AH189" i="23"/>
  <c r="AH178" i="23"/>
  <c r="AH174" i="23"/>
  <c r="AH171" i="23"/>
  <c r="AH183" i="23"/>
  <c r="AH166" i="23"/>
  <c r="AH175" i="23"/>
  <c r="AH188" i="23"/>
  <c r="AH186" i="23"/>
  <c r="AH182" i="23"/>
  <c r="AH179" i="23"/>
  <c r="AH176" i="23"/>
  <c r="AH184" i="23"/>
  <c r="AH167" i="23"/>
  <c r="AH165" i="23"/>
  <c r="AH180" i="23"/>
  <c r="AH177" i="23"/>
  <c r="AH173" i="23"/>
  <c r="AH181" i="23"/>
  <c r="AH169" i="23"/>
  <c r="AH187" i="23"/>
  <c r="I32" i="22"/>
  <c r="AK32" i="11"/>
  <c r="AJ32" i="11"/>
  <c r="AI18" i="25"/>
  <c r="AI5" i="23" s="1"/>
  <c r="AI20" i="25"/>
  <c r="AI7" i="23" s="1"/>
  <c r="AI34" i="25"/>
  <c r="AI19" i="25"/>
  <c r="AI6" i="23" s="1"/>
  <c r="AH66" i="23"/>
  <c r="AH58" i="23"/>
  <c r="AH45" i="23"/>
  <c r="AH43" i="23"/>
  <c r="AH49" i="23"/>
  <c r="AH60" i="23"/>
  <c r="AH62" i="23"/>
  <c r="AH50" i="23"/>
  <c r="AH53" i="23"/>
  <c r="AH59" i="23"/>
  <c r="AH64" i="23"/>
  <c r="AH65" i="23"/>
  <c r="AH67" i="23"/>
  <c r="AH47" i="23"/>
  <c r="AH61" i="23"/>
  <c r="AH56" i="23"/>
  <c r="AH52" i="23"/>
  <c r="AH63" i="23"/>
  <c r="AH68" i="23"/>
  <c r="AH51" i="23"/>
  <c r="AH48" i="23"/>
  <c r="AH55" i="23"/>
  <c r="AH54" i="23"/>
  <c r="AH42" i="23"/>
  <c r="BK42" i="23" s="1"/>
  <c r="AH46" i="23"/>
  <c r="AH57" i="23"/>
  <c r="AH44" i="23"/>
  <c r="AH104" i="23"/>
  <c r="AH118" i="23"/>
  <c r="AH127" i="23"/>
  <c r="AH106" i="23"/>
  <c r="AH113" i="23"/>
  <c r="AH119" i="23"/>
  <c r="AH114" i="23"/>
  <c r="AH112" i="23"/>
  <c r="AH110" i="23"/>
  <c r="AH129" i="23"/>
  <c r="AH4" i="23"/>
  <c r="AH125" i="23"/>
  <c r="AH122" i="23"/>
  <c r="AH115" i="23"/>
  <c r="AH121" i="23"/>
  <c r="AH120" i="23"/>
  <c r="AH108" i="23"/>
  <c r="AH117" i="23"/>
  <c r="AH128" i="23"/>
  <c r="AH107" i="23"/>
  <c r="AH116" i="23"/>
  <c r="AH123" i="23"/>
  <c r="AH109" i="23"/>
  <c r="AH105" i="23"/>
  <c r="AH126" i="23"/>
  <c r="AH124" i="23"/>
  <c r="AH111" i="23"/>
  <c r="AH103" i="23"/>
  <c r="BK103" i="23" s="1"/>
  <c r="BL42" i="23" s="1"/>
  <c r="BN41" i="23"/>
  <c r="AF68" i="41" l="1"/>
  <c r="BR31" i="11"/>
  <c r="AY32" i="32"/>
  <c r="AK32" i="32"/>
  <c r="AY33" i="32"/>
  <c r="AK33" i="32"/>
  <c r="AK33" i="11"/>
  <c r="AJ33" i="11"/>
  <c r="BN42" i="23"/>
  <c r="AI180" i="23"/>
  <c r="AI176" i="23"/>
  <c r="AI182" i="23"/>
  <c r="AI183" i="23"/>
  <c r="AI169" i="23"/>
  <c r="AI168" i="23"/>
  <c r="AI189" i="23"/>
  <c r="AI170" i="23"/>
  <c r="AI185" i="23"/>
  <c r="AI177" i="23"/>
  <c r="AI181" i="23"/>
  <c r="AI171" i="23"/>
  <c r="AI186" i="23"/>
  <c r="AI187" i="23"/>
  <c r="AI190" i="23"/>
  <c r="AI174" i="23"/>
  <c r="AI175" i="23"/>
  <c r="AI179" i="23"/>
  <c r="AI172" i="23"/>
  <c r="AI184" i="23"/>
  <c r="AI178" i="23"/>
  <c r="AI188" i="23"/>
  <c r="AI167" i="23"/>
  <c r="AI165" i="23"/>
  <c r="BK165" i="23" s="1"/>
  <c r="BM43" i="23" s="1"/>
  <c r="AI173" i="23"/>
  <c r="AI166" i="23"/>
  <c r="AI104" i="23"/>
  <c r="BK104" i="23" s="1"/>
  <c r="BL43" i="23" s="1"/>
  <c r="AI4" i="23"/>
  <c r="AI122" i="23"/>
  <c r="AI123" i="23"/>
  <c r="AI129" i="23"/>
  <c r="AI115" i="23"/>
  <c r="AI120" i="23"/>
  <c r="AI124" i="23"/>
  <c r="AI107" i="23"/>
  <c r="AI109" i="23"/>
  <c r="AI125" i="23"/>
  <c r="AI119" i="23"/>
  <c r="AI116" i="23"/>
  <c r="AI105" i="23"/>
  <c r="AI127" i="23"/>
  <c r="AI117" i="23"/>
  <c r="AI114" i="23"/>
  <c r="AI111" i="23"/>
  <c r="AI118" i="23"/>
  <c r="AI110" i="23"/>
  <c r="AI121" i="23"/>
  <c r="AI108" i="23"/>
  <c r="AI126" i="23"/>
  <c r="AI112" i="23"/>
  <c r="AI128" i="23"/>
  <c r="AI106" i="23"/>
  <c r="AI113" i="23"/>
  <c r="L32" i="32"/>
  <c r="V32" i="32" s="1"/>
  <c r="BW32" i="11"/>
  <c r="AM32" i="11"/>
  <c r="AJ20" i="25"/>
  <c r="AJ7" i="23" s="1"/>
  <c r="AJ34" i="25"/>
  <c r="AJ18" i="25"/>
  <c r="AJ5" i="23" s="1"/>
  <c r="AJ19" i="25"/>
  <c r="AJ6" i="23" s="1"/>
  <c r="AI61" i="23"/>
  <c r="AI62" i="23"/>
  <c r="AI52" i="23"/>
  <c r="AI68" i="23"/>
  <c r="AI56" i="23"/>
  <c r="AI49" i="23"/>
  <c r="AI54" i="23"/>
  <c r="AI48" i="23"/>
  <c r="AI46" i="23"/>
  <c r="AI59" i="23"/>
  <c r="AI50" i="23"/>
  <c r="AI51" i="23"/>
  <c r="AI66" i="23"/>
  <c r="AI64" i="23"/>
  <c r="AI58" i="23"/>
  <c r="AI55" i="23"/>
  <c r="AI44" i="23"/>
  <c r="AI63" i="23"/>
  <c r="AI57" i="23"/>
  <c r="AI67" i="23"/>
  <c r="AI47" i="23"/>
  <c r="AI45" i="23"/>
  <c r="AI43" i="23"/>
  <c r="BK43" i="23" s="1"/>
  <c r="AI65" i="23"/>
  <c r="AI60" i="23"/>
  <c r="AI53" i="23"/>
  <c r="L33" i="32" l="1"/>
  <c r="V33" i="32" s="1"/>
  <c r="AM33" i="11"/>
  <c r="B25" i="11" s="1"/>
  <c r="BW33" i="11"/>
  <c r="BN43" i="23"/>
  <c r="BR32" i="11"/>
  <c r="AF69" i="41"/>
  <c r="AK20" i="25"/>
  <c r="AK7" i="23" s="1"/>
  <c r="AK19" i="25"/>
  <c r="AK6" i="23" s="1"/>
  <c r="AK34" i="25"/>
  <c r="AK18" i="25"/>
  <c r="AK5" i="23" s="1"/>
  <c r="AJ182" i="23"/>
  <c r="AJ174" i="23"/>
  <c r="AJ168" i="23"/>
  <c r="AJ172" i="23"/>
  <c r="AJ176" i="23"/>
  <c r="AJ175" i="23"/>
  <c r="AJ179" i="23"/>
  <c r="AJ169" i="23"/>
  <c r="AJ178" i="23"/>
  <c r="AJ188" i="23"/>
  <c r="AJ181" i="23"/>
  <c r="AJ190" i="23"/>
  <c r="AJ183" i="23"/>
  <c r="AJ166" i="23"/>
  <c r="BK166" i="23" s="1"/>
  <c r="BM44" i="23" s="1"/>
  <c r="AJ185" i="23"/>
  <c r="AJ180" i="23"/>
  <c r="AJ184" i="23"/>
  <c r="AJ171" i="23"/>
  <c r="AJ167" i="23"/>
  <c r="AJ173" i="23"/>
  <c r="AJ186" i="23"/>
  <c r="AJ189" i="23"/>
  <c r="AJ187" i="23"/>
  <c r="AJ177" i="23"/>
  <c r="AJ170" i="23"/>
  <c r="AJ47" i="23"/>
  <c r="AJ61" i="23"/>
  <c r="AJ48" i="23"/>
  <c r="AJ55" i="23"/>
  <c r="AJ67" i="23"/>
  <c r="AJ51" i="23"/>
  <c r="AJ56" i="23"/>
  <c r="AJ53" i="23"/>
  <c r="AJ50" i="23"/>
  <c r="AJ63" i="23"/>
  <c r="AJ64" i="23"/>
  <c r="AJ65" i="23"/>
  <c r="AJ52" i="23"/>
  <c r="AJ57" i="23"/>
  <c r="AJ58" i="23"/>
  <c r="AJ49" i="23"/>
  <c r="AJ66" i="23"/>
  <c r="AJ44" i="23"/>
  <c r="BK44" i="23" s="1"/>
  <c r="AJ68" i="23"/>
  <c r="AJ60" i="23"/>
  <c r="AJ54" i="23"/>
  <c r="AJ59" i="23"/>
  <c r="AJ62" i="23"/>
  <c r="AJ46" i="23"/>
  <c r="AJ45" i="23"/>
  <c r="AJ118" i="23"/>
  <c r="AJ121" i="23"/>
  <c r="AJ113" i="23"/>
  <c r="AJ126" i="23"/>
  <c r="AJ115" i="23"/>
  <c r="AJ123" i="23"/>
  <c r="AJ125" i="23"/>
  <c r="AJ117" i="23"/>
  <c r="AJ116" i="23"/>
  <c r="AJ124" i="23"/>
  <c r="AJ106" i="23"/>
  <c r="AJ108" i="23"/>
  <c r="AJ128" i="23"/>
  <c r="AJ4" i="23"/>
  <c r="AJ110" i="23"/>
  <c r="AJ120" i="23"/>
  <c r="AJ111" i="23"/>
  <c r="AJ105" i="23"/>
  <c r="BK105" i="23" s="1"/>
  <c r="BL44" i="23" s="1"/>
  <c r="AJ107" i="23"/>
  <c r="AJ127" i="23"/>
  <c r="AJ119" i="23"/>
  <c r="AJ122" i="23"/>
  <c r="AJ109" i="23"/>
  <c r="AJ129" i="23"/>
  <c r="AJ112" i="23"/>
  <c r="AJ114" i="23"/>
  <c r="BX33" i="11" l="1"/>
  <c r="AF70" i="41"/>
  <c r="BR33" i="11"/>
  <c r="BS33" i="11" s="1"/>
  <c r="BN44" i="23"/>
  <c r="AK170" i="23"/>
  <c r="AK180" i="23"/>
  <c r="AK179" i="23"/>
  <c r="AK178" i="23"/>
  <c r="AK175" i="23"/>
  <c r="AK186" i="23"/>
  <c r="AK173" i="23"/>
  <c r="AK171" i="23"/>
  <c r="AK185" i="23"/>
  <c r="AK181" i="23"/>
  <c r="AK187" i="23"/>
  <c r="AK190" i="23"/>
  <c r="AK169" i="23"/>
  <c r="AK168" i="23"/>
  <c r="AK177" i="23"/>
  <c r="AK183" i="23"/>
  <c r="AK188" i="23"/>
  <c r="AK189" i="23"/>
  <c r="AK167" i="23"/>
  <c r="BK167" i="23" s="1"/>
  <c r="BM45" i="23" s="1"/>
  <c r="AK172" i="23"/>
  <c r="AK182" i="23"/>
  <c r="AK184" i="23"/>
  <c r="AK176" i="23"/>
  <c r="AK174" i="23"/>
  <c r="AL34" i="25"/>
  <c r="AL20" i="25"/>
  <c r="AL7" i="23" s="1"/>
  <c r="AL18" i="25"/>
  <c r="AL5" i="23" s="1"/>
  <c r="AL19" i="25"/>
  <c r="AL6" i="23" s="1"/>
  <c r="AK122" i="23"/>
  <c r="AK129" i="23"/>
  <c r="AK119" i="23"/>
  <c r="AK112" i="23"/>
  <c r="AK107" i="23"/>
  <c r="AK114" i="23"/>
  <c r="AK127" i="23"/>
  <c r="AK111" i="23"/>
  <c r="AK126" i="23"/>
  <c r="AK123" i="23"/>
  <c r="AK121" i="23"/>
  <c r="AK109" i="23"/>
  <c r="AK117" i="23"/>
  <c r="AK125" i="23"/>
  <c r="AK108" i="23"/>
  <c r="AK115" i="23"/>
  <c r="AK120" i="23"/>
  <c r="AK113" i="23"/>
  <c r="AK128" i="23"/>
  <c r="AK106" i="23"/>
  <c r="BK106" i="23" s="1"/>
  <c r="BL45" i="23" s="1"/>
  <c r="AK116" i="23"/>
  <c r="AK124" i="23"/>
  <c r="AK4" i="23"/>
  <c r="AK118" i="23"/>
  <c r="AK110" i="23"/>
  <c r="AK68" i="23"/>
  <c r="AK62" i="23"/>
  <c r="AK48" i="23"/>
  <c r="AK51" i="23"/>
  <c r="AK46" i="23"/>
  <c r="AK61" i="23"/>
  <c r="AK63" i="23"/>
  <c r="AK54" i="23"/>
  <c r="AK59" i="23"/>
  <c r="AK65" i="23"/>
  <c r="AK58" i="23"/>
  <c r="AK49" i="23"/>
  <c r="AK53" i="23"/>
  <c r="AK67" i="23"/>
  <c r="AK56" i="23"/>
  <c r="AK66" i="23"/>
  <c r="AK55" i="23"/>
  <c r="AK50" i="23"/>
  <c r="AK57" i="23"/>
  <c r="AK47" i="23"/>
  <c r="AK45" i="23"/>
  <c r="BK45" i="23" s="1"/>
  <c r="AK52" i="23"/>
  <c r="AK60" i="23"/>
  <c r="AK64" i="23"/>
  <c r="BN45" i="23" l="1"/>
  <c r="AL53" i="23"/>
  <c r="AL51" i="23"/>
  <c r="AL54" i="23"/>
  <c r="AL48" i="23"/>
  <c r="AL65" i="23"/>
  <c r="AL68" i="23"/>
  <c r="AL56" i="23"/>
  <c r="AL58" i="23"/>
  <c r="AL52" i="23"/>
  <c r="AL57" i="23"/>
  <c r="AL64" i="23"/>
  <c r="AL59" i="23"/>
  <c r="AL61" i="23"/>
  <c r="AL46" i="23"/>
  <c r="BK46" i="23" s="1"/>
  <c r="AL63" i="23"/>
  <c r="AL67" i="23"/>
  <c r="AL49" i="23"/>
  <c r="AL55" i="23"/>
  <c r="AL50" i="23"/>
  <c r="AL47" i="23"/>
  <c r="AL62" i="23"/>
  <c r="AL60" i="23"/>
  <c r="AL66" i="23"/>
  <c r="AL115" i="23"/>
  <c r="AL122" i="23"/>
  <c r="AL111" i="23"/>
  <c r="AL110" i="23"/>
  <c r="AL112" i="23"/>
  <c r="AL113" i="23"/>
  <c r="AL114" i="23"/>
  <c r="AL121" i="23"/>
  <c r="AL4" i="23"/>
  <c r="AL126" i="23"/>
  <c r="AL118" i="23"/>
  <c r="AL123" i="23"/>
  <c r="AL128" i="23"/>
  <c r="AL119" i="23"/>
  <c r="AL116" i="23"/>
  <c r="AL129" i="23"/>
  <c r="AL120" i="23"/>
  <c r="AL117" i="23"/>
  <c r="AL127" i="23"/>
  <c r="AL107" i="23"/>
  <c r="BK107" i="23" s="1"/>
  <c r="BL46" i="23" s="1"/>
  <c r="AL109" i="23"/>
  <c r="AL125" i="23"/>
  <c r="AL124" i="23"/>
  <c r="AL108" i="23"/>
  <c r="AL173" i="23"/>
  <c r="AL176" i="23"/>
  <c r="AL172" i="23"/>
  <c r="AL180" i="23"/>
  <c r="AL183" i="23"/>
  <c r="AL168" i="23"/>
  <c r="BK168" i="23" s="1"/>
  <c r="BM46" i="23" s="1"/>
  <c r="AL190" i="23"/>
  <c r="AL184" i="23"/>
  <c r="AL174" i="23"/>
  <c r="AL188" i="23"/>
  <c r="AL187" i="23"/>
  <c r="AL189" i="23"/>
  <c r="AL185" i="23"/>
  <c r="AL181" i="23"/>
  <c r="AL175" i="23"/>
  <c r="AL177" i="23"/>
  <c r="AL171" i="23"/>
  <c r="AL169" i="23"/>
  <c r="AL186" i="23"/>
  <c r="AL178" i="23"/>
  <c r="AL182" i="23"/>
  <c r="AL179" i="23"/>
  <c r="AL170" i="23"/>
  <c r="AM19" i="25"/>
  <c r="AM6" i="23" s="1"/>
  <c r="AM18" i="25"/>
  <c r="AM5" i="23" s="1"/>
  <c r="AM20" i="25"/>
  <c r="AM7" i="23" s="1"/>
  <c r="AM34" i="25"/>
  <c r="AN34" i="25" l="1"/>
  <c r="AN19" i="25"/>
  <c r="AN6" i="23" s="1"/>
  <c r="AN20" i="25"/>
  <c r="AN7" i="23" s="1"/>
  <c r="AN18" i="25"/>
  <c r="AN5" i="23" s="1"/>
  <c r="AM177" i="23"/>
  <c r="AM188" i="23"/>
  <c r="AM186" i="23"/>
  <c r="AM173" i="23"/>
  <c r="AM174" i="23"/>
  <c r="AM179" i="23"/>
  <c r="AM189" i="23"/>
  <c r="AM183" i="23"/>
  <c r="AM171" i="23"/>
  <c r="AM175" i="23"/>
  <c r="AM182" i="23"/>
  <c r="AM184" i="23"/>
  <c r="AM185" i="23"/>
  <c r="AM170" i="23"/>
  <c r="AM169" i="23"/>
  <c r="BK169" i="23" s="1"/>
  <c r="BM47" i="23" s="1"/>
  <c r="AM180" i="23"/>
  <c r="AM172" i="23"/>
  <c r="AM187" i="23"/>
  <c r="AM178" i="23"/>
  <c r="AM190" i="23"/>
  <c r="AM176" i="23"/>
  <c r="AM181" i="23"/>
  <c r="AM121" i="23"/>
  <c r="AM4" i="23"/>
  <c r="AM126" i="23"/>
  <c r="AM111" i="23"/>
  <c r="AM128" i="23"/>
  <c r="AM122" i="23"/>
  <c r="AM114" i="23"/>
  <c r="AM109" i="23"/>
  <c r="AM123" i="23"/>
  <c r="AM127" i="23"/>
  <c r="AM112" i="23"/>
  <c r="AM116" i="23"/>
  <c r="AM129" i="23"/>
  <c r="AM113" i="23"/>
  <c r="AM120" i="23"/>
  <c r="AM118" i="23"/>
  <c r="AM125" i="23"/>
  <c r="AM108" i="23"/>
  <c r="BK108" i="23" s="1"/>
  <c r="BL47" i="23" s="1"/>
  <c r="AM117" i="23"/>
  <c r="AM110" i="23"/>
  <c r="AM124" i="23"/>
  <c r="AM119" i="23"/>
  <c r="AM115" i="23"/>
  <c r="BN46" i="23"/>
  <c r="AM61" i="23"/>
  <c r="AM66" i="23"/>
  <c r="AM49" i="23"/>
  <c r="AM59" i="23"/>
  <c r="AM64" i="23"/>
  <c r="AM55" i="23"/>
  <c r="AM62" i="23"/>
  <c r="AM68" i="23"/>
  <c r="AM63" i="23"/>
  <c r="AM48" i="23"/>
  <c r="AM65" i="23"/>
  <c r="AM67" i="23"/>
  <c r="AM53" i="23"/>
  <c r="AM52" i="23"/>
  <c r="AM47" i="23"/>
  <c r="BK47" i="23" s="1"/>
  <c r="AM57" i="23"/>
  <c r="AM50" i="23"/>
  <c r="AM51" i="23"/>
  <c r="AM54" i="23"/>
  <c r="AM60" i="23"/>
  <c r="AM56" i="23"/>
  <c r="AM58" i="23"/>
  <c r="BN47" i="23" l="1"/>
  <c r="AO34" i="25"/>
  <c r="AO20" i="25"/>
  <c r="AO7" i="23" s="1"/>
  <c r="AO19" i="25"/>
  <c r="AO6" i="23" s="1"/>
  <c r="AO18" i="25"/>
  <c r="AO5" i="23" s="1"/>
  <c r="AN125" i="23"/>
  <c r="AN118" i="23"/>
  <c r="AN115" i="23"/>
  <c r="AN127" i="23"/>
  <c r="AN129" i="23"/>
  <c r="AN109" i="23"/>
  <c r="BK109" i="23" s="1"/>
  <c r="BL48" i="23" s="1"/>
  <c r="AN117" i="23"/>
  <c r="AN128" i="23"/>
  <c r="AN110" i="23"/>
  <c r="AN112" i="23"/>
  <c r="AN124" i="23"/>
  <c r="AN122" i="23"/>
  <c r="AN121" i="23"/>
  <c r="AN120" i="23"/>
  <c r="AN119" i="23"/>
  <c r="AN111" i="23"/>
  <c r="AN126" i="23"/>
  <c r="AN4" i="23"/>
  <c r="AN123" i="23"/>
  <c r="AN114" i="23"/>
  <c r="AN116" i="23"/>
  <c r="AN113" i="23"/>
  <c r="AN182" i="23"/>
  <c r="AN184" i="23"/>
  <c r="AN174" i="23"/>
  <c r="AN178" i="23"/>
  <c r="AN172" i="23"/>
  <c r="AN189" i="23"/>
  <c r="AN179" i="23"/>
  <c r="AN183" i="23"/>
  <c r="AN170" i="23"/>
  <c r="BK170" i="23" s="1"/>
  <c r="BM48" i="23" s="1"/>
  <c r="AN190" i="23"/>
  <c r="AN188" i="23"/>
  <c r="AN171" i="23"/>
  <c r="AN186" i="23"/>
  <c r="AN185" i="23"/>
  <c r="AN177" i="23"/>
  <c r="AN173" i="23"/>
  <c r="AN187" i="23"/>
  <c r="AN176" i="23"/>
  <c r="AN175" i="23"/>
  <c r="AN181" i="23"/>
  <c r="AN180" i="23"/>
  <c r="AN50" i="23"/>
  <c r="AN49" i="23"/>
  <c r="AN51" i="23"/>
  <c r="AN68" i="23"/>
  <c r="AN52" i="23"/>
  <c r="AN48" i="23"/>
  <c r="BK48" i="23" s="1"/>
  <c r="AN54" i="23"/>
  <c r="AN65" i="23"/>
  <c r="AN56" i="23"/>
  <c r="AN58" i="23"/>
  <c r="AN55" i="23"/>
  <c r="AN57" i="23"/>
  <c r="AN53" i="23"/>
  <c r="AN66" i="23"/>
  <c r="AN59" i="23"/>
  <c r="AN61" i="23"/>
  <c r="AN63" i="23"/>
  <c r="AN60" i="23"/>
  <c r="AN67" i="23"/>
  <c r="AN64" i="23"/>
  <c r="AN62" i="23"/>
  <c r="BN48" i="23" l="1"/>
  <c r="AP20" i="25"/>
  <c r="AP7" i="23" s="1"/>
  <c r="AP19" i="25"/>
  <c r="AP6" i="23" s="1"/>
  <c r="AP34" i="25"/>
  <c r="AP18" i="25"/>
  <c r="AP5" i="23" s="1"/>
  <c r="AO115" i="23"/>
  <c r="AO114" i="23"/>
  <c r="AO4" i="23"/>
  <c r="AO126" i="23"/>
  <c r="AO124" i="23"/>
  <c r="AO125" i="23"/>
  <c r="AO129" i="23"/>
  <c r="AO110" i="23"/>
  <c r="BK110" i="23" s="1"/>
  <c r="BL49" i="23" s="1"/>
  <c r="AO123" i="23"/>
  <c r="AO121" i="23"/>
  <c r="AO120" i="23"/>
  <c r="AO127" i="23"/>
  <c r="AO128" i="23"/>
  <c r="AO119" i="23"/>
  <c r="AO113" i="23"/>
  <c r="AO117" i="23"/>
  <c r="AO122" i="23"/>
  <c r="AO118" i="23"/>
  <c r="AO111" i="23"/>
  <c r="AO112" i="23"/>
  <c r="AO116" i="23"/>
  <c r="AO51" i="23"/>
  <c r="AO57" i="23"/>
  <c r="AO58" i="23"/>
  <c r="AO62" i="23"/>
  <c r="AO55" i="23"/>
  <c r="AO50" i="23"/>
  <c r="AO67" i="23"/>
  <c r="AO56" i="23"/>
  <c r="AO61" i="23"/>
  <c r="AO63" i="23"/>
  <c r="AO65" i="23"/>
  <c r="AO66" i="23"/>
  <c r="AO68" i="23"/>
  <c r="AO53" i="23"/>
  <c r="AO54" i="23"/>
  <c r="AO52" i="23"/>
  <c r="AO60" i="23"/>
  <c r="AO64" i="23"/>
  <c r="AO49" i="23"/>
  <c r="BK49" i="23" s="1"/>
  <c r="AO59" i="23"/>
  <c r="AO174" i="23"/>
  <c r="AO179" i="23"/>
  <c r="AO181" i="23"/>
  <c r="AO190" i="23"/>
  <c r="AO180" i="23"/>
  <c r="AO172" i="23"/>
  <c r="AO186" i="23"/>
  <c r="AO182" i="23"/>
  <c r="AO176" i="23"/>
  <c r="AO178" i="23"/>
  <c r="AO184" i="23"/>
  <c r="AO189" i="23"/>
  <c r="AO177" i="23"/>
  <c r="AO185" i="23"/>
  <c r="AO183" i="23"/>
  <c r="AO187" i="23"/>
  <c r="AO173" i="23"/>
  <c r="AO175" i="23"/>
  <c r="AO188" i="23"/>
  <c r="AO171" i="23"/>
  <c r="BK171" i="23" s="1"/>
  <c r="BM49" i="23" s="1"/>
  <c r="AQ20" i="25" l="1"/>
  <c r="AQ7" i="23" s="1"/>
  <c r="AQ18" i="25"/>
  <c r="AQ5" i="23" s="1"/>
  <c r="AQ19" i="25"/>
  <c r="AQ6" i="23" s="1"/>
  <c r="AQ34" i="25"/>
  <c r="AP122" i="23"/>
  <c r="AP114" i="23"/>
  <c r="AP123" i="23"/>
  <c r="AP115" i="23"/>
  <c r="AP4" i="23"/>
  <c r="AP121" i="23"/>
  <c r="AP113" i="23"/>
  <c r="AP111" i="23"/>
  <c r="BK111" i="23" s="1"/>
  <c r="BL50" i="23" s="1"/>
  <c r="AP129" i="23"/>
  <c r="AP119" i="23"/>
  <c r="AP127" i="23"/>
  <c r="AP128" i="23"/>
  <c r="AP124" i="23"/>
  <c r="AP125" i="23"/>
  <c r="AP126" i="23"/>
  <c r="AP120" i="23"/>
  <c r="AP117" i="23"/>
  <c r="AP118" i="23"/>
  <c r="AP112" i="23"/>
  <c r="AP116" i="23"/>
  <c r="BN49" i="23"/>
  <c r="AP66" i="23"/>
  <c r="AP52" i="23"/>
  <c r="AP60" i="23"/>
  <c r="AP59" i="23"/>
  <c r="AP64" i="23"/>
  <c r="AP57" i="23"/>
  <c r="AP65" i="23"/>
  <c r="AP56" i="23"/>
  <c r="AP68" i="23"/>
  <c r="AP50" i="23"/>
  <c r="BK50" i="23" s="1"/>
  <c r="AP55" i="23"/>
  <c r="AP54" i="23"/>
  <c r="AP61" i="23"/>
  <c r="AP62" i="23"/>
  <c r="AP53" i="23"/>
  <c r="AP67" i="23"/>
  <c r="AP51" i="23"/>
  <c r="AP63" i="23"/>
  <c r="AP58" i="23"/>
  <c r="AP188" i="23"/>
  <c r="AP181" i="23"/>
  <c r="AP189" i="23"/>
  <c r="AP180" i="23"/>
  <c r="AP174" i="23"/>
  <c r="AP183" i="23"/>
  <c r="AP177" i="23"/>
  <c r="AP184" i="23"/>
  <c r="AP172" i="23"/>
  <c r="BK172" i="23" s="1"/>
  <c r="BM50" i="23" s="1"/>
  <c r="AP175" i="23"/>
  <c r="AP178" i="23"/>
  <c r="AP190" i="23"/>
  <c r="AP185" i="23"/>
  <c r="AP179" i="23"/>
  <c r="AP186" i="23"/>
  <c r="AP187" i="23"/>
  <c r="AP173" i="23"/>
  <c r="AP182" i="23"/>
  <c r="AP176" i="23"/>
  <c r="AR18" i="25" l="1"/>
  <c r="AR5" i="23" s="1"/>
  <c r="AR20" i="25"/>
  <c r="AR7" i="23" s="1"/>
  <c r="AR19" i="25"/>
  <c r="AR6" i="23" s="1"/>
  <c r="AR34" i="25"/>
  <c r="BN50" i="23"/>
  <c r="AQ60" i="23"/>
  <c r="AQ54" i="23"/>
  <c r="AQ64" i="23"/>
  <c r="AQ52" i="23"/>
  <c r="AQ66" i="23"/>
  <c r="AQ62" i="23"/>
  <c r="AQ58" i="23"/>
  <c r="AQ68" i="23"/>
  <c r="AQ67" i="23"/>
  <c r="AQ56" i="23"/>
  <c r="AQ57" i="23"/>
  <c r="AQ53" i="23"/>
  <c r="AQ63" i="23"/>
  <c r="AQ55" i="23"/>
  <c r="AQ51" i="23"/>
  <c r="BK51" i="23" s="1"/>
  <c r="AQ59" i="23"/>
  <c r="AQ61" i="23"/>
  <c r="AQ65" i="23"/>
  <c r="AQ127" i="23"/>
  <c r="AQ120" i="23"/>
  <c r="AQ121" i="23"/>
  <c r="AQ122" i="23"/>
  <c r="AQ115" i="23"/>
  <c r="AQ123" i="23"/>
  <c r="AQ124" i="23"/>
  <c r="AQ117" i="23"/>
  <c r="AQ125" i="23"/>
  <c r="AQ4" i="23"/>
  <c r="AQ128" i="23"/>
  <c r="AQ126" i="23"/>
  <c r="AQ112" i="23"/>
  <c r="BK112" i="23" s="1"/>
  <c r="BL51" i="23" s="1"/>
  <c r="AQ118" i="23"/>
  <c r="AQ114" i="23"/>
  <c r="AQ129" i="23"/>
  <c r="AQ119" i="23"/>
  <c r="AQ116" i="23"/>
  <c r="AQ113" i="23"/>
  <c r="AQ181" i="23"/>
  <c r="AQ183" i="23"/>
  <c r="AQ186" i="23"/>
  <c r="AQ174" i="23"/>
  <c r="AQ179" i="23"/>
  <c r="AQ190" i="23"/>
  <c r="AQ175" i="23"/>
  <c r="AQ187" i="23"/>
  <c r="AQ188" i="23"/>
  <c r="AQ189" i="23"/>
  <c r="AQ176" i="23"/>
  <c r="AQ180" i="23"/>
  <c r="AQ178" i="23"/>
  <c r="AQ184" i="23"/>
  <c r="AQ185" i="23"/>
  <c r="AQ182" i="23"/>
  <c r="AQ173" i="23"/>
  <c r="BK173" i="23" s="1"/>
  <c r="BM51" i="23" s="1"/>
  <c r="AQ177" i="23"/>
  <c r="AR59" i="23" l="1"/>
  <c r="AR56" i="23"/>
  <c r="AR62" i="23"/>
  <c r="AR68" i="23"/>
  <c r="AR61" i="23"/>
  <c r="AR60" i="23"/>
  <c r="AR57" i="23"/>
  <c r="AR58" i="23"/>
  <c r="AR55" i="23"/>
  <c r="AR67" i="23"/>
  <c r="AR54" i="23"/>
  <c r="AR52" i="23"/>
  <c r="BK52" i="23" s="1"/>
  <c r="AR63" i="23"/>
  <c r="AR66" i="23"/>
  <c r="AR53" i="23"/>
  <c r="AR64" i="23"/>
  <c r="AR65" i="23"/>
  <c r="BN51" i="23"/>
  <c r="AR176" i="23"/>
  <c r="AR181" i="23"/>
  <c r="AR188" i="23"/>
  <c r="AR184" i="23"/>
  <c r="AR177" i="23"/>
  <c r="AR180" i="23"/>
  <c r="AR185" i="23"/>
  <c r="AR183" i="23"/>
  <c r="AR182" i="23"/>
  <c r="AR174" i="23"/>
  <c r="BK174" i="23" s="1"/>
  <c r="BM52" i="23" s="1"/>
  <c r="AR187" i="23"/>
  <c r="AR178" i="23"/>
  <c r="AR179" i="23"/>
  <c r="AR190" i="23"/>
  <c r="AR186" i="23"/>
  <c r="AR175" i="23"/>
  <c r="AR189" i="23"/>
  <c r="AS34" i="25"/>
  <c r="AS20" i="25"/>
  <c r="AS7" i="23" s="1"/>
  <c r="AS18" i="25"/>
  <c r="AS5" i="23" s="1"/>
  <c r="AS19" i="25"/>
  <c r="AS6" i="23" s="1"/>
  <c r="AR118" i="23"/>
  <c r="AR116" i="23"/>
  <c r="AR128" i="23"/>
  <c r="AR129" i="23"/>
  <c r="AR127" i="23"/>
  <c r="AR113" i="23"/>
  <c r="BK113" i="23" s="1"/>
  <c r="BL52" i="23" s="1"/>
  <c r="AR119" i="23"/>
  <c r="AR124" i="23"/>
  <c r="AR120" i="23"/>
  <c r="AR4" i="23"/>
  <c r="AR122" i="23"/>
  <c r="AR115" i="23"/>
  <c r="AR117" i="23"/>
  <c r="AR123" i="23"/>
  <c r="AR126" i="23"/>
  <c r="AR114" i="23"/>
  <c r="AR121" i="23"/>
  <c r="AR125" i="23"/>
  <c r="AS184" i="23" l="1"/>
  <c r="AS178" i="23"/>
  <c r="AS176" i="23"/>
  <c r="AS181" i="23"/>
  <c r="AS177" i="23"/>
  <c r="AS185" i="23"/>
  <c r="AS180" i="23"/>
  <c r="AS183" i="23"/>
  <c r="AS179" i="23"/>
  <c r="AS182" i="23"/>
  <c r="AS190" i="23"/>
  <c r="AS186" i="23"/>
  <c r="AS188" i="23"/>
  <c r="AS175" i="23"/>
  <c r="BK175" i="23" s="1"/>
  <c r="BM53" i="23" s="1"/>
  <c r="AS189" i="23"/>
  <c r="AS187" i="23"/>
  <c r="BN52" i="23"/>
  <c r="AT19" i="25"/>
  <c r="AT6" i="23" s="1"/>
  <c r="AT34" i="25"/>
  <c r="AT18" i="25"/>
  <c r="AT5" i="23" s="1"/>
  <c r="AT20" i="25"/>
  <c r="AT7" i="23" s="1"/>
  <c r="AS115" i="23"/>
  <c r="AS119" i="23"/>
  <c r="AS4" i="23"/>
  <c r="AS125" i="23"/>
  <c r="AS122" i="23"/>
  <c r="AS128" i="23"/>
  <c r="AS126" i="23"/>
  <c r="AS127" i="23"/>
  <c r="AS121" i="23"/>
  <c r="AS129" i="23"/>
  <c r="AS123" i="23"/>
  <c r="AS116" i="23"/>
  <c r="AS118" i="23"/>
  <c r="AS117" i="23"/>
  <c r="AS124" i="23"/>
  <c r="AS114" i="23"/>
  <c r="BK114" i="23" s="1"/>
  <c r="BL53" i="23" s="1"/>
  <c r="AS120" i="23"/>
  <c r="AS56" i="23"/>
  <c r="AS57" i="23"/>
  <c r="AS67" i="23"/>
  <c r="AS59" i="23"/>
  <c r="AS64" i="23"/>
  <c r="AS61" i="23"/>
  <c r="AS68" i="23"/>
  <c r="AS54" i="23"/>
  <c r="AS53" i="23"/>
  <c r="BK53" i="23" s="1"/>
  <c r="AS60" i="23"/>
  <c r="AS63" i="23"/>
  <c r="AS65" i="23"/>
  <c r="AS66" i="23"/>
  <c r="AS58" i="23"/>
  <c r="AS62" i="23"/>
  <c r="AS55" i="23"/>
  <c r="AT187" i="23" l="1"/>
  <c r="AT181" i="23"/>
  <c r="AT180" i="23"/>
  <c r="AT184" i="23"/>
  <c r="AT185" i="23"/>
  <c r="AT186" i="23"/>
  <c r="AT190" i="23"/>
  <c r="AT183" i="23"/>
  <c r="AT189" i="23"/>
  <c r="AT176" i="23"/>
  <c r="BK176" i="23" s="1"/>
  <c r="BM54" i="23" s="1"/>
  <c r="AT178" i="23"/>
  <c r="AT182" i="23"/>
  <c r="AT177" i="23"/>
  <c r="AT179" i="23"/>
  <c r="AT188" i="23"/>
  <c r="AU18" i="25"/>
  <c r="AU5" i="23" s="1"/>
  <c r="AU19" i="25"/>
  <c r="AU6" i="23" s="1"/>
  <c r="AU34" i="25"/>
  <c r="AU20" i="25"/>
  <c r="AU7" i="23" s="1"/>
  <c r="AT117" i="23"/>
  <c r="AT125" i="23"/>
  <c r="AT121" i="23"/>
  <c r="AT118" i="23"/>
  <c r="AT127" i="23"/>
  <c r="AT129" i="23"/>
  <c r="AT123" i="23"/>
  <c r="AT124" i="23"/>
  <c r="AT115" i="23"/>
  <c r="BK115" i="23" s="1"/>
  <c r="BL54" i="23" s="1"/>
  <c r="AT4" i="23"/>
  <c r="AT128" i="23"/>
  <c r="AT120" i="23"/>
  <c r="AT119" i="23"/>
  <c r="AT116" i="23"/>
  <c r="AT122" i="23"/>
  <c r="AT126" i="23"/>
  <c r="AT67" i="23"/>
  <c r="AT62" i="23"/>
  <c r="AT63" i="23"/>
  <c r="AT68" i="23"/>
  <c r="AT61" i="23"/>
  <c r="AT60" i="23"/>
  <c r="AT55" i="23"/>
  <c r="AT54" i="23"/>
  <c r="BK54" i="23" s="1"/>
  <c r="AT56" i="23"/>
  <c r="AT57" i="23"/>
  <c r="AT66" i="23"/>
  <c r="AT65" i="23"/>
  <c r="AT59" i="23"/>
  <c r="AT58" i="23"/>
  <c r="AT64" i="23"/>
  <c r="BN53" i="23"/>
  <c r="AU129" i="23" l="1"/>
  <c r="AU119" i="23"/>
  <c r="AU117" i="23"/>
  <c r="AU122" i="23"/>
  <c r="AU121" i="23"/>
  <c r="AU4" i="23"/>
  <c r="AU116" i="23"/>
  <c r="BK116" i="23" s="1"/>
  <c r="BL55" i="23" s="1"/>
  <c r="AU124" i="23"/>
  <c r="AU127" i="23"/>
  <c r="AU125" i="23"/>
  <c r="AU128" i="23"/>
  <c r="AU123" i="23"/>
  <c r="AU118" i="23"/>
  <c r="AU126" i="23"/>
  <c r="AU120" i="23"/>
  <c r="AV18" i="25"/>
  <c r="AV5" i="23" s="1"/>
  <c r="AV20" i="25"/>
  <c r="AV7" i="23" s="1"/>
  <c r="AV34" i="25"/>
  <c r="AV19" i="25"/>
  <c r="AV6" i="23" s="1"/>
  <c r="BN54" i="23"/>
  <c r="AU183" i="23"/>
  <c r="AU190" i="23"/>
  <c r="AU180" i="23"/>
  <c r="AU182" i="23"/>
  <c r="AU186" i="23"/>
  <c r="AU178" i="23"/>
  <c r="AU179" i="23"/>
  <c r="AU184" i="23"/>
  <c r="AU177" i="23"/>
  <c r="BK177" i="23" s="1"/>
  <c r="BM55" i="23" s="1"/>
  <c r="AU181" i="23"/>
  <c r="AU189" i="23"/>
  <c r="AU187" i="23"/>
  <c r="AU188" i="23"/>
  <c r="AU185" i="23"/>
  <c r="AU68" i="23"/>
  <c r="AU61" i="23"/>
  <c r="AU55" i="23"/>
  <c r="BK55" i="23" s="1"/>
  <c r="AU56" i="23"/>
  <c r="AU60" i="23"/>
  <c r="AU65" i="23"/>
  <c r="AU66" i="23"/>
  <c r="AU63" i="23"/>
  <c r="AU58" i="23"/>
  <c r="AU57" i="23"/>
  <c r="AU67" i="23"/>
  <c r="AU62" i="23"/>
  <c r="AU64" i="23"/>
  <c r="AU59" i="23"/>
  <c r="BN55" i="23" l="1"/>
  <c r="AW20" i="25"/>
  <c r="AW7" i="23" s="1"/>
  <c r="AW19" i="25"/>
  <c r="AW6" i="23" s="1"/>
  <c r="AW34" i="25"/>
  <c r="AW18" i="25"/>
  <c r="AW5" i="23" s="1"/>
  <c r="AV122" i="23"/>
  <c r="AV127" i="23"/>
  <c r="AV123" i="23"/>
  <c r="AV128" i="23"/>
  <c r="AV118" i="23"/>
  <c r="AV120" i="23"/>
  <c r="AV4" i="23"/>
  <c r="AV124" i="23"/>
  <c r="AV117" i="23"/>
  <c r="BK117" i="23" s="1"/>
  <c r="BL56" i="23" s="1"/>
  <c r="AV129" i="23"/>
  <c r="AV121" i="23"/>
  <c r="AV119" i="23"/>
  <c r="AV126" i="23"/>
  <c r="AV125" i="23"/>
  <c r="AV61" i="23"/>
  <c r="AV64" i="23"/>
  <c r="AV63" i="23"/>
  <c r="AV57" i="23"/>
  <c r="AV68" i="23"/>
  <c r="AV67" i="23"/>
  <c r="AV56" i="23"/>
  <c r="BK56" i="23" s="1"/>
  <c r="AV65" i="23"/>
  <c r="AV59" i="23"/>
  <c r="AV60" i="23"/>
  <c r="AV62" i="23"/>
  <c r="AV58" i="23"/>
  <c r="AV66" i="23"/>
  <c r="AV180" i="23"/>
  <c r="AV188" i="23"/>
  <c r="AV178" i="23"/>
  <c r="BK178" i="23" s="1"/>
  <c r="BM56" i="23" s="1"/>
  <c r="AV181" i="23"/>
  <c r="AV190" i="23"/>
  <c r="AV184" i="23"/>
  <c r="AV182" i="23"/>
  <c r="AV183" i="23"/>
  <c r="AV179" i="23"/>
  <c r="AV185" i="23"/>
  <c r="AV187" i="23"/>
  <c r="AV186" i="23"/>
  <c r="AV189" i="23"/>
  <c r="AX19" i="25" l="1"/>
  <c r="AX6" i="23" s="1"/>
  <c r="AX20" i="25"/>
  <c r="AX7" i="23" s="1"/>
  <c r="AX34" i="25"/>
  <c r="AX18" i="25"/>
  <c r="AX5" i="23" s="1"/>
  <c r="AW123" i="23"/>
  <c r="AW125" i="23"/>
  <c r="AW128" i="23"/>
  <c r="AW127" i="23"/>
  <c r="AW4" i="23"/>
  <c r="AW119" i="23"/>
  <c r="AW124" i="23"/>
  <c r="AW122" i="23"/>
  <c r="AW120" i="23"/>
  <c r="AW118" i="23"/>
  <c r="BK118" i="23" s="1"/>
  <c r="BL57" i="23" s="1"/>
  <c r="AW126" i="23"/>
  <c r="AW121" i="23"/>
  <c r="AW129" i="23"/>
  <c r="AW61" i="23"/>
  <c r="AW67" i="23"/>
  <c r="AW57" i="23"/>
  <c r="BK57" i="23" s="1"/>
  <c r="AW64" i="23"/>
  <c r="AW68" i="23"/>
  <c r="AW65" i="23"/>
  <c r="AW63" i="23"/>
  <c r="AW62" i="23"/>
  <c r="AW66" i="23"/>
  <c r="AW58" i="23"/>
  <c r="AW59" i="23"/>
  <c r="AW60" i="23"/>
  <c r="AW190" i="23"/>
  <c r="AW183" i="23"/>
  <c r="AW188" i="23"/>
  <c r="AW186" i="23"/>
  <c r="AW187" i="23"/>
  <c r="AW189" i="23"/>
  <c r="AW184" i="23"/>
  <c r="AW182" i="23"/>
  <c r="AW181" i="23"/>
  <c r="AW179" i="23"/>
  <c r="BK179" i="23" s="1"/>
  <c r="BM57" i="23" s="1"/>
  <c r="AW180" i="23"/>
  <c r="AW185" i="23"/>
  <c r="BN56" i="23"/>
  <c r="BN57" i="23" l="1"/>
  <c r="AX128" i="23"/>
  <c r="AX126" i="23"/>
  <c r="AX122" i="23"/>
  <c r="AX121" i="23"/>
  <c r="AX124" i="23"/>
  <c r="AX123" i="23"/>
  <c r="AX4" i="23"/>
  <c r="AX120" i="23"/>
  <c r="AX119" i="23"/>
  <c r="BK119" i="23" s="1"/>
  <c r="BL58" i="23" s="1"/>
  <c r="AX127" i="23"/>
  <c r="AX129" i="23"/>
  <c r="AX125" i="23"/>
  <c r="AY20" i="25"/>
  <c r="AY7" i="23" s="1"/>
  <c r="AY18" i="25"/>
  <c r="AY5" i="23" s="1"/>
  <c r="AY19" i="25"/>
  <c r="AY6" i="23" s="1"/>
  <c r="AY34" i="25"/>
  <c r="AX184" i="23"/>
  <c r="AX183" i="23"/>
  <c r="AX187" i="23"/>
  <c r="AX185" i="23"/>
  <c r="AX189" i="23"/>
  <c r="AX181" i="23"/>
  <c r="AX182" i="23"/>
  <c r="AX188" i="23"/>
  <c r="AX186" i="23"/>
  <c r="AX190" i="23"/>
  <c r="AX180" i="23"/>
  <c r="BK180" i="23" s="1"/>
  <c r="BM58" i="23" s="1"/>
  <c r="AX65" i="23"/>
  <c r="AX62" i="23"/>
  <c r="AX58" i="23"/>
  <c r="BK58" i="23" s="1"/>
  <c r="AX59" i="23"/>
  <c r="AX60" i="23"/>
  <c r="AX66" i="23"/>
  <c r="AX63" i="23"/>
  <c r="AX67" i="23"/>
  <c r="AX68" i="23"/>
  <c r="AX64" i="23"/>
  <c r="AX61" i="23"/>
  <c r="BN58" i="23" l="1"/>
  <c r="AY60" i="23"/>
  <c r="AY61" i="23"/>
  <c r="AY63" i="23"/>
  <c r="AY64" i="23"/>
  <c r="AY65" i="23"/>
  <c r="AY68" i="23"/>
  <c r="AY59" i="23"/>
  <c r="BK59" i="23" s="1"/>
  <c r="AY66" i="23"/>
  <c r="AY62" i="23"/>
  <c r="AY67" i="23"/>
  <c r="AY4" i="23"/>
  <c r="AY123" i="23"/>
  <c r="AY122" i="23"/>
  <c r="AY121" i="23"/>
  <c r="AY125" i="23"/>
  <c r="AY124" i="23"/>
  <c r="AY126" i="23"/>
  <c r="AY127" i="23"/>
  <c r="AY129" i="23"/>
  <c r="AY120" i="23"/>
  <c r="BK120" i="23" s="1"/>
  <c r="BL59" i="23" s="1"/>
  <c r="AY128" i="23"/>
  <c r="AY186" i="23"/>
  <c r="AY184" i="23"/>
  <c r="AY189" i="23"/>
  <c r="AY182" i="23"/>
  <c r="AY188" i="23"/>
  <c r="AY185" i="23"/>
  <c r="AY187" i="23"/>
  <c r="AY183" i="23"/>
  <c r="AY190" i="23"/>
  <c r="AY181" i="23"/>
  <c r="BK181" i="23" s="1"/>
  <c r="BM59" i="23" s="1"/>
  <c r="AZ19" i="25"/>
  <c r="AZ6" i="23" s="1"/>
  <c r="AZ18" i="25"/>
  <c r="AZ5" i="23" s="1"/>
  <c r="AZ20" i="25"/>
  <c r="AZ7" i="23" s="1"/>
  <c r="AZ34" i="25"/>
  <c r="BN59" i="23" l="1"/>
  <c r="BA19" i="25"/>
  <c r="BA6" i="23" s="1"/>
  <c r="BA20" i="25"/>
  <c r="BA7" i="23" s="1"/>
  <c r="BA34" i="25"/>
  <c r="BA18" i="25"/>
  <c r="BA5" i="23" s="1"/>
  <c r="AZ4" i="23"/>
  <c r="AZ129" i="23"/>
  <c r="AZ125" i="23"/>
  <c r="AZ123" i="23"/>
  <c r="AZ126" i="23"/>
  <c r="AZ121" i="23"/>
  <c r="BK121" i="23" s="1"/>
  <c r="BL60" i="23" s="1"/>
  <c r="AZ127" i="23"/>
  <c r="AZ122" i="23"/>
  <c r="AZ124" i="23"/>
  <c r="AZ128" i="23"/>
  <c r="AZ64" i="23"/>
  <c r="AZ60" i="23"/>
  <c r="BK60" i="23" s="1"/>
  <c r="AZ61" i="23"/>
  <c r="AZ68" i="23"/>
  <c r="AZ62" i="23"/>
  <c r="AZ65" i="23"/>
  <c r="AZ66" i="23"/>
  <c r="AZ63" i="23"/>
  <c r="AZ67" i="23"/>
  <c r="AZ186" i="23"/>
  <c r="AZ187" i="23"/>
  <c r="AZ189" i="23"/>
  <c r="AZ184" i="23"/>
  <c r="AZ183" i="23"/>
  <c r="AZ182" i="23"/>
  <c r="BK182" i="23" s="1"/>
  <c r="BM60" i="23" s="1"/>
  <c r="AZ190" i="23"/>
  <c r="AZ188" i="23"/>
  <c r="AZ185" i="23"/>
  <c r="BB34" i="25" l="1"/>
  <c r="BB18" i="25"/>
  <c r="BB5" i="23" s="1"/>
  <c r="BB20" i="25"/>
  <c r="BB7" i="23" s="1"/>
  <c r="BB19" i="25"/>
  <c r="BB6" i="23" s="1"/>
  <c r="BA125" i="23"/>
  <c r="BA128" i="23"/>
  <c r="BA129" i="23"/>
  <c r="BA127" i="23"/>
  <c r="BA4" i="23"/>
  <c r="BA124" i="23"/>
  <c r="BA122" i="23"/>
  <c r="BK122" i="23" s="1"/>
  <c r="BL61" i="23" s="1"/>
  <c r="BA126" i="23"/>
  <c r="BA123" i="23"/>
  <c r="BA185" i="23"/>
  <c r="BA184" i="23"/>
  <c r="BA187" i="23"/>
  <c r="BA186" i="23"/>
  <c r="BA188" i="23"/>
  <c r="BA189" i="23"/>
  <c r="BA183" i="23"/>
  <c r="BK183" i="23" s="1"/>
  <c r="BM61" i="23" s="1"/>
  <c r="BA190" i="23"/>
  <c r="BN60" i="23"/>
  <c r="BA64" i="23"/>
  <c r="BA68" i="23"/>
  <c r="BA67" i="23"/>
  <c r="BA65" i="23"/>
  <c r="BA62" i="23"/>
  <c r="BA66" i="23"/>
  <c r="BA61" i="23"/>
  <c r="BK61" i="23" s="1"/>
  <c r="BA63" i="23"/>
  <c r="BC18" i="25" l="1"/>
  <c r="BC5" i="23" s="1"/>
  <c r="BC34" i="25"/>
  <c r="BC20" i="25"/>
  <c r="BC7" i="23" s="1"/>
  <c r="BC19" i="25"/>
  <c r="BC6" i="23" s="1"/>
  <c r="BB62" i="23"/>
  <c r="BK62" i="23" s="1"/>
  <c r="BB67" i="23"/>
  <c r="BB68" i="23"/>
  <c r="BB65" i="23"/>
  <c r="BB64" i="23"/>
  <c r="BB63" i="23"/>
  <c r="BB66" i="23"/>
  <c r="BB187" i="23"/>
  <c r="BB190" i="23"/>
  <c r="BB186" i="23"/>
  <c r="BB185" i="23"/>
  <c r="BB189" i="23"/>
  <c r="BB184" i="23"/>
  <c r="BK184" i="23" s="1"/>
  <c r="BM62" i="23" s="1"/>
  <c r="BB188" i="23"/>
  <c r="BB128" i="23"/>
  <c r="BB129" i="23"/>
  <c r="BB126" i="23"/>
  <c r="BB124" i="23"/>
  <c r="BB127" i="23"/>
  <c r="BB123" i="23"/>
  <c r="BK123" i="23" s="1"/>
  <c r="BL62" i="23" s="1"/>
  <c r="BB125" i="23"/>
  <c r="BB4" i="23"/>
  <c r="BN61" i="23"/>
  <c r="BC65" i="23" l="1"/>
  <c r="BC67" i="23"/>
  <c r="BC64" i="23"/>
  <c r="BC68" i="23"/>
  <c r="BC66" i="23"/>
  <c r="BC63" i="23"/>
  <c r="BK63" i="23" s="1"/>
  <c r="BC190" i="23"/>
  <c r="BC188" i="23"/>
  <c r="BC186" i="23"/>
  <c r="BC189" i="23"/>
  <c r="BC187" i="23"/>
  <c r="BC185" i="23"/>
  <c r="BK185" i="23" s="1"/>
  <c r="BM63" i="23" s="1"/>
  <c r="BC125" i="23"/>
  <c r="BC126" i="23"/>
  <c r="BC127" i="23"/>
  <c r="BC4" i="23"/>
  <c r="BC129" i="23"/>
  <c r="BC128" i="23"/>
  <c r="BC124" i="23"/>
  <c r="BK124" i="23" s="1"/>
  <c r="BL63" i="23" s="1"/>
  <c r="BN62" i="23"/>
  <c r="BD20" i="25"/>
  <c r="BD7" i="23" s="1"/>
  <c r="BD19" i="25"/>
  <c r="BD6" i="23" s="1"/>
  <c r="BD18" i="25"/>
  <c r="BD5" i="23" s="1"/>
  <c r="BD34" i="25"/>
  <c r="BN63" i="23" l="1"/>
  <c r="BD126" i="23"/>
  <c r="BD128" i="23"/>
  <c r="BD4" i="23"/>
  <c r="BD127" i="23"/>
  <c r="BD125" i="23"/>
  <c r="BK125" i="23" s="1"/>
  <c r="BL64" i="23" s="1"/>
  <c r="BD129" i="23"/>
  <c r="BE20" i="25"/>
  <c r="BE7" i="23" s="1"/>
  <c r="BE18" i="25"/>
  <c r="BE5" i="23" s="1"/>
  <c r="BE19" i="25"/>
  <c r="BE6" i="23" s="1"/>
  <c r="BE34" i="25"/>
  <c r="BD64" i="23"/>
  <c r="BK64" i="23" s="1"/>
  <c r="BD65" i="23"/>
  <c r="BD66" i="23"/>
  <c r="BD67" i="23"/>
  <c r="BD68" i="23"/>
  <c r="BD189" i="23"/>
  <c r="BD187" i="23"/>
  <c r="BD186" i="23"/>
  <c r="BK186" i="23" s="1"/>
  <c r="BM64" i="23" s="1"/>
  <c r="BD188" i="23"/>
  <c r="BD190" i="23"/>
  <c r="BN64" i="23" l="1"/>
  <c r="BE66" i="23"/>
  <c r="BE67" i="23"/>
  <c r="BE68" i="23"/>
  <c r="BE65" i="23"/>
  <c r="BK65" i="23" s="1"/>
  <c r="BF18" i="25"/>
  <c r="BF5" i="23" s="1"/>
  <c r="BF19" i="25"/>
  <c r="BF6" i="23" s="1"/>
  <c r="BF34" i="25"/>
  <c r="BF20" i="25"/>
  <c r="BF7" i="23" s="1"/>
  <c r="BE189" i="23"/>
  <c r="BE187" i="23"/>
  <c r="BK187" i="23" s="1"/>
  <c r="BM65" i="23" s="1"/>
  <c r="BE188" i="23"/>
  <c r="BE190" i="23"/>
  <c r="BE127" i="23"/>
  <c r="BE128" i="23"/>
  <c r="BE129" i="23"/>
  <c r="BE126" i="23"/>
  <c r="BK126" i="23" s="1"/>
  <c r="BL65" i="23" s="1"/>
  <c r="BE4" i="23"/>
  <c r="BF190" i="23" l="1"/>
  <c r="BF189" i="23"/>
  <c r="BF188" i="23"/>
  <c r="BK188" i="23" s="1"/>
  <c r="BM66" i="23" s="1"/>
  <c r="BF66" i="23"/>
  <c r="BK66" i="23" s="1"/>
  <c r="BF67" i="23"/>
  <c r="BF68" i="23"/>
  <c r="BF128" i="23"/>
  <c r="BF4" i="23"/>
  <c r="BF129" i="23"/>
  <c r="BF127" i="23"/>
  <c r="BK127" i="23" s="1"/>
  <c r="BL66" i="23" s="1"/>
  <c r="BG34" i="25"/>
  <c r="BG20" i="25"/>
  <c r="BG7" i="23" s="1"/>
  <c r="BG18" i="25"/>
  <c r="BG5" i="23" s="1"/>
  <c r="BG19" i="25"/>
  <c r="BG6" i="23" s="1"/>
  <c r="BN65" i="23"/>
  <c r="BG190" i="23" l="1"/>
  <c r="BG189" i="23"/>
  <c r="BK189" i="23" s="1"/>
  <c r="BM67" i="23" s="1"/>
  <c r="BN66" i="23"/>
  <c r="BG128" i="23"/>
  <c r="BK128" i="23" s="1"/>
  <c r="BL67" i="23" s="1"/>
  <c r="BG129" i="23"/>
  <c r="BG4" i="23"/>
  <c r="BH20" i="25"/>
  <c r="BH7" i="23" s="1"/>
  <c r="BH190" i="23" s="1"/>
  <c r="BH18" i="25"/>
  <c r="BH5" i="23" s="1"/>
  <c r="BH34" i="25"/>
  <c r="BH19" i="25"/>
  <c r="BH6" i="23" s="1"/>
  <c r="BH68" i="23" s="1"/>
  <c r="BG67" i="23"/>
  <c r="BK67" i="23" s="1"/>
  <c r="BG68" i="23"/>
  <c r="BK190" i="23" l="1"/>
  <c r="BM68" i="23" s="1"/>
  <c r="BH129" i="23"/>
  <c r="BK129" i="23" s="1"/>
  <c r="BL68" i="23" s="1"/>
  <c r="BH4" i="23"/>
  <c r="BN67" i="23"/>
  <c r="BK68" i="23"/>
  <c r="BN68" i="23" l="1"/>
  <c r="Z40" i="11" l="1"/>
  <c r="Z42" i="11" l="1"/>
  <c r="Z41" i="11"/>
  <c r="AF6" i="11" l="1"/>
  <c r="AT6" i="11"/>
  <c r="AX6" i="11" l="1"/>
  <c r="BF6" i="11" s="1"/>
  <c r="BM6" i="11"/>
  <c r="BF5" i="11" l="1"/>
  <c r="BF4" i="11" s="1"/>
  <c r="BG6" i="11"/>
  <c r="BK6" i="11"/>
  <c r="P6" i="32"/>
  <c r="BF3" i="11" l="1"/>
  <c r="AO7" i="11"/>
  <c r="AF7" i="11" s="1"/>
  <c r="AY6" i="11"/>
  <c r="AZ6" i="11" s="1"/>
  <c r="P5" i="32"/>
  <c r="BK5" i="11"/>
  <c r="AT7" i="11" l="1"/>
  <c r="M6" i="32"/>
  <c r="AD6" i="32" s="1"/>
  <c r="AY5" i="11"/>
  <c r="AZ5" i="11" s="1"/>
  <c r="BK4" i="11"/>
  <c r="BM7" i="11" l="1"/>
  <c r="AX7" i="11"/>
  <c r="AY4" i="11"/>
  <c r="AZ4" i="11" s="1"/>
  <c r="BB4" i="11" s="1"/>
  <c r="BK3" i="11"/>
  <c r="M5" i="32"/>
  <c r="BB5" i="11"/>
  <c r="AY7" i="11" l="1"/>
  <c r="AZ7" i="11" s="1"/>
  <c r="O5" i="32"/>
  <c r="W5" i="32" s="1"/>
  <c r="AD5" i="32"/>
  <c r="BC4" i="11"/>
  <c r="BD4" i="11"/>
  <c r="BE4" i="11" s="1"/>
  <c r="BD5" i="11"/>
  <c r="BE5" i="11" s="1"/>
  <c r="BC5" i="11"/>
  <c r="Y5" i="11"/>
  <c r="Z5" i="11" s="1"/>
  <c r="M7" i="32" l="1"/>
  <c r="BK7" i="11"/>
  <c r="P7" i="32"/>
  <c r="AO8" i="11"/>
  <c r="AJ5" i="32"/>
  <c r="AT8" i="11" l="1"/>
  <c r="AF8" i="11"/>
  <c r="BA7" i="11"/>
  <c r="AD7" i="32"/>
  <c r="BG8" i="11" l="1"/>
  <c r="AW17" i="11"/>
  <c r="N7" i="32"/>
  <c r="BB7" i="11"/>
  <c r="AX8" i="11"/>
  <c r="BM8" i="11"/>
  <c r="AF17" i="32" l="1"/>
  <c r="BL44" i="32" s="1"/>
  <c r="AL17" i="11"/>
  <c r="AC17" i="32" s="1"/>
  <c r="BI44" i="32" s="1"/>
  <c r="Y7" i="11"/>
  <c r="BD7" i="11"/>
  <c r="BE7" i="11" s="1"/>
  <c r="AE7" i="32"/>
  <c r="O7" i="32"/>
  <c r="W7" i="32" s="1"/>
  <c r="BF8" i="11"/>
  <c r="AY8" i="11"/>
  <c r="AZ8" i="11" s="1"/>
  <c r="BA8" i="11"/>
  <c r="AW18" i="11" s="1"/>
  <c r="AF18" i="32" l="1"/>
  <c r="BL45" i="32" s="1"/>
  <c r="AL18" i="11"/>
  <c r="AC18" i="32" s="1"/>
  <c r="BI45" i="32" s="1"/>
  <c r="N8" i="32"/>
  <c r="AE8" i="32" s="1"/>
  <c r="M8" i="32"/>
  <c r="BB8" i="11"/>
  <c r="BK8" i="11"/>
  <c r="P8" i="32"/>
  <c r="AO9" i="11"/>
  <c r="AF9" i="11" l="1"/>
  <c r="AT9" i="11"/>
  <c r="Y8" i="11"/>
  <c r="BD8" i="11"/>
  <c r="BE8" i="11" s="1"/>
  <c r="O8" i="32"/>
  <c r="W8" i="32" s="1"/>
  <c r="AD8" i="32"/>
  <c r="AX9" i="11" l="1"/>
  <c r="BF9" i="11" s="1"/>
  <c r="BM9" i="11"/>
  <c r="AY9" i="11" l="1"/>
  <c r="AZ9" i="11" s="1"/>
  <c r="BA9" i="11" l="1"/>
  <c r="AW19" i="11" s="1"/>
  <c r="M9" i="32"/>
  <c r="AO10" i="11"/>
  <c r="BK9" i="11"/>
  <c r="P9" i="32"/>
  <c r="AF19" i="32" l="1"/>
  <c r="AL19" i="11"/>
  <c r="AC19" i="32" s="1"/>
  <c r="N9" i="32"/>
  <c r="AE9" i="32" s="1"/>
  <c r="BK36" i="32" s="1"/>
  <c r="BB9" i="11"/>
  <c r="Y9" i="11" s="1"/>
  <c r="AF10" i="11"/>
  <c r="AT10" i="11"/>
  <c r="AD9" i="32"/>
  <c r="BJ36" i="32" s="1"/>
  <c r="O9" i="32" l="1"/>
  <c r="W9" i="32" s="1"/>
  <c r="BD9" i="11"/>
  <c r="BE9" i="11" s="1"/>
  <c r="AX10" i="11"/>
  <c r="BM10" i="11"/>
  <c r="AY10" i="11" l="1"/>
  <c r="AZ10" i="11" s="1"/>
  <c r="BF10" i="11"/>
  <c r="AO11" i="11" l="1"/>
  <c r="P10" i="32"/>
  <c r="BK10" i="11"/>
  <c r="M10" i="32"/>
  <c r="AD10" i="32" l="1"/>
  <c r="BJ37" i="32" s="1"/>
  <c r="AT11" i="11"/>
  <c r="AF11" i="11"/>
  <c r="AX11" i="11" l="1"/>
  <c r="BM11" i="11"/>
  <c r="AY11" i="11" l="1"/>
  <c r="AZ11" i="11" s="1"/>
  <c r="BF11" i="11"/>
  <c r="AO12" i="11" l="1"/>
  <c r="BK11" i="11"/>
  <c r="P11" i="32"/>
  <c r="M11" i="32"/>
  <c r="AD11" i="32" l="1"/>
  <c r="BJ38" i="32" s="1"/>
  <c r="AT12" i="11"/>
  <c r="AF12" i="11"/>
  <c r="AX12" i="11" l="1"/>
  <c r="BM12" i="11"/>
  <c r="BF12" i="11" l="1"/>
  <c r="AY12" i="11"/>
  <c r="AZ12" i="11" s="1"/>
  <c r="M12" i="32" l="1"/>
  <c r="AO13" i="11"/>
  <c r="BK12" i="11"/>
  <c r="P12" i="32"/>
  <c r="AF13" i="11" l="1"/>
  <c r="AT13" i="11"/>
  <c r="AD12" i="32"/>
  <c r="BJ39" i="32" s="1"/>
  <c r="AX13" i="11" l="1"/>
  <c r="BM13" i="11"/>
  <c r="AY13" i="11" l="1"/>
  <c r="AZ13" i="11" s="1"/>
  <c r="BF13" i="11"/>
  <c r="AO14" i="11" l="1"/>
  <c r="P13" i="32"/>
  <c r="BK13" i="11"/>
  <c r="M13" i="32"/>
  <c r="AD13" i="32" l="1"/>
  <c r="BJ40" i="32" s="1"/>
  <c r="AT14" i="11"/>
  <c r="AF14" i="11"/>
  <c r="AX14" i="11" l="1"/>
  <c r="BM14" i="11"/>
  <c r="AY14" i="11" l="1"/>
  <c r="AZ14" i="11" s="1"/>
  <c r="BF14" i="11"/>
  <c r="AO15" i="11" l="1"/>
  <c r="P14" i="32"/>
  <c r="BK14" i="11"/>
  <c r="M14" i="32"/>
  <c r="AD14" i="32" l="1"/>
  <c r="BJ41" i="32" s="1"/>
  <c r="AF15" i="11"/>
  <c r="AT15" i="11"/>
  <c r="AX15" i="11" l="1"/>
  <c r="BM15" i="11"/>
  <c r="AY15" i="11" l="1"/>
  <c r="AZ15" i="11" s="1"/>
  <c r="BF15" i="11"/>
  <c r="P15" i="32" l="1"/>
  <c r="BK15" i="11"/>
  <c r="AO16" i="11"/>
  <c r="M15" i="32"/>
  <c r="AD15" i="32" l="1"/>
  <c r="BJ42" i="32" s="1"/>
  <c r="AF16" i="11"/>
  <c r="AT16" i="11"/>
  <c r="BM16" i="11" l="1"/>
  <c r="BA6" i="11" l="1"/>
  <c r="AW16" i="11" s="1"/>
  <c r="AF16" i="32" l="1"/>
  <c r="BL43" i="32" s="1"/>
  <c r="AL16" i="11"/>
  <c r="AC16" i="32" s="1"/>
  <c r="BI43" i="32" s="1"/>
  <c r="AX16" i="11"/>
  <c r="N6" i="32"/>
  <c r="BB6" i="11"/>
  <c r="AY16" i="11" l="1"/>
  <c r="AZ16" i="11" s="1"/>
  <c r="M16" i="32" s="1"/>
  <c r="AD16" i="32" s="1"/>
  <c r="BJ43" i="32" s="1"/>
  <c r="BF16" i="11"/>
  <c r="O6" i="32"/>
  <c r="W6" i="32" s="1"/>
  <c r="AE6" i="32"/>
  <c r="Y6" i="11"/>
  <c r="BC6" i="11"/>
  <c r="BD6" i="11"/>
  <c r="BE6" i="11" s="1"/>
  <c r="AO17" i="11" l="1"/>
  <c r="BK16" i="11"/>
  <c r="P16" i="32"/>
  <c r="BC7" i="11"/>
  <c r="BC8" i="11" s="1"/>
  <c r="BC9" i="11" s="1"/>
  <c r="AF17" i="11" l="1"/>
  <c r="AT17" i="11"/>
  <c r="AX17" i="11" l="1"/>
  <c r="BM17" i="11"/>
  <c r="AY17" i="11" l="1"/>
  <c r="AZ17" i="11" s="1"/>
  <c r="M17" i="32" s="1"/>
  <c r="AD17" i="32" s="1"/>
  <c r="BJ44" i="32" s="1"/>
  <c r="BF17" i="11"/>
  <c r="P17" i="32" l="1"/>
  <c r="BK17" i="11"/>
  <c r="AO18" i="11"/>
  <c r="AT18" i="11" l="1"/>
  <c r="AF18" i="11"/>
  <c r="BM18" i="11" l="1"/>
  <c r="AX18" i="11"/>
  <c r="AY18" i="11" l="1"/>
  <c r="AZ18" i="11" s="1"/>
  <c r="M18" i="32" s="1"/>
  <c r="AD18" i="32" s="1"/>
  <c r="BJ45" i="32" s="1"/>
  <c r="BF18" i="11"/>
  <c r="BK18" i="11" l="1"/>
  <c r="P18" i="32"/>
  <c r="AO19" i="11"/>
  <c r="AT19" i="11" l="1"/>
  <c r="AF19" i="11"/>
  <c r="AX19" i="11" l="1"/>
  <c r="BM19" i="11"/>
  <c r="AY19" i="11" l="1"/>
  <c r="AZ19" i="11" s="1"/>
  <c r="M19" i="32" s="1"/>
  <c r="AD19" i="32" s="1"/>
  <c r="BF19" i="11"/>
  <c r="BH7" i="11"/>
  <c r="BN7" i="11" s="1"/>
  <c r="BL7" i="11"/>
  <c r="Q7" i="32"/>
  <c r="BP7" i="11"/>
  <c r="AO20" i="11" l="1"/>
  <c r="BK19" i="11"/>
  <c r="P19" i="32"/>
  <c r="Q6" i="32"/>
  <c r="AG44" i="41"/>
  <c r="BL6" i="11"/>
  <c r="BP6" i="11"/>
  <c r="BG5" i="11"/>
  <c r="AF20" i="11" l="1"/>
  <c r="AT20" i="11"/>
  <c r="BP8" i="11"/>
  <c r="BH8" i="11"/>
  <c r="Q8" i="32"/>
  <c r="BL8" i="11"/>
  <c r="BG9" i="11"/>
  <c r="BP9" i="11" s="1"/>
  <c r="AG43" i="41"/>
  <c r="BN6" i="11"/>
  <c r="BG4" i="11"/>
  <c r="BP4" i="11" s="1"/>
  <c r="BH5" i="11"/>
  <c r="BL5" i="11"/>
  <c r="Q5" i="32"/>
  <c r="BP5" i="11"/>
  <c r="BM20" i="11" l="1"/>
  <c r="BG3" i="11"/>
  <c r="BH3" i="11" s="1"/>
  <c r="BN3" i="11" s="1"/>
  <c r="BN8" i="11"/>
  <c r="AG45" i="41"/>
  <c r="BH9" i="11"/>
  <c r="BL9" i="11"/>
  <c r="Q9" i="32"/>
  <c r="BA10" i="11"/>
  <c r="AW20" i="11" s="1"/>
  <c r="BL4" i="11"/>
  <c r="BH4" i="11"/>
  <c r="BN5" i="11"/>
  <c r="AG42" i="41"/>
  <c r="AF20" i="32" l="1"/>
  <c r="AL20" i="11"/>
  <c r="AC20" i="32" s="1"/>
  <c r="AX20" i="11"/>
  <c r="BN4" i="11"/>
  <c r="BB10" i="11"/>
  <c r="N10" i="32"/>
  <c r="AG46" i="41"/>
  <c r="BN9" i="11"/>
  <c r="BG10" i="11"/>
  <c r="AG41" i="41"/>
  <c r="BL3" i="11"/>
  <c r="AY20" i="11" l="1"/>
  <c r="AZ20" i="11" s="1"/>
  <c r="M20" i="32" s="1"/>
  <c r="AD20" i="32" s="1"/>
  <c r="BF20" i="11"/>
  <c r="Q10" i="32"/>
  <c r="BL10" i="11"/>
  <c r="BP10" i="11"/>
  <c r="BH10" i="11"/>
  <c r="BA11" i="11"/>
  <c r="AE10" i="32"/>
  <c r="BK37" i="32" s="1"/>
  <c r="O10" i="32"/>
  <c r="W10" i="32" s="1"/>
  <c r="Y10" i="11"/>
  <c r="BD10" i="11"/>
  <c r="BE10" i="11" s="1"/>
  <c r="BC10" i="11"/>
  <c r="P20" i="32" l="1"/>
  <c r="BK20" i="11"/>
  <c r="AO21" i="11"/>
  <c r="BG11" i="11"/>
  <c r="BP11" i="11" s="1"/>
  <c r="AW21" i="11"/>
  <c r="BN10" i="11"/>
  <c r="AG47" i="41"/>
  <c r="BB11" i="11"/>
  <c r="N11" i="32"/>
  <c r="BA12" i="11" l="1"/>
  <c r="BG12" i="11" s="1"/>
  <c r="BL11" i="11"/>
  <c r="Q11" i="32"/>
  <c r="BH11" i="11"/>
  <c r="BN11" i="11" s="1"/>
  <c r="AW22" i="11"/>
  <c r="AF21" i="32"/>
  <c r="AL21" i="11"/>
  <c r="AC21" i="32" s="1"/>
  <c r="AF21" i="11"/>
  <c r="AT21" i="11"/>
  <c r="AE11" i="32"/>
  <c r="BK38" i="32" s="1"/>
  <c r="O11" i="32"/>
  <c r="W11" i="32" s="1"/>
  <c r="Y11" i="11"/>
  <c r="BD11" i="11"/>
  <c r="BE11" i="11" s="1"/>
  <c r="BC11" i="11"/>
  <c r="BA13" i="11" l="1"/>
  <c r="AW23" i="11" s="1"/>
  <c r="AF23" i="32" s="1"/>
  <c r="BP12" i="11"/>
  <c r="BB12" i="11"/>
  <c r="BD12" i="11" s="1"/>
  <c r="BE12" i="11" s="1"/>
  <c r="N12" i="32"/>
  <c r="AE12" i="32" s="1"/>
  <c r="BK39" i="32" s="1"/>
  <c r="BL12" i="11"/>
  <c r="AG48" i="41"/>
  <c r="Q12" i="32"/>
  <c r="BH12" i="11"/>
  <c r="AG49" i="41" s="1"/>
  <c r="AX21" i="11"/>
  <c r="BM21" i="11"/>
  <c r="AF22" i="32"/>
  <c r="AL22" i="11"/>
  <c r="AC22" i="32" s="1"/>
  <c r="BB13" i="11" l="1"/>
  <c r="Y13" i="11" s="1"/>
  <c r="N13" i="32"/>
  <c r="O13" i="32" s="1"/>
  <c r="W13" i="32" s="1"/>
  <c r="O12" i="32"/>
  <c r="W12" i="32" s="1"/>
  <c r="AL23" i="11"/>
  <c r="AC23" i="32" s="1"/>
  <c r="BG13" i="11"/>
  <c r="BL13" i="11" s="1"/>
  <c r="BC12" i="11"/>
  <c r="Y12" i="11"/>
  <c r="BN12" i="11"/>
  <c r="AW24" i="11"/>
  <c r="AY21" i="11"/>
  <c r="AZ21" i="11" s="1"/>
  <c r="M21" i="32" s="1"/>
  <c r="AD21" i="32" s="1"/>
  <c r="BF21" i="11"/>
  <c r="BD13" i="11" l="1"/>
  <c r="BE13" i="11" s="1"/>
  <c r="BC13" i="11"/>
  <c r="AE13" i="32"/>
  <c r="BK40" i="32" s="1"/>
  <c r="BP13" i="11"/>
  <c r="BA14" i="11"/>
  <c r="BG14" i="11" s="1"/>
  <c r="BP14" i="11" s="1"/>
  <c r="BH13" i="11"/>
  <c r="AG50" i="41" s="1"/>
  <c r="Q13" i="32"/>
  <c r="P21" i="32"/>
  <c r="AO22" i="11"/>
  <c r="BK21" i="11"/>
  <c r="AF24" i="32"/>
  <c r="AL24" i="11"/>
  <c r="AC24" i="32" s="1"/>
  <c r="AW25" i="11"/>
  <c r="BL14" i="11" l="1"/>
  <c r="Q14" i="32"/>
  <c r="BH14" i="11"/>
  <c r="AG51" i="41" s="1"/>
  <c r="BN13" i="11"/>
  <c r="BA15" i="11"/>
  <c r="N15" i="32" s="1"/>
  <c r="BB14" i="11"/>
  <c r="Y14" i="11" s="1"/>
  <c r="N14" i="32"/>
  <c r="AW26" i="11"/>
  <c r="AF25" i="32"/>
  <c r="AL25" i="11"/>
  <c r="AC25" i="32" s="1"/>
  <c r="AF22" i="11"/>
  <c r="AT22" i="11"/>
  <c r="BN14" i="11" l="1"/>
  <c r="O15" i="32"/>
  <c r="W15" i="32" s="1"/>
  <c r="AE15" i="32"/>
  <c r="BK42" i="32" s="1"/>
  <c r="BD14" i="11"/>
  <c r="BE14" i="11" s="1"/>
  <c r="BC14" i="11"/>
  <c r="BB15" i="11"/>
  <c r="BG15" i="11"/>
  <c r="BP15" i="11" s="1"/>
  <c r="O14" i="32"/>
  <c r="W14" i="32" s="1"/>
  <c r="AE14" i="32"/>
  <c r="BK41" i="32" s="1"/>
  <c r="AF26" i="32"/>
  <c r="AL26" i="11"/>
  <c r="AC26" i="32" s="1"/>
  <c r="AW27" i="11"/>
  <c r="AX22" i="11"/>
  <c r="BM22" i="11"/>
  <c r="BH15" i="11" l="1"/>
  <c r="BA16" i="11"/>
  <c r="Q15" i="32"/>
  <c r="BL15" i="11"/>
  <c r="Y15" i="11"/>
  <c r="BD15" i="11"/>
  <c r="BE15" i="11" s="1"/>
  <c r="BC15" i="11"/>
  <c r="AF27" i="32"/>
  <c r="AL27" i="11"/>
  <c r="AC27" i="32" s="1"/>
  <c r="AW28" i="11"/>
  <c r="AY22" i="11"/>
  <c r="AZ22" i="11" s="1"/>
  <c r="M22" i="32" s="1"/>
  <c r="AD22" i="32" s="1"/>
  <c r="BF22" i="11"/>
  <c r="BG16" i="11" l="1"/>
  <c r="BP16" i="11" s="1"/>
  <c r="N16" i="32"/>
  <c r="BB16" i="11"/>
  <c r="AG52" i="41"/>
  <c r="BN15" i="11"/>
  <c r="P22" i="32"/>
  <c r="BK22" i="11"/>
  <c r="AO23" i="11"/>
  <c r="AW29" i="11"/>
  <c r="AF28" i="32"/>
  <c r="AL28" i="11"/>
  <c r="AC28" i="32" s="1"/>
  <c r="Y16" i="11" l="1"/>
  <c r="BC16" i="11"/>
  <c r="BD16" i="11"/>
  <c r="BE16" i="11" s="1"/>
  <c r="AE16" i="32"/>
  <c r="BK43" i="32" s="1"/>
  <c r="O16" i="32"/>
  <c r="W16" i="32" s="1"/>
  <c r="BL16" i="11"/>
  <c r="BA17" i="11"/>
  <c r="Q16" i="32"/>
  <c r="BH16" i="11"/>
  <c r="AW30" i="11"/>
  <c r="AF29" i="32"/>
  <c r="AL29" i="11"/>
  <c r="AC29" i="32" s="1"/>
  <c r="AT23" i="11"/>
  <c r="AF23" i="11"/>
  <c r="AG53" i="41" l="1"/>
  <c r="BN16" i="11"/>
  <c r="BG17" i="11"/>
  <c r="BP17" i="11" s="1"/>
  <c r="BB17" i="11"/>
  <c r="N17" i="32"/>
  <c r="AX23" i="11"/>
  <c r="BM23" i="11"/>
  <c r="AF30" i="32"/>
  <c r="AL30" i="11"/>
  <c r="AC30" i="32" s="1"/>
  <c r="Q17" i="32" l="1"/>
  <c r="BA18" i="11"/>
  <c r="BH17" i="11"/>
  <c r="BL17" i="11"/>
  <c r="O17" i="32"/>
  <c r="W17" i="32" s="1"/>
  <c r="AE17" i="32"/>
  <c r="BK44" i="32" s="1"/>
  <c r="Y17" i="11"/>
  <c r="BD17" i="11"/>
  <c r="BE17" i="11" s="1"/>
  <c r="BC17" i="11"/>
  <c r="AY23" i="11"/>
  <c r="AZ23" i="11" s="1"/>
  <c r="M23" i="32" s="1"/>
  <c r="AD23" i="32" s="1"/>
  <c r="BF23" i="11"/>
  <c r="N18" i="32" l="1"/>
  <c r="BB18" i="11"/>
  <c r="BG18" i="11"/>
  <c r="BP18" i="11" s="1"/>
  <c r="AG54" i="41"/>
  <c r="BN17" i="11"/>
  <c r="AW32" i="11"/>
  <c r="P23" i="32"/>
  <c r="AO24" i="11"/>
  <c r="BK23" i="11"/>
  <c r="BH18" i="11" l="1"/>
  <c r="BA19" i="11"/>
  <c r="BG19" i="11" s="1"/>
  <c r="BP19" i="11" s="1"/>
  <c r="Q18" i="32"/>
  <c r="BL18" i="11"/>
  <c r="BD18" i="11"/>
  <c r="BE18" i="11" s="1"/>
  <c r="BC18" i="11"/>
  <c r="Y18" i="11"/>
  <c r="AE18" i="32"/>
  <c r="BK45" i="32" s="1"/>
  <c r="O18" i="32"/>
  <c r="W18" i="32" s="1"/>
  <c r="AT24" i="11"/>
  <c r="AF24" i="11"/>
  <c r="AF32" i="32"/>
  <c r="AL32" i="11"/>
  <c r="AC32" i="32" s="1"/>
  <c r="AW33" i="11"/>
  <c r="BB19" i="11" l="1"/>
  <c r="N19" i="32"/>
  <c r="BA20" i="11"/>
  <c r="BG20" i="11" s="1"/>
  <c r="BP20" i="11" s="1"/>
  <c r="BL19" i="11"/>
  <c r="BH19" i="11"/>
  <c r="Q19" i="32"/>
  <c r="BN18" i="11"/>
  <c r="AG55" i="41"/>
  <c r="AF33" i="32"/>
  <c r="AL33" i="11"/>
  <c r="AC33" i="32" s="1"/>
  <c r="BM24" i="11"/>
  <c r="AX24" i="11"/>
  <c r="O19" i="32" l="1"/>
  <c r="W19" i="32" s="1"/>
  <c r="AE19" i="32"/>
  <c r="BH20" i="11"/>
  <c r="BL20" i="11"/>
  <c r="Q20" i="32"/>
  <c r="BA21" i="11"/>
  <c r="BG21" i="11" s="1"/>
  <c r="BP21" i="11" s="1"/>
  <c r="BN19" i="11"/>
  <c r="AG56" i="41"/>
  <c r="BB20" i="11"/>
  <c r="N20" i="32"/>
  <c r="BD19" i="11"/>
  <c r="BE19" i="11" s="1"/>
  <c r="Y19" i="11"/>
  <c r="BC19" i="11"/>
  <c r="AY24" i="11"/>
  <c r="AZ24" i="11" s="1"/>
  <c r="BF24" i="11"/>
  <c r="Y20" i="11" l="1"/>
  <c r="BD20" i="11"/>
  <c r="BE20" i="11" s="1"/>
  <c r="BC20" i="11"/>
  <c r="AW31" i="11"/>
  <c r="BB21" i="11"/>
  <c r="N21" i="32"/>
  <c r="BL21" i="11"/>
  <c r="Q21" i="32"/>
  <c r="BH21" i="11"/>
  <c r="BA22" i="11"/>
  <c r="BG22" i="11" s="1"/>
  <c r="BP22" i="11" s="1"/>
  <c r="O20" i="32"/>
  <c r="W20" i="32" s="1"/>
  <c r="AE20" i="32"/>
  <c r="AG57" i="41"/>
  <c r="BN20" i="11"/>
  <c r="BK24" i="11"/>
  <c r="P24" i="32"/>
  <c r="AO25" i="11"/>
  <c r="M24" i="32"/>
  <c r="AE21" i="32" l="1"/>
  <c r="O21" i="32"/>
  <c r="W21" i="32" s="1"/>
  <c r="Y21" i="11"/>
  <c r="BD21" i="11"/>
  <c r="BE21" i="11" s="1"/>
  <c r="BC21" i="11"/>
  <c r="BN21" i="11"/>
  <c r="AG58" i="41"/>
  <c r="BL22" i="11"/>
  <c r="BH22" i="11"/>
  <c r="Q22" i="32"/>
  <c r="BA23" i="11"/>
  <c r="BG23" i="11" s="1"/>
  <c r="BP23" i="11" s="1"/>
  <c r="BB22" i="11"/>
  <c r="N22" i="32"/>
  <c r="AL31" i="11"/>
  <c r="AC31" i="32" s="1"/>
  <c r="AF31" i="32"/>
  <c r="AD24" i="32"/>
  <c r="AF25" i="11"/>
  <c r="AT25" i="11"/>
  <c r="Q23" i="32" l="1"/>
  <c r="BL23" i="11"/>
  <c r="BH23" i="11"/>
  <c r="BA24" i="11"/>
  <c r="AE22" i="32"/>
  <c r="O22" i="32"/>
  <c r="W22" i="32" s="1"/>
  <c r="BD22" i="11"/>
  <c r="BE22" i="11" s="1"/>
  <c r="Y22" i="11"/>
  <c r="BC22" i="11"/>
  <c r="N23" i="32"/>
  <c r="BB23" i="11"/>
  <c r="AG59" i="41"/>
  <c r="BN22" i="11"/>
  <c r="AX25" i="11"/>
  <c r="BM25" i="11"/>
  <c r="AE23" i="32" l="1"/>
  <c r="O23" i="32"/>
  <c r="W23" i="32" s="1"/>
  <c r="BD23" i="11"/>
  <c r="BE23" i="11" s="1"/>
  <c r="BC23" i="11"/>
  <c r="Y23" i="11"/>
  <c r="BG24" i="11"/>
  <c r="BP24" i="11" s="1"/>
  <c r="N24" i="32"/>
  <c r="BB24" i="11"/>
  <c r="BN23" i="11"/>
  <c r="AG60" i="41"/>
  <c r="AY25" i="11"/>
  <c r="AZ25" i="11" s="1"/>
  <c r="BF25" i="11"/>
  <c r="BH24" i="11" l="1"/>
  <c r="BL24" i="11"/>
  <c r="Q24" i="32"/>
  <c r="BC24" i="11"/>
  <c r="Y24" i="11"/>
  <c r="BD24" i="11"/>
  <c r="BE24" i="11" s="1"/>
  <c r="AE24" i="32"/>
  <c r="O24" i="32"/>
  <c r="W24" i="32" s="1"/>
  <c r="BA25" i="11"/>
  <c r="BG25" i="11" s="1"/>
  <c r="BP25" i="11" s="1"/>
  <c r="AO26" i="11"/>
  <c r="P25" i="32"/>
  <c r="BK25" i="11"/>
  <c r="M25" i="32"/>
  <c r="BB25" i="11" l="1"/>
  <c r="Y25" i="11" s="1"/>
  <c r="AG61" i="41"/>
  <c r="BN24" i="11"/>
  <c r="N25" i="32"/>
  <c r="AE25" i="32" s="1"/>
  <c r="AD25" i="32"/>
  <c r="Q25" i="32"/>
  <c r="BL25" i="11"/>
  <c r="BH25" i="11"/>
  <c r="AF26" i="11"/>
  <c r="AT26" i="11"/>
  <c r="BD25" i="11" l="1"/>
  <c r="BE25" i="11" s="1"/>
  <c r="BC25" i="11"/>
  <c r="O25" i="32"/>
  <c r="W25" i="32" s="1"/>
  <c r="AX26" i="11"/>
  <c r="BM26" i="11"/>
  <c r="BN25" i="11"/>
  <c r="AG62" i="41"/>
  <c r="AY26" i="11" l="1"/>
  <c r="AZ26" i="11" s="1"/>
  <c r="BF26" i="11"/>
  <c r="BA26" i="11" l="1"/>
  <c r="N26" i="32" s="1"/>
  <c r="AE26" i="32" s="1"/>
  <c r="P26" i="32"/>
  <c r="BK26" i="11"/>
  <c r="AO27" i="11"/>
  <c r="M26" i="32"/>
  <c r="BB26" i="11" l="1"/>
  <c r="Y26" i="11" s="1"/>
  <c r="BG26" i="11"/>
  <c r="BP26" i="11" s="1"/>
  <c r="AD26" i="32"/>
  <c r="O26" i="32"/>
  <c r="W26" i="32" s="1"/>
  <c r="AT27" i="11"/>
  <c r="AF27" i="11"/>
  <c r="BC26" i="11" l="1"/>
  <c r="BD26" i="11"/>
  <c r="BE26" i="11" s="1"/>
  <c r="Q26" i="32"/>
  <c r="BH26" i="11"/>
  <c r="BN26" i="11" s="1"/>
  <c r="BL26" i="11"/>
  <c r="AX27" i="11"/>
  <c r="BM27" i="11"/>
  <c r="AG63" i="41" l="1"/>
  <c r="AY27" i="11"/>
  <c r="AZ27" i="11" s="1"/>
  <c r="BF27" i="11"/>
  <c r="BA27" i="11" l="1"/>
  <c r="BG27" i="11" s="1"/>
  <c r="BP27" i="11" s="1"/>
  <c r="AO28" i="11"/>
  <c r="BK27" i="11"/>
  <c r="P27" i="32"/>
  <c r="M27" i="32"/>
  <c r="BB27" i="11" l="1"/>
  <c r="BC27" i="11" s="1"/>
  <c r="N27" i="32"/>
  <c r="AE27" i="32" s="1"/>
  <c r="BL27" i="11"/>
  <c r="Q27" i="32"/>
  <c r="AD27" i="32"/>
  <c r="BH27" i="11"/>
  <c r="AF28" i="11"/>
  <c r="AT28" i="11"/>
  <c r="BD27" i="11" l="1"/>
  <c r="BE27" i="11" s="1"/>
  <c r="Y27" i="11"/>
  <c r="O27" i="32"/>
  <c r="W27" i="32" s="1"/>
  <c r="AX28" i="11"/>
  <c r="BM28" i="11"/>
  <c r="BN27" i="11"/>
  <c r="AG64" i="41"/>
  <c r="AY28" i="11" l="1"/>
  <c r="AZ28" i="11" s="1"/>
  <c r="BF28" i="11"/>
  <c r="BA28" i="11" l="1"/>
  <c r="BG28" i="11" s="1"/>
  <c r="BP28" i="11" s="1"/>
  <c r="AO29" i="11"/>
  <c r="BK28" i="11"/>
  <c r="P28" i="32"/>
  <c r="M28" i="32"/>
  <c r="BH28" i="11" l="1"/>
  <c r="BN28" i="11" s="1"/>
  <c r="N28" i="32"/>
  <c r="AE28" i="32" s="1"/>
  <c r="BB28" i="11"/>
  <c r="BC28" i="11" s="1"/>
  <c r="AT29" i="11"/>
  <c r="AF29" i="11"/>
  <c r="AD28" i="32"/>
  <c r="BL28" i="11"/>
  <c r="Q28" i="32"/>
  <c r="AG65" i="41" l="1"/>
  <c r="BD28" i="11"/>
  <c r="BE28" i="11" s="1"/>
  <c r="O28" i="32"/>
  <c r="W28" i="32" s="1"/>
  <c r="Y28" i="11"/>
  <c r="AX29" i="11"/>
  <c r="BM29" i="11"/>
  <c r="AY29" i="11" l="1"/>
  <c r="AZ29" i="11" s="1"/>
  <c r="BF29" i="11"/>
  <c r="BA29" i="11" l="1"/>
  <c r="BG29" i="11" s="1"/>
  <c r="BP29" i="11" s="1"/>
  <c r="P29" i="32"/>
  <c r="BK29" i="11"/>
  <c r="AO30" i="11"/>
  <c r="M29" i="32"/>
  <c r="BB29" i="11" l="1"/>
  <c r="Y29" i="11" s="1"/>
  <c r="N29" i="32"/>
  <c r="AE29" i="32" s="1"/>
  <c r="Q29" i="32"/>
  <c r="BL29" i="11"/>
  <c r="BH29" i="11"/>
  <c r="AD29" i="32"/>
  <c r="AT30" i="11"/>
  <c r="AF30" i="11"/>
  <c r="O29" i="32" l="1"/>
  <c r="W29" i="32" s="1"/>
  <c r="BC29" i="11"/>
  <c r="BD29" i="11"/>
  <c r="BE29" i="11" s="1"/>
  <c r="AX30" i="11"/>
  <c r="BM30" i="11"/>
  <c r="BN29" i="11"/>
  <c r="AG66" i="41"/>
  <c r="AY30" i="11" l="1"/>
  <c r="AZ30" i="11" s="1"/>
  <c r="BF30" i="11"/>
  <c r="M30" i="32" l="1"/>
  <c r="AO31" i="11"/>
  <c r="BK30" i="11"/>
  <c r="P30" i="32"/>
  <c r="BA30" i="11"/>
  <c r="BB30" i="11" s="1"/>
  <c r="BC30" i="11" l="1"/>
  <c r="Y30" i="11"/>
  <c r="BD30" i="11"/>
  <c r="BE30" i="11" s="1"/>
  <c r="AF31" i="11"/>
  <c r="AT31" i="11"/>
  <c r="N30" i="32"/>
  <c r="AE30" i="32" s="1"/>
  <c r="BG30" i="11"/>
  <c r="BP30" i="11" s="1"/>
  <c r="AD30" i="32"/>
  <c r="O30" i="32" l="1"/>
  <c r="W30" i="32" s="1"/>
  <c r="BL30" i="11"/>
  <c r="Q30" i="32"/>
  <c r="BH30" i="11"/>
  <c r="BM31" i="11"/>
  <c r="AX31" i="11"/>
  <c r="AG67" i="41" l="1"/>
  <c r="BN30" i="11"/>
  <c r="AY31" i="11"/>
  <c r="AZ31" i="11" s="1"/>
  <c r="BF31" i="11"/>
  <c r="AO32" i="11" l="1"/>
  <c r="P31" i="32"/>
  <c r="BK31" i="11"/>
  <c r="BA31" i="11"/>
  <c r="BB31" i="11" s="1"/>
  <c r="M31" i="32"/>
  <c r="BC31" i="11" l="1"/>
  <c r="Y31" i="11"/>
  <c r="BD31" i="11"/>
  <c r="BE31" i="11" s="1"/>
  <c r="BG31" i="11"/>
  <c r="BP31" i="11" s="1"/>
  <c r="N31" i="32"/>
  <c r="AE31" i="32" s="1"/>
  <c r="AD31" i="32"/>
  <c r="AF32" i="11"/>
  <c r="AT32" i="11"/>
  <c r="O31" i="32" l="1"/>
  <c r="W31" i="32" s="1"/>
  <c r="BM32" i="11"/>
  <c r="AX32" i="11"/>
  <c r="BL31" i="11"/>
  <c r="Q31" i="32"/>
  <c r="BH31" i="11"/>
  <c r="AG68" i="41" l="1"/>
  <c r="BN31" i="11"/>
  <c r="AY32" i="11"/>
  <c r="AZ32" i="11" s="1"/>
  <c r="BF32" i="11"/>
  <c r="BA32" i="11" l="1"/>
  <c r="BB32" i="11" s="1"/>
  <c r="P32" i="32"/>
  <c r="BK32" i="11"/>
  <c r="AO33" i="11"/>
  <c r="M32" i="32"/>
  <c r="AD32" i="32" l="1"/>
  <c r="BC32" i="11"/>
  <c r="Y32" i="11"/>
  <c r="BD32" i="11"/>
  <c r="BE32" i="11" s="1"/>
  <c r="AT33" i="11"/>
  <c r="AF33" i="11"/>
  <c r="N32" i="32"/>
  <c r="AE32" i="32" s="1"/>
  <c r="BG32" i="11"/>
  <c r="BP32" i="11" s="1"/>
  <c r="O32" i="32" l="1"/>
  <c r="W32" i="32" s="1"/>
  <c r="BL32" i="11"/>
  <c r="Q32" i="32"/>
  <c r="BH32" i="11"/>
  <c r="BM33" i="11"/>
  <c r="AX33" i="11"/>
  <c r="BN32" i="11" l="1"/>
  <c r="AG69" i="41"/>
  <c r="AY33" i="11"/>
  <c r="AZ33" i="11" s="1"/>
  <c r="BF33" i="11"/>
  <c r="BA33" i="11" l="1"/>
  <c r="BB33" i="11" s="1"/>
  <c r="BK33" i="11"/>
  <c r="P33" i="32"/>
  <c r="M33" i="32"/>
  <c r="N33" i="32" l="1"/>
  <c r="AE33" i="32" s="1"/>
  <c r="BG33" i="11"/>
  <c r="BP33" i="11" s="1"/>
  <c r="BC33" i="11"/>
  <c r="Y33" i="11"/>
  <c r="BD33" i="11"/>
  <c r="BE33" i="11" s="1"/>
  <c r="B21" i="11" s="1"/>
  <c r="AD33" i="32"/>
  <c r="Q33" i="32" l="1"/>
  <c r="O33" i="32"/>
  <c r="W33" i="32" s="1"/>
  <c r="BH33" i="11"/>
  <c r="BN33" i="11" s="1"/>
  <c r="BL33" i="11"/>
  <c r="Z33" i="11"/>
  <c r="AJ33" i="32" s="1"/>
  <c r="BC33" i="32" s="1"/>
  <c r="Z32" i="11"/>
  <c r="AJ32" i="32" s="1"/>
  <c r="BC32" i="32" s="1"/>
  <c r="Z10" i="11"/>
  <c r="AJ10" i="32" s="1"/>
  <c r="BC10" i="32" s="1"/>
  <c r="Z23" i="11"/>
  <c r="AJ23" i="32" s="1"/>
  <c r="BC23" i="32" s="1"/>
  <c r="Z21" i="11"/>
  <c r="AJ21" i="32" s="1"/>
  <c r="BC21" i="32" s="1"/>
  <c r="Z6" i="11"/>
  <c r="AJ6" i="32" s="1"/>
  <c r="Z22" i="11"/>
  <c r="AJ22" i="32" s="1"/>
  <c r="BC22" i="32" s="1"/>
  <c r="Z15" i="11"/>
  <c r="AJ15" i="32" s="1"/>
  <c r="BC15" i="32" s="1"/>
  <c r="Z14" i="11"/>
  <c r="AJ14" i="32" s="1"/>
  <c r="BC14" i="32" s="1"/>
  <c r="Z16" i="11"/>
  <c r="AJ16" i="32" s="1"/>
  <c r="BC16" i="32" s="1"/>
  <c r="Z30" i="11"/>
  <c r="AJ30" i="32" s="1"/>
  <c r="BC30" i="32" s="1"/>
  <c r="Z25" i="11"/>
  <c r="AJ25" i="32" s="1"/>
  <c r="BC25" i="32" s="1"/>
  <c r="Z7" i="11"/>
  <c r="AJ7" i="32" s="1"/>
  <c r="BC7" i="32" s="1"/>
  <c r="Z31" i="11"/>
  <c r="AJ31" i="32" s="1"/>
  <c r="BC31" i="32" s="1"/>
  <c r="Z12" i="11"/>
  <c r="AJ12" i="32" s="1"/>
  <c r="BC12" i="32" s="1"/>
  <c r="Z28" i="11"/>
  <c r="AJ28" i="32" s="1"/>
  <c r="BC28" i="32" s="1"/>
  <c r="Z13" i="11"/>
  <c r="AJ13" i="32" s="1"/>
  <c r="BC13" i="32" s="1"/>
  <c r="Z17" i="11"/>
  <c r="AJ17" i="32" s="1"/>
  <c r="BC17" i="32" s="1"/>
  <c r="Z29" i="11"/>
  <c r="AJ29" i="32" s="1"/>
  <c r="BC29" i="32" s="1"/>
  <c r="Z18" i="11"/>
  <c r="AJ18" i="32" s="1"/>
  <c r="BC18" i="32" s="1"/>
  <c r="Z26" i="11"/>
  <c r="AJ26" i="32" s="1"/>
  <c r="BC26" i="32" s="1"/>
  <c r="Z8" i="11"/>
  <c r="AJ8" i="32" s="1"/>
  <c r="BC8" i="32" s="1"/>
  <c r="Z24" i="11"/>
  <c r="AJ24" i="32" s="1"/>
  <c r="BC24" i="32" s="1"/>
  <c r="Z11" i="11"/>
  <c r="AJ11" i="32" s="1"/>
  <c r="BC11" i="32" s="1"/>
  <c r="Z20" i="11"/>
  <c r="AJ20" i="32" s="1"/>
  <c r="BC20" i="32" s="1"/>
  <c r="Z9" i="11"/>
  <c r="AJ9" i="32" s="1"/>
  <c r="BC9" i="32" s="1"/>
  <c r="Z19" i="11"/>
  <c r="AJ19" i="32" s="1"/>
  <c r="BC19" i="32" s="1"/>
  <c r="Z27" i="11"/>
  <c r="AJ27" i="32" s="1"/>
  <c r="BC27" i="32" s="1"/>
  <c r="AG70" i="4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tc={BFDB59AE-FF66-453A-9652-49EEE8CE1BFF}</author>
    <author>tc={C3867B28-BE4B-4884-8675-7DD159266F7B}</author>
    <author>tc={7D1B24F9-B5B5-4D61-8359-154E6E49833D}</author>
    <author>tc={648F30D7-9DA0-4E7B-9EC9-D2F344D95F0B}</author>
    <author>tc={69DFDA77-64A9-4B99-8119-FD4490D01966}</author>
    <author>tc={83B538D0-E1F2-4862-B197-CE0BC3ECEA60}</author>
    <author>tc={587F2216-C278-46F0-8F3C-490AD4D00F09}</author>
    <author>tc={664E9773-B742-479A-9B70-4EED90E4DC69}</author>
    <author>tc={32B6E68F-2091-400A-A170-32D6E78ADB25}</author>
    <author>tc={3232C757-092F-4149-987C-5AF00D2F2D52}</author>
    <author>tc={664407CE-0115-497D-9C68-FC0DC392FC47}</author>
    <author>tc={3FA8EB5F-FB48-45A5-9A7A-395022CBC412}</author>
  </authors>
  <commentList>
    <comment ref="BD1" authorId="0" shapeId="0" xr:uid="{BFDB59AE-FF66-453A-9652-49EEE8CE1BFF}">
      <text>
        <t>[Threaded comment]
Your version of Excel allows you to read this threaded comment; however, any edits to it will get removed if the file is opened in a newer version of Excel. Learn more: https://go.microsoft.com/fwlink/?linkid=870924
Comment:
    Double counting of cell AO? Does have some impact on results</t>
      </text>
    </comment>
    <comment ref="Y2" authorId="1" shapeId="0" xr:uid="{C3867B28-BE4B-4884-8675-7DD159266F7B}">
      <text>
        <t xml:space="preserve">[Threaded comment]
Your version of Excel allows you to read this threaded comment; however, any edits to it will get removed if the file is opened in a newer version of Excel. Learn more: https://go.microsoft.com/fwlink/?linkid=870924
Comment:
    This identifies years in which (1) price is increasing faster than the discount rate and (2) there is a need for use of the stockpile because of supply shortfall. </t>
      </text>
    </comment>
    <comment ref="AK2" authorId="2" shapeId="0" xr:uid="{7D1B24F9-B5B5-4D61-8359-154E6E49833D}">
      <text>
        <t>[Threaded comment]
Your version of Excel allows you to read this threaded comment; however, any edits to it will get removed if the file is opened in a newer version of Excel. Learn more: https://go.microsoft.com/fwlink/?linkid=870924
Comment:
    Absorption retained in the ETS. This will be different from total absorption if there is a separate market.</t>
      </text>
    </comment>
    <comment ref="AO2" authorId="3" shapeId="0" xr:uid="{648F30D7-9DA0-4E7B-9EC9-D2F344D95F0B}">
      <text>
        <t>[Threaded comment]
Your version of Excel allows you to read this threaded comment; however, any edits to it will get removed if the file is opened in a newer version of Excel. Learn more: https://go.microsoft.com/fwlink/?linkid=870924
Comment:
    This is triggered when the NZU price is falling or is rising less than the discount rate. NZUs are released from the stockpile as they will be worth less next year.</t>
      </text>
    </comment>
    <comment ref="BB2" authorId="4" shapeId="0" xr:uid="{69DFDA77-64A9-4B99-8119-FD4490D01966}">
      <text>
        <t>[Threaded comment]
Your version of Excel allows you to read this threaded comment; however, any edits to it will get removed if the file is opened in a newer version of Excel. Learn more: https://go.microsoft.com/fwlink/?linkid=870924
Comment:
    This stockpile use is used to fill any gap after forestry units have been supplied</t>
      </text>
    </comment>
    <comment ref="BC2" authorId="5" shapeId="0" xr:uid="{83B538D0-E1F2-4862-B197-CE0BC3ECEA60}">
      <text>
        <t>[Threaded comment]
Your version of Excel allows you to read this threaded comment; however, any edits to it will get removed if the file is opened in a newer version of Excel. Learn more: https://go.microsoft.com/fwlink/?linkid=870924
Comment:
    Stockpile use is smaller of the calculated use and that available in the 2022 stockpile adjusted for changes since (transfers from non-liquid minus use to date)</t>
      </text>
    </comment>
    <comment ref="BW2" authorId="6" shapeId="0" xr:uid="{587F2216-C278-46F0-8F3C-490AD4D00F09}">
      <text>
        <t>[Threaded comment]
Your version of Excel allows you to read this threaded comment; however, any edits to it will get removed if the file is opened in a newer version of Excel. Learn more: https://go.microsoft.com/fwlink/?linkid=870924
Comment:
    EB1/EB2 per MPI central projection</t>
      </text>
    </comment>
    <comment ref="A7" authorId="7" shapeId="0" xr:uid="{664E9773-B742-479A-9B70-4EED90E4DC69}">
      <text>
        <t>[Threaded comment]
Your version of Excel allows you to read this threaded comment; however, any edits to it will get removed if the file is opened in a newer version of Excel. Learn more: https://go.microsoft.com/fwlink/?linkid=870924
Comment:
    Additional shift from plantation to permanent forestry for forestry under stock change accounting</t>
      </text>
    </comment>
    <comment ref="A9" authorId="8" shapeId="0" xr:uid="{32B6E68F-2091-400A-A170-32D6E78ADB25}">
      <text>
        <t>[Threaded comment]
Your version of Excel allows you to read this threaded comment; however, any edits to it will get removed if the file is opened in a newer version of Excel. Learn more: https://go.microsoft.com/fwlink/?linkid=870924
Comment:
    Either use current price or discounted future price projection</t>
      </text>
    </comment>
    <comment ref="A10" authorId="9" shapeId="0" xr:uid="{3232C757-092F-4149-987C-5AF00D2F2D52}">
      <text>
        <t>[Threaded comment]
Your version of Excel allows you to read this threaded comment; however, any edits to it will get removed if the file is opened in a newer version of Excel. Learn more: https://go.microsoft.com/fwlink/?linkid=870924
Comment:
    ENZ is the standard approach. MACC uses 2020 marginal abatement cost curves (which assume no market failures/barriers) and which suggest much more price responsive emission reductions</t>
      </text>
    </comment>
    <comment ref="A13" authorId="10" shapeId="0" xr:uid="{664407CE-0115-497D-9C68-FC0DC392FC47}">
      <text>
        <t>[Threaded comment]
Your version of Excel allows you to read this threaded comment; however, any edits to it will get removed if the file is opened in a newer version of Excel. Learn more: https://go.microsoft.com/fwlink/?linkid=870924
Comment:
    This allows some of the non-surplus stockpile to be supplied to the market to meet short term supply shortfalls when price is not rising at the discount rate</t>
      </text>
    </comment>
    <comment ref="A14" authorId="11" shapeId="0" xr:uid="{3FA8EB5F-FB48-45A5-9A7A-395022CBC412}">
      <text>
        <t>[Threaded comment]
Your version of Excel allows you to read this threaded comment; however, any edits to it will get removed if the file is opened in a newer version of Excel. Learn more: https://go.microsoft.com/fwlink/?linkid=870924
Comment:
    The time before the stockpile must be paid back for units that have been sold but are required to meet future surrender liabilities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tc={F59A0383-1874-411F-8729-E08499B03802}</author>
  </authors>
  <commentList>
    <comment ref="A9" authorId="0" shapeId="0" xr:uid="{F59A0383-1874-411F-8729-E08499B03802}">
      <text>
        <t>[Threaded comment]
Your version of Excel allows you to read this threaded comment; however, any edits to it will get removed if the file is opened in a newer version of Excel. Learn more: https://go.microsoft.com/fwlink/?linkid=870924
Comment:
    Change this to -1 to reverse sign of price change - this generates cyclical profile.
Set to 1 everywhere for standard long term optimisation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tc={B036D45B-2D7B-49CE-8276-A141EB68048F}</author>
    <author>tc={A7211B6C-C915-4AA5-9F29-A7552D7C8090}</author>
    <author>tc={F795EF7D-BA99-4C71-98D3-F94B6161A2AF}</author>
    <author>tc={3BBD3607-0D89-4088-A5A1-91BE61EC7571}</author>
    <author>tc={E6153DD1-734C-4047-9BD6-EE2B0A7A89FD}</author>
    <author>tc={06786206-985D-4B7C-8469-9BE60341E09F}</author>
    <author>tc={00853252-4EDF-4969-AF45-C906C9989159}</author>
    <author>tc={668A62F3-1C6F-4132-B5A2-3BB328628209}</author>
    <author>tc={6AEB1DE4-6719-498E-81A3-E0938EC55225}</author>
    <author>tc={1429A5D7-EF09-4708-98E1-4C113436F5B2}</author>
    <author>tc={5B404F1F-7AC2-4005-A4EA-99C96A9C8B25}</author>
    <author>tc={61FCB4A1-74C3-4350-B284-B61B3160D6D4}</author>
  </authors>
  <commentList>
    <comment ref="C1" authorId="0" shapeId="0" xr:uid="{B036D45B-2D7B-49CE-8276-A141EB68048F}">
      <text>
        <t>[Threaded comment]
Your version of Excel allows you to read this threaded comment; however, any edits to it will get removed if the file is opened in a newer version of Excel. Learn more: https://go.microsoft.com/fwlink/?linkid=870924
Comment:
    Data has been updated to reflect allocations based on production volumes and updated allocative baselines, meaning these volumes are not in line with actual allocations for IA in 2023</t>
      </text>
    </comment>
    <comment ref="B5" authorId="1" shapeId="0" xr:uid="{A7211B6C-C915-4AA5-9F29-A7552D7C8090}">
      <text>
        <t>[Threaded comment]
Your version of Excel allows you to read this threaded comment; however, any edits to it will get removed if the file is opened in a newer version of Excel. Learn more: https://go.microsoft.com/fwlink/?linkid=870924
Comment:
    NZS + Pacific Steel + Fletcher Steel in its different ownership structures over time. Activities: iron and steel from iron sand and carbon steel from cold ferrous feed.</t>
      </text>
    </comment>
    <comment ref="B7" authorId="2" shapeId="0" xr:uid="{F795EF7D-BA99-4C71-98D3-F94B6161A2AF}">
      <text>
        <t>[Threaded comment]
Your version of Excel allows you to read this threaded comment; however, any edits to it will get removed if the file is opened in a newer version of Excel. Learn more: https://go.microsoft.com/fwlink/?linkid=870924
Comment:
    Caustic soda, hydrogen peroxide</t>
      </text>
    </comment>
    <comment ref="B9" authorId="3" shapeId="0" xr:uid="{3BBD3607-0D89-4088-A5A1-91BE61EC7571}">
      <text>
        <t>[Threaded comment]
Your version of Excel allows you to read this threaded comment; however, any edits to it will get removed if the file is opened in a newer version of Excel. Learn more: https://go.microsoft.com/fwlink/?linkid=870924
Comment:
    Whey powder and lactose</t>
      </text>
    </comment>
    <comment ref="B10" authorId="4" shapeId="0" xr:uid="{E6153DD1-734C-4047-9BD6-EE2B0A7A89FD}">
      <text>
        <t>[Threaded comment]
Your version of Excel allows you to read this threaded comment; however, any edits to it will get removed if the file is opened in a newer version of Excel. Learn more: https://go.microsoft.com/fwlink/?linkid=870924
Comment:
    Fresh capsicums, cucumbers, tomatoes and cut roses</t>
      </text>
    </comment>
    <comment ref="B11" authorId="5" shapeId="0" xr:uid="{06786206-985D-4B7C-8469-9BE60341E09F}">
      <text>
        <t>[Threaded comment]
Your version of Excel allows you to read this threaded comment; however, any edits to it will get removed if the file is opened in a newer version of Excel. Learn more: https://go.microsoft.com/fwlink/?linkid=870924
Comment:
    Protein meal and gelatine</t>
      </text>
    </comment>
    <comment ref="B12" authorId="6" shapeId="0" xr:uid="{00853252-4EDF-4969-AF45-C906C9989159}">
      <text>
        <t>[Threaded comment]
Your version of Excel allows you to read this threaded comment; however, any edits to it will get removed if the file is opened in a newer version of Excel. Learn more: https://go.microsoft.com/fwlink/?linkid=870924
Comment:
    Ethanol, clay, glass + tissue paper, reconstituted wood panels</t>
      </text>
    </comment>
    <comment ref="B13" authorId="7" shapeId="0" xr:uid="{668A62F3-1C6F-4132-B5A2-3BB328628209}">
      <text>
        <t>[Threaded comment]
Your version of Excel allows you to read this threaded comment; however, any edits to it will get removed if the file is opened in a newer version of Excel. Learn more: https://go.microsoft.com/fwlink/?linkid=870924
Comment:
    Cartonboard, market pulp, packaging and industrial paper, newsprint</t>
      </text>
    </comment>
    <comment ref="E35" authorId="8" shapeId="0" xr:uid="{6AEB1DE4-6719-498E-81A3-E0938EC55225}">
      <text>
        <t>[Threaded comment]
Your version of Excel allows you to read this threaded comment; however, any edits to it will get removed if the file is opened in a newer version of Excel. Learn more: https://go.microsoft.com/fwlink/?linkid=870924
Comment:
    Assumption NZAS remains open beyond 2024 and potline 4 remains idled</t>
      </text>
    </comment>
    <comment ref="D37" authorId="9" shapeId="0" xr:uid="{1429A5D7-EF09-4708-98E1-4C113436F5B2}">
      <text>
        <t>[Threaded comment]
Your version of Excel allows you to read this threaded comment; however, any edits to it will get removed if the file is opened in a newer version of Excel. Learn more: https://go.microsoft.com/fwlink/?linkid=870924
Comment:
    Estimate from MfE, based on -220k in 2024 and 2025 due to change in treatment of cogen</t>
      </text>
    </comment>
    <comment ref="F37" authorId="10" shapeId="0" xr:uid="{5B404F1F-7AC2-4005-A4EA-99C96A9C8B25}">
      <text>
        <t xml:space="preserve">[Threaded comment]
Your version of Excel allows you to read this threaded comment; however, any edits to it will get removed if the file is opened in a newer version of Excel. Learn more: https://go.microsoft.com/fwlink/?linkid=870924
Comment:
    Adjusted for estimate in reduction of allocative baseline due to electric arc furnace installation. </t>
      </text>
    </comment>
    <comment ref="D38" authorId="11" shapeId="0" xr:uid="{61FCB4A1-74C3-4350-B284-B61B3160D6D4}">
      <text>
        <t>[Threaded comment]
Your version of Excel allows you to read this threaded comment; however, any edits to it will get removed if the file is opened in a newer version of Excel. Learn more: https://go.microsoft.com/fwlink/?linkid=870924
Comment:
    Based on Methanex production reporting and forecasts. 
https://www.methanex.com/sustainability/protecting-people-and-the-environment/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tc={40AA7494-A483-4DB2-AB95-983FA4EDC68C}</author>
  </authors>
  <commentList>
    <comment ref="U1" authorId="0" shapeId="0" xr:uid="{40AA7494-A483-4DB2-AB95-983FA4EDC68C}">
      <text>
        <t>[Threaded comment]
Your version of Excel allows you to read this threaded comment; however, any edits to it will get removed if the file is opened in a newer version of Excel. Learn more: https://go.microsoft.com/fwlink/?linkid=870924
Comment:
    StatsNZ 
CPI All Groups for New Zealand (Qrtly-Mar/Jun/Sep/Dec)	
Table Ref: CPI009AA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tc={2FC4EC1C-CE1B-410D-9885-C8A2299218B6}</author>
  </authors>
  <commentList>
    <comment ref="B17" authorId="0" shapeId="0" xr:uid="{2FC4EC1C-CE1B-410D-9885-C8A2299218B6}">
      <text>
        <t>[Threaded comment]
Your version of Excel allows you to read this threaded comment; however, any edits to it will get removed if the file is opened in a newer version of Excel. Learn more: https://go.microsoft.com/fwlink/?linkid=870924
Comment:
    Updated 2022-2024 for 2023 ADS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tc={8B08159F-A012-40B0-BF2A-3A6E7F537F63}</author>
  </authors>
  <commentList>
    <comment ref="B3" authorId="0" shapeId="0" xr:uid="{8B08159F-A012-40B0-BF2A-3A6E7F537F63}">
      <text>
        <t>[Threaded comment]
Your version of Excel allows you to read this threaded comment; however, any edits to it will get removed if the file is opened in a newer version of Excel. Learn more: https://go.microsoft.com/fwlink/?linkid=870924
Comment:
    afforestation that was unable to be registered under stock change in time, therefore registered under either averaging or in the PP89 category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tc={1C569CF0-6E96-4A21-8A85-9EB9841363BD}</author>
    <author>tc={EF913975-12F6-494B-B737-DDC60A67BAC9}</author>
    <author>tc={CDE9F1F3-300B-43D9-BEA8-0EB74ED2FB33}</author>
  </authors>
  <commentList>
    <comment ref="A2" authorId="0" shapeId="0" xr:uid="{1C569CF0-6E96-4A21-8A85-9EB9841363BD}">
      <text>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text>
    </comment>
    <comment ref="P44" authorId="1" shapeId="0" xr:uid="{EF913975-12F6-494B-B737-DDC60A67BAC9}">
      <text>
        <t>[Threaded comment]
Your version of Excel allows you to read this threaded comment; however, any edits to it will get removed if the file is opened in a newer version of Excel. Learn more: https://go.microsoft.com/fwlink/?linkid=870924
Comment:
    This rows override the afforestation x yield calculation to exactly match the MPI central unit flow projection for low risk units.</t>
      </text>
    </comment>
    <comment ref="A50" authorId="2" shapeId="0" xr:uid="{CDE9F1F3-300B-43D9-BEA8-0EB74ED2FB33}">
      <text>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<sst xmlns="http://schemas.openxmlformats.org/spreadsheetml/2006/main" count="2355" uniqueCount="554">
  <si>
    <t>Scenario:</t>
  </si>
  <si>
    <t>2024 ETS Settings Decision with ERP2 baseline</t>
  </si>
  <si>
    <t>Version:</t>
  </si>
  <si>
    <t>ETS Auctions (Central)</t>
  </si>
  <si>
    <t>Date:</t>
  </si>
  <si>
    <t>Volume</t>
  </si>
  <si>
    <t>Revenue ($b)</t>
  </si>
  <si>
    <t>Offered</t>
  </si>
  <si>
    <r>
      <t>Sold</t>
    </r>
    <r>
      <rPr>
        <vertAlign val="superscript"/>
        <sz val="11"/>
        <color theme="1"/>
        <rFont val="Calibri"/>
        <family val="2"/>
        <scheme val="minor"/>
      </rPr>
      <t>1</t>
    </r>
  </si>
  <si>
    <r>
      <t>2024</t>
    </r>
    <r>
      <rPr>
        <vertAlign val="superscript"/>
        <sz val="11"/>
        <color theme="1"/>
        <rFont val="Calibri"/>
        <family val="2"/>
        <scheme val="minor"/>
      </rPr>
      <t>2</t>
    </r>
  </si>
  <si>
    <t>Notes:</t>
  </si>
  <si>
    <t>1 As projected by model</t>
  </si>
  <si>
    <t>Note: Dotted line is consistent with emission budgets, dashed with NDC, cross with 2050 net zero target (lower biogenic methane target)</t>
  </si>
  <si>
    <t>2 Assumes 2024 auctions partially clear</t>
  </si>
  <si>
    <t>Total Net Emissions (CO2e Mt)</t>
  </si>
  <si>
    <t>Budget</t>
  </si>
  <si>
    <t>Lower</t>
  </si>
  <si>
    <t>Central</t>
  </si>
  <si>
    <t>Upper</t>
  </si>
  <si>
    <t>EB1</t>
  </si>
  <si>
    <t>EB2</t>
  </si>
  <si>
    <t>EB3</t>
  </si>
  <si>
    <t>NDC1</t>
  </si>
  <si>
    <t>1 Lower and upper estimates based on 95% confidence intervals of price response</t>
  </si>
  <si>
    <t>2 Does not include ERP2 policy impacts</t>
  </si>
  <si>
    <t>Key Variables</t>
  </si>
  <si>
    <t>For charts</t>
  </si>
  <si>
    <t>NZU Price</t>
  </si>
  <si>
    <t>Emissions</t>
  </si>
  <si>
    <t>NZU Stockpile (total)</t>
  </si>
  <si>
    <t>Total Emissions</t>
  </si>
  <si>
    <t>Real Prices (2023 dollar terms)</t>
  </si>
  <si>
    <t>Nominal Prices</t>
  </si>
  <si>
    <t>ETS Sector Gross Emissions</t>
  </si>
  <si>
    <t>Removals (target accounting)</t>
  </si>
  <si>
    <t>Non ETS</t>
  </si>
  <si>
    <t>Price Range</t>
  </si>
  <si>
    <t>Emission Range</t>
  </si>
  <si>
    <t>Removals Range</t>
  </si>
  <si>
    <t>Stockpile Range</t>
  </si>
  <si>
    <t>Total emissions range</t>
  </si>
  <si>
    <t>Price min</t>
  </si>
  <si>
    <t>Emission min</t>
  </si>
  <si>
    <t>Removals min</t>
  </si>
  <si>
    <t>Stockpile min</t>
  </si>
  <si>
    <t>Total emissions min</t>
  </si>
  <si>
    <t>For main chart</t>
  </si>
  <si>
    <t>95% lower</t>
  </si>
  <si>
    <t>1 s.e. lower</t>
  </si>
  <si>
    <t>1 s.e. upper</t>
  </si>
  <si>
    <t>95% upper</t>
  </si>
  <si>
    <t>Afforestation</t>
  </si>
  <si>
    <t>Real/nominal conversion</t>
  </si>
  <si>
    <t>Real Price</t>
  </si>
  <si>
    <t>NZU demand</t>
  </si>
  <si>
    <t>Removals</t>
  </si>
  <si>
    <t>stockpile</t>
  </si>
  <si>
    <t>Volume auctioned</t>
  </si>
  <si>
    <t>CCC Demo Path consistent with current budgets</t>
  </si>
  <si>
    <t>Auction volume offered</t>
  </si>
  <si>
    <t>Industrial allocation</t>
  </si>
  <si>
    <t>Auction</t>
  </si>
  <si>
    <t>Liquid stockpile use</t>
  </si>
  <si>
    <t>Other stockpile use</t>
  </si>
  <si>
    <t>Expected forestry supply</t>
  </si>
  <si>
    <t>NZU demand (after price response)</t>
  </si>
  <si>
    <t>NZU demand (base case)</t>
  </si>
  <si>
    <t>NDC Volume</t>
  </si>
  <si>
    <t>Net Zero Target</t>
  </si>
  <si>
    <t>EB2 no policy</t>
  </si>
  <si>
    <t>EB2 w/ policy</t>
  </si>
  <si>
    <t>2017 Biogenic Methane</t>
  </si>
  <si>
    <t>Press "Solve for Price" if using Discovered mode (B4)</t>
  </si>
  <si>
    <t>Price control settings</t>
  </si>
  <si>
    <t>Price Scenario</t>
  </si>
  <si>
    <t>Government supply</t>
  </si>
  <si>
    <t>Forward price</t>
  </si>
  <si>
    <t>Emission reduction</t>
  </si>
  <si>
    <t>Not used</t>
  </si>
  <si>
    <t>For chart</t>
  </si>
  <si>
    <t>For Budget Accordance</t>
  </si>
  <si>
    <t>Convert ETS removals to target removals</t>
  </si>
  <si>
    <t>Inputs</t>
  </si>
  <si>
    <t>Calendar Year</t>
  </si>
  <si>
    <t>CPR Zero price</t>
  </si>
  <si>
    <t>Ag Demand</t>
  </si>
  <si>
    <t>Ag emissions outside ETS</t>
  </si>
  <si>
    <t>Other emissions outside ETS</t>
  </si>
  <si>
    <t>Total Demand</t>
  </si>
  <si>
    <t>CPR $35 Demand</t>
  </si>
  <si>
    <t>Floor price</t>
  </si>
  <si>
    <t>CCR 1 trigger</t>
  </si>
  <si>
    <t>CCR 1</t>
  </si>
  <si>
    <t>CCR 2 trigger</t>
  </si>
  <si>
    <t>CCR 2</t>
  </si>
  <si>
    <t>Update price</t>
  </si>
  <si>
    <t>Discovered price revised</t>
  </si>
  <si>
    <t>Fixed Price Option</t>
  </si>
  <si>
    <t>CCR</t>
  </si>
  <si>
    <t>Total Government supply</t>
  </si>
  <si>
    <t>Initial gap</t>
  </si>
  <si>
    <t>Absorption limit</t>
  </si>
  <si>
    <t>Max absorption quantity</t>
  </si>
  <si>
    <t>Absorption</t>
  </si>
  <si>
    <t>Absorption for ETS</t>
  </si>
  <si>
    <t>Charted absorption</t>
  </si>
  <si>
    <t>Difference</t>
  </si>
  <si>
    <t>External forestry purchase</t>
  </si>
  <si>
    <t>Initial stockpile use</t>
  </si>
  <si>
    <t>Model 1</t>
  </si>
  <si>
    <t>Model 2</t>
  </si>
  <si>
    <t>Total supply</t>
  </si>
  <si>
    <t>Revised demand</t>
  </si>
  <si>
    <t>Pay back stockpile</t>
  </si>
  <si>
    <t>Shortfall(-ve) / excess(+ve)</t>
  </si>
  <si>
    <t>Stockpile use</t>
  </si>
  <si>
    <t>Cumulative stockpile use check</t>
  </si>
  <si>
    <t>Supply-demand difference</t>
  </si>
  <si>
    <t>Objective (to be minimised</t>
  </si>
  <si>
    <t>End of year liquid stockpile</t>
  </si>
  <si>
    <t>Other stockpile</t>
  </si>
  <si>
    <t>Total</t>
  </si>
  <si>
    <t>Forestry share of supply</t>
  </si>
  <si>
    <t>Total Net Emissions (with GHG update)</t>
  </si>
  <si>
    <t>Emissions Budget</t>
  </si>
  <si>
    <t>Ratio of ETS removals to target accounting removals</t>
  </si>
  <si>
    <t>Adjusted removals for budget calc</t>
  </si>
  <si>
    <t>Base Scenario</t>
  </si>
  <si>
    <t>CPR zero price</t>
  </si>
  <si>
    <t>Current</t>
  </si>
  <si>
    <t>Discovered</t>
  </si>
  <si>
    <t>Unit settings</t>
  </si>
  <si>
    <t>Old</t>
  </si>
  <si>
    <t>Rising then Falling</t>
  </si>
  <si>
    <t>Forestry Projection</t>
  </si>
  <si>
    <t>MPI Central</t>
  </si>
  <si>
    <t>Falling</t>
  </si>
  <si>
    <t>% shift to permanent</t>
  </si>
  <si>
    <t>Constant</t>
  </si>
  <si>
    <t>Manley formula option</t>
  </si>
  <si>
    <t>Low</t>
  </si>
  <si>
    <t>Forestry price assumption</t>
  </si>
  <si>
    <t>Future</t>
  </si>
  <si>
    <t>Emission reduction basis</t>
  </si>
  <si>
    <t>ENZ</t>
  </si>
  <si>
    <t>"Surplus" (liquid) stockpile</t>
  </si>
  <si>
    <t>Current stockpile</t>
  </si>
  <si>
    <t>Max transfer to liquid stockpile</t>
  </si>
  <si>
    <t>Payback stockpile (years)</t>
  </si>
  <si>
    <t>Auction reduction (kt pa)</t>
  </si>
  <si>
    <t>Ag demand</t>
  </si>
  <si>
    <t>Exclude</t>
  </si>
  <si>
    <t>Aggregate Demand Sensititivty</t>
  </si>
  <si>
    <t>LUC Limit</t>
  </si>
  <si>
    <t>Annual price change</t>
  </si>
  <si>
    <t>2023 Price</t>
  </si>
  <si>
    <t>Objective</t>
  </si>
  <si>
    <t>2022 Price</t>
  </si>
  <si>
    <t>Annual price change (market 2)</t>
  </si>
  <si>
    <t>2023 price</t>
  </si>
  <si>
    <t>Excess units (to minimise)</t>
  </si>
  <si>
    <t>Discount rate</t>
  </si>
  <si>
    <t>Zero price rise year</t>
  </si>
  <si>
    <t>Coefficient estimates</t>
  </si>
  <si>
    <t>95% Lower</t>
  </si>
  <si>
    <t>1 s.e lower</t>
  </si>
  <si>
    <t>95% Upper</t>
  </si>
  <si>
    <t>1 s.e upper</t>
  </si>
  <si>
    <t>Standard error</t>
  </si>
  <si>
    <t>Reduction to t-1</t>
  </si>
  <si>
    <t>Price</t>
  </si>
  <si>
    <t>Years forward for ER prices</t>
  </si>
  <si>
    <t>Discount rate (forestry)</t>
  </si>
  <si>
    <t>Years forward for forestry prices</t>
  </si>
  <si>
    <t>Max forestry ('000 ha)</t>
  </si>
  <si>
    <t>2050 forestry ('000 ha)</t>
  </si>
  <si>
    <t>Afforestation price lower</t>
  </si>
  <si>
    <t>2023$ conversion</t>
  </si>
  <si>
    <t>2019$</t>
  </si>
  <si>
    <t>2021$</t>
  </si>
  <si>
    <t>MPI Upper</t>
  </si>
  <si>
    <t>Figure 2</t>
  </si>
  <si>
    <t xml:space="preserve">Figure 3 </t>
  </si>
  <si>
    <t>New</t>
  </si>
  <si>
    <t>No liability</t>
  </si>
  <si>
    <t>With harvest liability</t>
  </si>
  <si>
    <t>Surrenders</t>
  </si>
  <si>
    <t>Baseline: Demo path zero price</t>
  </si>
  <si>
    <t>Cost containment reserve</t>
  </si>
  <si>
    <t>Refund stockpile</t>
  </si>
  <si>
    <t>Modelled price</t>
  </si>
  <si>
    <t>2024$</t>
  </si>
  <si>
    <t>Price rise</t>
  </si>
  <si>
    <t>Year zero</t>
  </si>
  <si>
    <t>EB2 difference</t>
  </si>
  <si>
    <t>EB3 difference</t>
  </si>
  <si>
    <t>IPPU</t>
  </si>
  <si>
    <t>Scenario</t>
  </si>
  <si>
    <t>No</t>
  </si>
  <si>
    <t>CPR</t>
  </si>
  <si>
    <t>CPR - no C price</t>
  </si>
  <si>
    <t>C-Plan TP1</t>
  </si>
  <si>
    <t>C-Plan TP2</t>
  </si>
  <si>
    <t>Demo path - C price $100 3%</t>
  </si>
  <si>
    <t>Demo path - C price $150 3%</t>
  </si>
  <si>
    <t>Demo path - C price $200 3%</t>
  </si>
  <si>
    <t>Demo path - C price $250 3%</t>
  </si>
  <si>
    <t>Demo path - C price $300 3%</t>
  </si>
  <si>
    <t>Demo path - C price $50 3%</t>
  </si>
  <si>
    <t>2022 Demo path</t>
  </si>
  <si>
    <t>Demo path - no C price</t>
  </si>
  <si>
    <t>Demo path - High sens - C price $100 3%</t>
  </si>
  <si>
    <t>Demo path - High sens - C price $150 3%</t>
  </si>
  <si>
    <t>Demo path - High sens - C price $200 3%</t>
  </si>
  <si>
    <t>Demo path - High sens - C price $250 3%</t>
  </si>
  <si>
    <t>Demo path - high baseline &amp; mitigation costs - C price $300 3%</t>
  </si>
  <si>
    <t>Demo path - High sens - C price $50 3%</t>
  </si>
  <si>
    <t>Demo path - high baseline &amp; mitigation costs</t>
  </si>
  <si>
    <t>Demo path - High sens - no C price</t>
  </si>
  <si>
    <t>Demo path - Low sens - C price $100 3%</t>
  </si>
  <si>
    <t>Demo path - Low sens - C price $150 3%</t>
  </si>
  <si>
    <t>Demo path - Low sens - C price $200 3%</t>
  </si>
  <si>
    <t>Demo path - Low sens - C price $250 3%</t>
  </si>
  <si>
    <t>Demo path - low baseline &amp; mitigation costs - C price $300 3%</t>
  </si>
  <si>
    <t>Demo path - Low sens - C price $50 3%</t>
  </si>
  <si>
    <t>Demo path - low baseline &amp; mitigation costs - C price $55 3%</t>
  </si>
  <si>
    <t>Demo path - low baseline &amp; mitigation costs</t>
  </si>
  <si>
    <t>Demo path - Low sens - no C price</t>
  </si>
  <si>
    <t>Headwinds - C price $100 3%</t>
  </si>
  <si>
    <t>Headwinds - C price $150 3%</t>
  </si>
  <si>
    <t>Headwinds - C price $200 3%</t>
  </si>
  <si>
    <t>Headwinds - C price $250 3%</t>
  </si>
  <si>
    <t>Headwinds - C price $270 3%</t>
  </si>
  <si>
    <t>Headwinds - C price $300 3%</t>
  </si>
  <si>
    <t>Headwinds - C price $50 3%</t>
  </si>
  <si>
    <t>2022 Headwinds</t>
  </si>
  <si>
    <t>Headwinds - no C price</t>
  </si>
  <si>
    <t>Tailwinds - C price $100 3%</t>
  </si>
  <si>
    <t>Tailwinds - C price $150 3%</t>
  </si>
  <si>
    <t>Tailwinds - C price $200 3%</t>
  </si>
  <si>
    <t>Tailwinds - C price $250 3%</t>
  </si>
  <si>
    <t>Tailwinds - C price $300 3%</t>
  </si>
  <si>
    <t>Tailwinds - C price $50 3%</t>
  </si>
  <si>
    <t>Tailwinds - C price $55 3%</t>
  </si>
  <si>
    <t>2022 Tailwinds</t>
  </si>
  <si>
    <t>Tailwinds - no C price</t>
  </si>
  <si>
    <t>Year</t>
  </si>
  <si>
    <t>Price switch parameter</t>
  </si>
  <si>
    <t>2023 NZD per t CO2e</t>
  </si>
  <si>
    <t>Base price</t>
  </si>
  <si>
    <t>Baseline emissions</t>
  </si>
  <si>
    <t>Scenarion emissions</t>
  </si>
  <si>
    <t>Prior year emission reduction</t>
  </si>
  <si>
    <t>Model</t>
  </si>
  <si>
    <t>Log Model</t>
  </si>
  <si>
    <t>Model 1 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</si>
  <si>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</si>
  <si>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</si>
  <si>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</si>
  <si>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</si>
  <si>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</si>
  <si>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</si>
  <si>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</si>
  <si>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</si>
  <si>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</si>
  <si>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</si>
  <si>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</si>
  <si>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</si>
  <si>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</si>
  <si>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</si>
  <si>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</si>
  <si>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</si>
  <si>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</si>
  <si>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</si>
  <si>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</si>
  <si>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Lower 95.0%</t>
  </si>
  <si>
    <t>Upper 95.0%</t>
  </si>
  <si>
    <t>Intercept</t>
  </si>
  <si>
    <t>Model 2 SUMMARY OUTPUT</t>
  </si>
  <si>
    <t>Previous</t>
  </si>
  <si>
    <t>Differencs x1000</t>
  </si>
  <si>
    <t>Log Prior year emission reduction</t>
  </si>
  <si>
    <t>Log Price</t>
  </si>
  <si>
    <t>SUMMARY OUTPUT</t>
  </si>
  <si>
    <t>Step 4: Industrial free allocation</t>
  </si>
  <si>
    <t>1. Base industrial allocation and growth (thousand units)</t>
  </si>
  <si>
    <t>Aluminium</t>
  </si>
  <si>
    <t xml:space="preserve">Cement and lime </t>
  </si>
  <si>
    <t>Iron and steel</t>
  </si>
  <si>
    <t>Methanol</t>
  </si>
  <si>
    <t>Other - High</t>
  </si>
  <si>
    <t>Urea</t>
  </si>
  <si>
    <t>Dairy products</t>
  </si>
  <si>
    <t>Horticulture</t>
  </si>
  <si>
    <t>Meat products</t>
  </si>
  <si>
    <t>Other - Low</t>
  </si>
  <si>
    <t>Pulp and paper products</t>
  </si>
  <si>
    <t>2. IA phase-down</t>
  </si>
  <si>
    <t>Allocation rate high</t>
  </si>
  <si>
    <t>Change compared to 2023 (high)</t>
  </si>
  <si>
    <t>Allocation rate low</t>
  </si>
  <si>
    <t>Change compared to 2023 (low)</t>
  </si>
  <si>
    <t>High allocation</t>
  </si>
  <si>
    <t>Low allocation</t>
  </si>
  <si>
    <t>3. Assumptions on production output reductions or baseline reductions compared to 2023 levels</t>
  </si>
  <si>
    <t>4. Totals</t>
  </si>
  <si>
    <t>Stationary energy</t>
  </si>
  <si>
    <t>5. Final volumes (thousand units)</t>
  </si>
  <si>
    <t>Million units</t>
  </si>
  <si>
    <t>CCC 2024 Settings Recommendation</t>
  </si>
  <si>
    <t>CCC</t>
  </si>
  <si>
    <t>Real increase</t>
  </si>
  <si>
    <t>Qtrly CPI</t>
  </si>
  <si>
    <t>Annual CPI (June qtr)</t>
  </si>
  <si>
    <t>Available</t>
  </si>
  <si>
    <t>Floor</t>
  </si>
  <si>
    <t>Trigger 1</t>
  </si>
  <si>
    <t>Trigger 2</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</si>
  <si>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</si>
  <si>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</si>
  <si>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</si>
  <si>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</si>
  <si>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</si>
  <si>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</si>
  <si>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</si>
  <si>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</si>
  <si>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</si>
  <si>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</si>
  <si>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</si>
  <si>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</si>
  <si>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</si>
  <si>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</si>
  <si>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</si>
  <si>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</si>
  <si>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</si>
  <si>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</si>
  <si>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</si>
  <si>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</si>
  <si>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</si>
  <si>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Total Planting</t>
  </si>
  <si>
    <t>Permanent Exotic Pine</t>
  </si>
  <si>
    <t xml:space="preserve">P89 Natural Forest </t>
  </si>
  <si>
    <t>Production Exotic Pine</t>
  </si>
  <si>
    <t>MPI Lower</t>
  </si>
  <si>
    <t>Manley Model</t>
  </si>
  <si>
    <t>Lag</t>
  </si>
  <si>
    <t>Assumed price</t>
  </si>
  <si>
    <t>New afforestation (Manley)</t>
  </si>
  <si>
    <t>Maximum aggregate afforestation</t>
  </si>
  <si>
    <t>Limit to annual increment</t>
  </si>
  <si>
    <t>Manley</t>
  </si>
  <si>
    <t>MPI upper</t>
  </si>
  <si>
    <t>ETS Averaging or ETS PP89 category: 2022 - 2080</t>
  </si>
  <si>
    <t>Activity</t>
  </si>
  <si>
    <t>Millions of NZU's (Millions tonne CO2) allocated per year</t>
  </si>
  <si>
    <t>P89 Natural forest</t>
  </si>
  <si>
    <t>P89 exotic permanent</t>
  </si>
  <si>
    <t>P89 exotic production</t>
  </si>
  <si>
    <t>Permanent Exotic</t>
  </si>
  <si>
    <t>Permanent Pine</t>
  </si>
  <si>
    <t>Production Pine</t>
  </si>
  <si>
    <t>Year to June</t>
  </si>
  <si>
    <t>Ha</t>
  </si>
  <si>
    <t>% of liability</t>
  </si>
  <si>
    <t>Liability quantity</t>
  </si>
  <si>
    <t>Allocation</t>
  </si>
  <si>
    <t>Low risk net supply</t>
  </si>
  <si>
    <t>Max net supply</t>
  </si>
  <si>
    <t>Stockpile with liability</t>
  </si>
  <si>
    <t>Change</t>
  </si>
  <si>
    <t>Net long run (+ve)</t>
  </si>
  <si>
    <t>Net long run (-ve)</t>
  </si>
  <si>
    <t>ETS accounting</t>
  </si>
  <si>
    <t>Forest type</t>
  </si>
  <si>
    <t>Type of unit</t>
  </si>
  <si>
    <t>Assumption</t>
  </si>
  <si>
    <t>Expense/Revenue</t>
  </si>
  <si>
    <t>Stock change 1990 - 2022</t>
  </si>
  <si>
    <t>Exotic</t>
  </si>
  <si>
    <t>Permanent - low risk</t>
  </si>
  <si>
    <t>10.5% of 433,000 ha</t>
  </si>
  <si>
    <t>allocation</t>
  </si>
  <si>
    <t>Production - stock change. units with harvest liability</t>
  </si>
  <si>
    <t>89.5% of 433,000 ha</t>
  </si>
  <si>
    <t>Production - stock change</t>
  </si>
  <si>
    <t>S190. Surrendered in harvest year</t>
  </si>
  <si>
    <t>surrender</t>
  </si>
  <si>
    <t>Native</t>
  </si>
  <si>
    <t>74,000 ha</t>
  </si>
  <si>
    <t>Deforestation</t>
  </si>
  <si>
    <t>pre-1990 50ha/yr  + 1.5% of P89 harvest</t>
  </si>
  <si>
    <t>PFSI</t>
  </si>
  <si>
    <t>Permanent  - low risk</t>
  </si>
  <si>
    <t>15,500 ha</t>
  </si>
  <si>
    <t>2022 - 2050</t>
  </si>
  <si>
    <t>Averaging  - low risk</t>
  </si>
  <si>
    <t>Total - annual</t>
  </si>
  <si>
    <t>Allocated units with low risk</t>
  </si>
  <si>
    <t>Allocated units with future harvest liability</t>
  </si>
  <si>
    <t>Units Surrendered on Harvest/deforestation</t>
  </si>
  <si>
    <t>Surrender</t>
  </si>
  <si>
    <t>Total - Net</t>
  </si>
  <si>
    <t>Total - cumulative</t>
  </si>
  <si>
    <t>Total cumulative</t>
  </si>
  <si>
    <t>Manley (2021) Logistical model</t>
  </si>
  <si>
    <t>LEVlogs</t>
  </si>
  <si>
    <t>LEVcarbon</t>
  </si>
  <si>
    <t>LEVlogs + LEVcarbon</t>
  </si>
  <si>
    <t>LEVpermC</t>
  </si>
  <si>
    <t>m3/ha/yr</t>
  </si>
  <si>
    <t>Production</t>
  </si>
  <si>
    <t>Permanent</t>
  </si>
  <si>
    <t>Northland</t>
  </si>
  <si>
    <t>CNI</t>
  </si>
  <si>
    <t>East Coast</t>
  </si>
  <si>
    <t>Hawke'sBay</t>
  </si>
  <si>
    <t>SNI East</t>
  </si>
  <si>
    <t>SNI West</t>
  </si>
  <si>
    <t>Marlborough</t>
  </si>
  <si>
    <t>Nelson</t>
  </si>
  <si>
    <t>Medium</t>
  </si>
  <si>
    <t>High</t>
  </si>
  <si>
    <t>West Coast</t>
  </si>
  <si>
    <t>f</t>
  </si>
  <si>
    <t>Canterbury</t>
  </si>
  <si>
    <t>g</t>
  </si>
  <si>
    <t>Otago</t>
  </si>
  <si>
    <t>h</t>
  </si>
  <si>
    <t>Southland</t>
  </si>
  <si>
    <t>LEV logs</t>
  </si>
  <si>
    <t>Weighted Ave</t>
  </si>
  <si>
    <t>LEV carbon @ $26.10/t</t>
  </si>
  <si>
    <t>LEV carbon</t>
  </si>
  <si>
    <t>LMV</t>
  </si>
  <si>
    <t>LEV constant</t>
  </si>
  <si>
    <t>LMV constant</t>
  </si>
  <si>
    <t>Profit</t>
  </si>
  <si>
    <t>Afforestation rate</t>
  </si>
  <si>
    <t>ETS Area Weighted Stocking (FMA)</t>
  </si>
  <si>
    <t>D. Fir Yield</t>
  </si>
  <si>
    <t>P. Rad Yield</t>
  </si>
  <si>
    <t>P89 Natural Forest Yield</t>
  </si>
  <si>
    <t>tCO2/ha</t>
  </si>
  <si>
    <t>MT CO2</t>
  </si>
  <si>
    <t>tC02/ha</t>
  </si>
  <si>
    <t>Source: EPA</t>
  </si>
  <si>
    <t>Reimbursements</t>
  </si>
  <si>
    <t>Quarter</t>
  </si>
  <si>
    <t>Forestry NZU</t>
  </si>
  <si>
    <t>Other NZU</t>
  </si>
  <si>
    <t>NZ AAU</t>
  </si>
  <si>
    <t>CER</t>
  </si>
  <si>
    <t>ERU</t>
  </si>
  <si>
    <t>RMU</t>
  </si>
  <si>
    <t>Fixed price option</t>
  </si>
  <si>
    <t>Stockpile</t>
  </si>
  <si>
    <t>International</t>
  </si>
  <si>
    <t>2008/2009_Q3</t>
  </si>
  <si>
    <t>2008/2009_Q4</t>
  </si>
  <si>
    <t>2009/2010_Q1</t>
  </si>
  <si>
    <t>2009/2010_Q2</t>
  </si>
  <si>
    <t>2009/2010_Q3</t>
  </si>
  <si>
    <t>2009/2010_Q4</t>
  </si>
  <si>
    <t>2010/2011_Q1</t>
  </si>
  <si>
    <t>2010/2011_Q2</t>
  </si>
  <si>
    <t>2010/2011_Q3</t>
  </si>
  <si>
    <t>2010/2011_Q4</t>
  </si>
  <si>
    <t>2011/2012_Q1</t>
  </si>
  <si>
    <t>2011/2012_Q2</t>
  </si>
  <si>
    <t>2011/2012_Q3</t>
  </si>
  <si>
    <t>2011/2012_Q4</t>
  </si>
  <si>
    <t>2012/2013_Q1</t>
  </si>
  <si>
    <t>2012/2013_Q2</t>
  </si>
  <si>
    <t>2012/2013_Q3</t>
  </si>
  <si>
    <t>2012/2013_Q4</t>
  </si>
  <si>
    <t>2013/2014_Q1</t>
  </si>
  <si>
    <t>2013/2014_Q2</t>
  </si>
  <si>
    <t>2013/2014_Q3</t>
  </si>
  <si>
    <t>2013/2014_Q4</t>
  </si>
  <si>
    <t>2014/2015_Q1</t>
  </si>
  <si>
    <t>2014/2015_Q2</t>
  </si>
  <si>
    <t>2014/2015_Q3</t>
  </si>
  <si>
    <t>2014/2015_Q4</t>
  </si>
  <si>
    <t>2015/2016_Q1</t>
  </si>
  <si>
    <t>2015/2016_Q2</t>
  </si>
  <si>
    <t>2015/2016_Q3</t>
  </si>
  <si>
    <t>2015/2016_Q4</t>
  </si>
  <si>
    <t>2016/2017_Q1</t>
  </si>
  <si>
    <t>2016/2017_Q2</t>
  </si>
  <si>
    <t>2016/2017_Q3</t>
  </si>
  <si>
    <t>2016/2017_Q4</t>
  </si>
  <si>
    <t>2017/2018_Q1</t>
  </si>
  <si>
    <t>2017/2018_Q2</t>
  </si>
  <si>
    <t>2017/2018_Q3</t>
  </si>
  <si>
    <t>2017/2018_Q4</t>
  </si>
  <si>
    <t>2018/2019_Q1</t>
  </si>
  <si>
    <t>2018/2019_Q2</t>
  </si>
  <si>
    <t>2018/2019_Q3</t>
  </si>
  <si>
    <t>2018/2019_Q4</t>
  </si>
  <si>
    <t>2019/2020_Q1</t>
  </si>
  <si>
    <t>2019/2020_Q2</t>
  </si>
  <si>
    <t>2019/2020_Q3</t>
  </si>
  <si>
    <t>2019/2020_Q4</t>
  </si>
  <si>
    <t>2020/2021_Q1</t>
  </si>
  <si>
    <t>2020/2021_Q2</t>
  </si>
  <si>
    <t>2020/2021_Q3</t>
  </si>
  <si>
    <t>2020/2021_Q4</t>
  </si>
  <si>
    <t>2021/2022_Q1</t>
  </si>
  <si>
    <t>2021/2022_Q2</t>
  </si>
  <si>
    <t>2021/2022_Q3</t>
  </si>
  <si>
    <t>2021/2022_Q4</t>
  </si>
  <si>
    <t>ENZ scenario name</t>
  </si>
  <si>
    <t>Base scenario</t>
  </si>
  <si>
    <t>Emissions price path</t>
  </si>
  <si>
    <t>Variable</t>
  </si>
  <si>
    <t>Unit</t>
  </si>
  <si>
    <t>Current policy reference</t>
  </si>
  <si>
    <t>CPR core ($35 flat)</t>
  </si>
  <si>
    <t>Emissions values</t>
  </si>
  <si>
    <t>2019 NZD per t CO2e</t>
  </si>
  <si>
    <t>NZ ETS emissions: Transport Energy</t>
  </si>
  <si>
    <t>kt CO2e</t>
  </si>
  <si>
    <t>NZ ETS emissions: Non-transport Energy</t>
  </si>
  <si>
    <t>NZ ETS emissions: IPPU</t>
  </si>
  <si>
    <t>NZ ETS emissions: Waste</t>
  </si>
  <si>
    <t>NZ ETS emissions: Total (gross)</t>
  </si>
  <si>
    <t>No price</t>
  </si>
  <si>
    <t>Demonstration path</t>
  </si>
  <si>
    <t>$100 in 2023 rising at 3%</t>
  </si>
  <si>
    <t>$150 in 2023 rising at 3%</t>
  </si>
  <si>
    <t>$200 in 2023 rising at 3%</t>
  </si>
  <si>
    <t>$250 in 2023 rising at 3%</t>
  </si>
  <si>
    <t>$300 in 2023 rising at 3%</t>
  </si>
  <si>
    <t>$50 in 2023 rising at 3%</t>
  </si>
  <si>
    <t>Demo path core</t>
  </si>
  <si>
    <t>Demonstration path - High baseline &amp; mitigation costs</t>
  </si>
  <si>
    <t>Demonstration path - Low baseline &amp; mitigation costs</t>
  </si>
  <si>
    <t>$55 in 2023 rising at 3%</t>
  </si>
  <si>
    <t>Headwinds</t>
  </si>
  <si>
    <t>$270 in 2023 rising at 3%</t>
  </si>
  <si>
    <t>Tailwinds</t>
  </si>
  <si>
    <t>Status quo</t>
  </si>
  <si>
    <r>
      <rPr>
        <b/>
        <sz val="11"/>
        <color theme="1"/>
        <rFont val="Calibri"/>
        <family val="2"/>
        <scheme val="minor"/>
      </rPr>
      <t xml:space="preserve">Important Considerations for Interpreting this Model </t>
    </r>
    <r>
      <rPr>
        <sz val="11"/>
        <color theme="1"/>
        <rFont val="Calibri"/>
        <family val="2"/>
        <scheme val="minor"/>
      </rPr>
      <t xml:space="preserve">
The following points are essential to keep in mind when reviewing and interpreting the outputs of this model: 
► Context and Scope: This model is designed to support decision-making by providing insights based on available data and assumptions. It should not be interpreted as a definitive prediction of future outcomes. 
► Uncertainty and Assumptions: The model relies on assumptions, estimates, and data that are subject to change. As with any analytical tool, the outputs should be viewed with an understanding of the inherent uncertainties involved. 
► Complementary Factors: Model results represent one input among many in the decision-making process. Other considerations, such as economic, regulatory, and policy factors, should be taken into account alongside the model’s findings. 
► Limitations of the Model: The model has specific constraints and simplifications that may not fully capture real-world complexities. Users should exercise caution in applying the results beyond the intended scope. 
► Ongoing Review and Refinement: As new information becomes available, the model may be refined to improve accuracy and relevance. Regular updates and adjustments should be expected over time. 
By using this model, users acknowledge these considerations and agree to interpret its results with appropriate caution and judgment. </t>
    </r>
  </si>
  <si>
    <t>New Zealand Emissions Trading Scheme Market Model</t>
  </si>
  <si>
    <t>Source: Ministry for the Environment</t>
  </si>
  <si>
    <t>Model Documentation</t>
  </si>
  <si>
    <t>Updates to the New Zealand Emissions Trading Scheme market model – February 2025 | Ministry for the Environment</t>
  </si>
  <si>
    <t>Review of the New Zealand Emissions Trading Scheme: Summary of modelling | Ministry for the Environment</t>
  </si>
  <si>
    <t>etsconsultation@mfe.govt.nz</t>
  </si>
  <si>
    <t xml:space="preserve">Contact: </t>
  </si>
  <si>
    <t>Annual updates to New Zealand Emissions Trading Scheme limits and price control settings for units 2025: Technical annex to the consultation document | Ministry for the Environment</t>
  </si>
  <si>
    <t>Other Stockpile Ratio to Demand</t>
  </si>
  <si>
    <t>Total Stockpile Ratio to Demand</t>
  </si>
  <si>
    <t>Version: 7 November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</si>
</sst>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0_ ;[Red]\-#,##0\ "/>
    <numFmt numFmtId="166" formatCode="#,##0_ ;\-#,##0\ "/>
    <numFmt numFmtId="167" formatCode="&quot;$&quot;#,##0.00"/>
    <numFmt numFmtId="168" formatCode="&quot;$&quot;#,##0"/>
    <numFmt numFmtId="169" formatCode="0.0%"/>
    <numFmt numFmtId="170" formatCode="_-* #,##0_-;\-* #,##0_-;_-* &quot;-&quot;??_-;_-@_-"/>
    <numFmt numFmtId="171" formatCode="_-* #,##0.0_-;\-* #,##0.0_-;_-* &quot;-&quot;??_-;_-@_-"/>
    <numFmt numFmtId="172" formatCode="0.000"/>
    <numFmt numFmtId="173" formatCode="0.00000"/>
    <numFmt numFmtId="174" formatCode="0.0000"/>
    <numFmt numFmtId="175" formatCode="#,##0.0"/>
    <numFmt numFmtId="176" formatCode="0.0000000"/>
    <numFmt numFmtId="177" formatCode="&quot;$&quot;#,##0.0"/>
    <numFmt numFmtId="178" formatCode="#,##0.0000"/>
    <numFmt numFmtId="179" formatCode="0.00000000"/>
    <numFmt numFmtId="180" formatCode="0.000%"/>
    <numFmt numFmtId="181" formatCode="#,##0.0_ ;[Red]\-#,##0.0\ "/>
  </numFmts>
  <fonts count="3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1"/>
      <name val="Calibri"/>
      <family val="2"/>
      <scheme val="minor"/>
    </font>
    <font>
      <b/>
      <sz val="10"/>
      <color rgb="FF000000"/>
      <name val="Arial"/>
      <family val="2"/>
    </font>
    <font>
      <sz val="10"/>
      <color rgb="FF000000"/>
      <name val="Arial"/>
      <family val="2"/>
    </font>
    <font>
      <sz val="11"/>
      <color theme="1"/>
      <name val="Calibri"/>
      <family val="2"/>
    </font>
    <font>
      <sz val="10"/>
      <color theme="1"/>
      <name val="Calibri"/>
      <family val="2"/>
      <scheme val="minor"/>
    </font>
    <font>
      <sz val="9"/>
      <color theme="1"/>
      <name val="Calibri"/>
      <family val="2"/>
      <scheme val="minor"/>
    </font>
    <font>
      <sz val="11"/>
      <color rgb="FF3F3F76"/>
      <name val="Calibri"/>
      <family val="2"/>
      <scheme val="minor"/>
    </font>
    <font>
      <b/>
      <sz val="11"/>
      <color rgb="FF000000"/>
      <name val="Calibri"/>
      <family val="2"/>
    </font>
    <font>
      <sz val="11"/>
      <color indexed="9"/>
      <name val="Calibri"/>
      <family val="2"/>
    </font>
    <font>
      <b/>
      <sz val="9"/>
      <color indexed="8"/>
      <name val="Calibri"/>
      <family val="2"/>
    </font>
    <font>
      <sz val="11"/>
      <color rgb="FF000000"/>
      <name val="Calibri"/>
      <family val="2"/>
    </font>
    <font>
      <b/>
      <sz val="11"/>
      <color indexed="9"/>
      <name val="Calibri"/>
      <family val="2"/>
    </font>
    <font>
      <b/>
      <sz val="14"/>
      <color indexed="8"/>
      <name val="Calibri"/>
      <family val="2"/>
    </font>
    <font>
      <sz val="8"/>
      <name val="Calibri"/>
      <family val="2"/>
      <scheme val="minor"/>
    </font>
    <font>
      <sz val="10"/>
      <color rgb="FF0B0C0C"/>
      <name val="Calibri"/>
      <family val="2"/>
      <scheme val="minor"/>
    </font>
    <font>
      <b/>
      <sz val="11"/>
      <color rgb="FF3F3F3F"/>
      <name val="Calibri"/>
      <family val="2"/>
      <scheme val="minor"/>
    </font>
    <font>
      <vertAlign val="superscript"/>
      <sz val="11"/>
      <color theme="1"/>
      <name val="Calibri"/>
      <family val="2"/>
      <scheme val="minor"/>
    </font>
    <font>
      <sz val="11"/>
      <color theme="0"/>
      <name val="Calibri"/>
      <family val="2"/>
      <scheme val="minor"/>
    </font>
    <font>
      <sz val="11"/>
      <color rgb="FF000000"/>
      <name val="Calibri"/>
      <family val="2"/>
      <scheme val="minor"/>
    </font>
    <font>
      <sz val="11"/>
      <color rgb="FFFF0000"/>
      <name val="Calibri"/>
      <family val="2"/>
      <scheme val="minor"/>
    </font>
    <font>
      <b/>
      <sz val="11"/>
      <name val="Calibri"/>
      <family val="2"/>
      <scheme val="minor"/>
    </font>
    <font>
      <sz val="14"/>
      <color theme="1"/>
      <name val="Calibri"/>
      <family val="2"/>
      <scheme val="minor"/>
    </font>
    <font>
      <sz val="10"/>
      <name val="Arial"/>
      <family val="2"/>
    </font>
    <font>
      <b/>
      <sz val="11"/>
      <color rgb="FFFF0000"/>
      <name val="Calibri"/>
      <family val="2"/>
      <scheme val="minor"/>
    </font>
    <font>
      <sz val="11"/>
      <color rgb="FF000000"/>
      <name val="Aptos Narrow"/>
      <family val="2"/>
    </font>
    <font>
      <sz val="11"/>
      <color rgb="FF9C0006"/>
      <name val="Calibri"/>
      <family val="2"/>
      <scheme val="minor"/>
    </font>
    <font>
      <sz val="11"/>
      <color rgb="FF9C5700"/>
      <name val="Calibri"/>
      <family val="2"/>
      <scheme val="minor"/>
    </font>
    <font>
      <i/>
      <sz val="11"/>
      <name val="Calibri"/>
      <family val="2"/>
      <scheme val="minor"/>
    </font>
    <font>
      <b/>
      <sz val="14"/>
      <color theme="1"/>
      <name val="Calibri"/>
      <family val="2"/>
      <scheme val="minor"/>
    </font>
    <font>
      <sz val="11"/>
      <color rgb="FFCD5937"/>
      <name val="Aptos Narrow"/>
      <family val="2"/>
    </font>
    <font>
      <sz val="16"/>
      <color rgb="FF800000"/>
      <name val="Calibri"/>
      <family val="2"/>
    </font>
    <font>
      <b/>
      <sz val="18"/>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C99"/>
      </patternFill>
    </fill>
    <fill>
      <patternFill patternType="solid">
        <fgColor theme="3" tint="0.89999084444715716"/>
        <bgColor indexed="64"/>
      </patternFill>
    </fill>
    <fill>
      <patternFill patternType="solid">
        <fgColor theme="5" tint="0.59999389629810485"/>
        <bgColor indexed="64"/>
      </patternFill>
    </fill>
    <fill>
      <patternFill patternType="solid">
        <fgColor indexed="9"/>
        <bgColor indexed="64"/>
      </patternFill>
    </fill>
    <fill>
      <patternFill patternType="solid">
        <fgColor indexed="8"/>
        <bgColor indexed="64"/>
      </patternFill>
    </fill>
    <fill>
      <patternFill patternType="solid">
        <fgColor rgb="FFCDACE6"/>
        <bgColor indexed="64"/>
      </patternFill>
    </fill>
    <fill>
      <patternFill patternType="solid">
        <fgColor theme="8" tint="0.59999389629810485"/>
        <bgColor indexed="64"/>
      </patternFill>
    </fill>
    <fill>
      <patternFill patternType="solid">
        <fgColor theme="7"/>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3" tint="0.249977111117893"/>
        <bgColor indexed="64"/>
      </patternFill>
    </fill>
    <fill>
      <patternFill patternType="solid">
        <fgColor rgb="FFF2F2F2"/>
      </patternFill>
    </fill>
    <fill>
      <patternFill patternType="solid">
        <fgColor rgb="FFFFC0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C7CE"/>
      </patternFill>
    </fill>
    <fill>
      <patternFill patternType="solid">
        <fgColor rgb="FFFFEB9C"/>
      </patternFill>
    </fill>
    <fill>
      <patternFill patternType="solid">
        <fgColor rgb="FFFFCC99"/>
        <bgColor rgb="FF000000"/>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double">
        <color indexed="64"/>
      </bottom>
      <diagonal/>
    </border>
    <border>
      <left/>
      <right/>
      <top style="thin">
        <color indexed="64"/>
      </top>
      <bottom/>
      <diagonal/>
    </border>
    <border>
      <left style="thin">
        <color indexed="64"/>
      </left>
      <right/>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2">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11" fillId="13" borderId="9" applyNumberFormat="0" applyAlignment="0" applyProtection="0"/>
    <xf numFmtId="0" fontId="20" fillId="24" borderId="13" applyNumberFormat="0" applyAlignment="0" applyProtection="0"/>
    <xf numFmtId="0" fontId="9" fillId="0" borderId="0"/>
    <xf numFmtId="0" fontId="27" fillId="0" borderId="0"/>
    <xf numFmtId="0" fontId="30" fillId="30" borderId="0" applyNumberFormat="0" applyBorder="0" applyAlignment="0" applyProtection="0"/>
    <xf numFmtId="0" fontId="31" fillId="31" borderId="0" applyNumberFormat="0" applyBorder="0" applyAlignment="0" applyProtection="0"/>
    <xf numFmtId="43" fontId="1" fillId="0" borderId="0" applyFont="0" applyFill="0" applyBorder="0" applyAlignment="0" applyProtection="0"/>
    <xf numFmtId="0" fontId="37" fillId="0" borderId="0" applyNumberFormat="0" applyFill="0" applyBorder="0" applyAlignment="0" applyProtection="0"/>
  </cellStyleXfs>
  <cellXfs count="381">
    <xf numFmtId="0" fontId="0" fillId="0" borderId="0" xfId="0"/>
    <xf numFmtId="0" fontId="2" fillId="0" borderId="0" xfId="0" applyFont="1"/>
    <xf numFmtId="164" fontId="0" fillId="0" borderId="0" xfId="0" applyNumberFormat="1"/>
    <xf numFmtId="1" fontId="0" fillId="0" borderId="0" xfId="0" applyNumberFormat="1"/>
    <xf numFmtId="0" fontId="0" fillId="0" borderId="1" xfId="0" applyBorder="1"/>
    <xf numFmtId="165" fontId="0" fillId="0" borderId="0" xfId="0" applyNumberFormat="1"/>
    <xf numFmtId="166" fontId="0" fillId="0" borderId="0" xfId="0" applyNumberFormat="1"/>
    <xf numFmtId="0" fontId="2" fillId="3" borderId="0" xfId="0" applyFont="1" applyFill="1"/>
    <xf numFmtId="0" fontId="0" fillId="3" borderId="0" xfId="0" applyFill="1"/>
    <xf numFmtId="0" fontId="0" fillId="4" borderId="0" xfId="0" applyFill="1"/>
    <xf numFmtId="0" fontId="0" fillId="0" borderId="0" xfId="0" applyAlignment="1">
      <alignment wrapText="1"/>
    </xf>
    <xf numFmtId="0" fontId="2" fillId="5" borderId="0" xfId="0" applyFont="1" applyFill="1"/>
    <xf numFmtId="0" fontId="0" fillId="5" borderId="0" xfId="0" applyFill="1"/>
    <xf numFmtId="9" fontId="0" fillId="0" borderId="0" xfId="1" applyFont="1"/>
    <xf numFmtId="0" fontId="0" fillId="0" borderId="6" xfId="0" applyBorder="1"/>
    <xf numFmtId="0" fontId="3" fillId="0" borderId="7" xfId="0" applyFont="1" applyBorder="1" applyAlignment="1">
      <alignment horizontal="center"/>
    </xf>
    <xf numFmtId="0" fontId="3" fillId="0" borderId="7" xfId="0" applyFont="1" applyBorder="1" applyAlignment="1">
      <alignment horizontal="centerContinuous"/>
    </xf>
    <xf numFmtId="167" fontId="0" fillId="0" borderId="0" xfId="0" applyNumberFormat="1"/>
    <xf numFmtId="168" fontId="0" fillId="0" borderId="0" xfId="0" applyNumberFormat="1"/>
    <xf numFmtId="0" fontId="0" fillId="0" borderId="0" xfId="0" applyAlignment="1">
      <alignment horizontal="left"/>
    </xf>
    <xf numFmtId="3" fontId="0" fillId="0" borderId="0" xfId="0" applyNumberFormat="1"/>
    <xf numFmtId="9" fontId="0" fillId="0" borderId="0" xfId="0" applyNumberFormat="1"/>
    <xf numFmtId="0" fontId="0" fillId="7" borderId="1" xfId="0" applyFill="1" applyBorder="1"/>
    <xf numFmtId="2" fontId="0" fillId="0" borderId="0" xfId="0" applyNumberFormat="1"/>
    <xf numFmtId="3" fontId="0" fillId="7" borderId="1" xfId="0" applyNumberFormat="1" applyFill="1" applyBorder="1"/>
    <xf numFmtId="11" fontId="0" fillId="0" borderId="0" xfId="0" applyNumberFormat="1"/>
    <xf numFmtId="0" fontId="0" fillId="0" borderId="0" xfId="0" quotePrefix="1"/>
    <xf numFmtId="0" fontId="7" fillId="0" borderId="0" xfId="0" applyFont="1" applyAlignment="1">
      <alignment horizontal="left" vertical="center" wrapText="1"/>
    </xf>
    <xf numFmtId="0" fontId="0" fillId="5" borderId="8" xfId="0" applyFill="1" applyBorder="1"/>
    <xf numFmtId="0" fontId="6" fillId="9" borderId="8" xfId="0" applyFont="1" applyFill="1" applyBorder="1" applyAlignment="1">
      <alignment horizontal="center" vertical="center" wrapText="1"/>
    </xf>
    <xf numFmtId="0" fontId="0" fillId="7" borderId="1" xfId="0" applyFill="1" applyBorder="1" applyAlignment="1">
      <alignment horizontal="right"/>
    </xf>
    <xf numFmtId="0" fontId="0" fillId="5" borderId="8" xfId="0" applyFill="1" applyBorder="1" applyAlignment="1">
      <alignment horizontal="right" wrapText="1"/>
    </xf>
    <xf numFmtId="3" fontId="0" fillId="0" borderId="0" xfId="0" applyNumberFormat="1" applyAlignment="1">
      <alignment wrapText="1"/>
    </xf>
    <xf numFmtId="0" fontId="0" fillId="10" borderId="8" xfId="0" applyFill="1" applyBorder="1" applyAlignment="1">
      <alignment horizontal="right" wrapText="1"/>
    </xf>
    <xf numFmtId="0" fontId="9" fillId="0" borderId="0" xfId="0" applyFont="1"/>
    <xf numFmtId="3" fontId="9" fillId="0" borderId="0" xfId="0" applyNumberFormat="1" applyFont="1"/>
    <xf numFmtId="164" fontId="0" fillId="11" borderId="0" xfId="0" applyNumberFormat="1" applyFill="1"/>
    <xf numFmtId="4" fontId="0" fillId="0" borderId="0" xfId="0" applyNumberFormat="1"/>
    <xf numFmtId="0" fontId="0" fillId="0" borderId="0" xfId="0" applyAlignment="1">
      <alignment horizontal="right"/>
    </xf>
    <xf numFmtId="0" fontId="2" fillId="8" borderId="8" xfId="0" applyFont="1" applyFill="1" applyBorder="1"/>
    <xf numFmtId="0" fontId="10" fillId="0" borderId="0" xfId="0" applyFont="1"/>
    <xf numFmtId="6" fontId="0" fillId="0" borderId="0" xfId="0" applyNumberFormat="1"/>
    <xf numFmtId="3" fontId="0" fillId="0" borderId="0" xfId="0" applyNumberFormat="1" applyAlignment="1">
      <alignment horizontal="left"/>
    </xf>
    <xf numFmtId="3" fontId="8" fillId="0" borderId="0" xfId="0" applyNumberFormat="1" applyFont="1"/>
    <xf numFmtId="9" fontId="0" fillId="3" borderId="1" xfId="0" applyNumberFormat="1" applyFill="1" applyBorder="1"/>
    <xf numFmtId="0" fontId="2" fillId="14" borderId="0" xfId="0" applyFont="1" applyFill="1"/>
    <xf numFmtId="170" fontId="0" fillId="0" borderId="0" xfId="2" applyNumberFormat="1" applyFont="1"/>
    <xf numFmtId="0" fontId="0" fillId="14" borderId="0" xfId="0" applyFill="1"/>
    <xf numFmtId="9" fontId="11" fillId="13" borderId="9" xfId="4" applyNumberFormat="1"/>
    <xf numFmtId="0" fontId="2" fillId="0" borderId="10" xfId="0" applyFont="1" applyBorder="1"/>
    <xf numFmtId="0" fontId="12" fillId="0" borderId="0" xfId="0" applyFont="1"/>
    <xf numFmtId="0" fontId="8" fillId="0" borderId="0" xfId="0" applyFont="1"/>
    <xf numFmtId="2" fontId="8" fillId="0" borderId="0" xfId="0" applyNumberFormat="1" applyFont="1"/>
    <xf numFmtId="0" fontId="8" fillId="0" borderId="8" xfId="0" applyFont="1" applyBorder="1"/>
    <xf numFmtId="2" fontId="0" fillId="0" borderId="8" xfId="0" applyNumberFormat="1" applyBorder="1"/>
    <xf numFmtId="0" fontId="8" fillId="11" borderId="0" xfId="0" applyFont="1" applyFill="1"/>
    <xf numFmtId="2" fontId="8" fillId="11" borderId="0" xfId="0" applyNumberFormat="1" applyFont="1" applyFill="1"/>
    <xf numFmtId="0" fontId="8" fillId="15" borderId="0" xfId="0" applyFont="1" applyFill="1"/>
    <xf numFmtId="2" fontId="8" fillId="15" borderId="0" xfId="0" applyNumberFormat="1" applyFont="1" applyFill="1"/>
    <xf numFmtId="2" fontId="0" fillId="0" borderId="0" xfId="0" applyNumberFormat="1" applyAlignment="1">
      <alignment horizontal="left"/>
    </xf>
    <xf numFmtId="172" fontId="0" fillId="0" borderId="1" xfId="0" applyNumberFormat="1" applyBorder="1" applyAlignment="1">
      <alignment horizontal="left"/>
    </xf>
    <xf numFmtId="0" fontId="0" fillId="0" borderId="1" xfId="0" applyBorder="1" applyAlignment="1">
      <alignment horizontal="left"/>
    </xf>
    <xf numFmtId="173" fontId="0" fillId="0" borderId="1" xfId="0" applyNumberFormat="1" applyBorder="1"/>
    <xf numFmtId="0" fontId="0" fillId="16" borderId="0" xfId="0" applyFill="1"/>
    <xf numFmtId="0" fontId="2" fillId="0" borderId="1" xfId="0" applyFont="1" applyBorder="1" applyAlignment="1">
      <alignment horizontal="left"/>
    </xf>
    <xf numFmtId="2" fontId="0" fillId="0" borderId="1" xfId="0" applyNumberFormat="1" applyBorder="1" applyAlignment="1">
      <alignment horizontal="left"/>
    </xf>
    <xf numFmtId="0" fontId="13" fillId="17" borderId="0" xfId="0" applyFont="1" applyFill="1" applyAlignment="1">
      <alignment horizontal="left"/>
    </xf>
    <xf numFmtId="0" fontId="2" fillId="0" borderId="0" xfId="0" applyFont="1" applyAlignment="1">
      <alignment horizontal="left"/>
    </xf>
    <xf numFmtId="0" fontId="0" fillId="16" borderId="0" xfId="0" applyFill="1" applyAlignment="1">
      <alignment horizontal="left"/>
    </xf>
    <xf numFmtId="3" fontId="14" fillId="0" borderId="0" xfId="0" applyNumberFormat="1" applyFont="1" applyAlignment="1">
      <alignment horizontal="left"/>
    </xf>
    <xf numFmtId="3" fontId="15" fillId="0" borderId="1" xfId="0" applyNumberFormat="1" applyFont="1" applyBorder="1" applyAlignment="1">
      <alignment horizontal="left" vertical="center"/>
    </xf>
    <xf numFmtId="3" fontId="0" fillId="0" borderId="1" xfId="0" applyNumberFormat="1" applyBorder="1" applyAlignment="1">
      <alignment horizontal="left"/>
    </xf>
    <xf numFmtId="0" fontId="16" fillId="17" borderId="0" xfId="0" applyFont="1" applyFill="1" applyAlignment="1">
      <alignment horizontal="left"/>
    </xf>
    <xf numFmtId="0" fontId="10" fillId="0" borderId="0" xfId="0" applyFont="1" applyAlignment="1">
      <alignment horizontal="left"/>
    </xf>
    <xf numFmtId="3" fontId="14" fillId="0" borderId="0" xfId="0" applyNumberFormat="1" applyFont="1"/>
    <xf numFmtId="0" fontId="14" fillId="0" borderId="0" xfId="0" applyFont="1" applyAlignment="1">
      <alignment horizontal="left"/>
    </xf>
    <xf numFmtId="0" fontId="17" fillId="0" borderId="0" xfId="0" applyFont="1" applyAlignment="1">
      <alignment horizontal="left"/>
    </xf>
    <xf numFmtId="0" fontId="0" fillId="0" borderId="1" xfId="0" applyBorder="1" applyAlignment="1">
      <alignment horizontal="center"/>
    </xf>
    <xf numFmtId="0" fontId="0" fillId="0" borderId="5" xfId="0" applyBorder="1"/>
    <xf numFmtId="0" fontId="2" fillId="0" borderId="1" xfId="0" applyFont="1" applyBorder="1" applyAlignment="1">
      <alignment horizontal="center"/>
    </xf>
    <xf numFmtId="0" fontId="0" fillId="0" borderId="0" xfId="0" applyAlignment="1">
      <alignment horizontal="center" vertical="center"/>
    </xf>
    <xf numFmtId="3" fontId="2" fillId="12" borderId="1" xfId="0" applyNumberFormat="1" applyFont="1" applyFill="1" applyBorder="1" applyAlignment="1">
      <alignment horizontal="left"/>
    </xf>
    <xf numFmtId="0" fontId="2" fillId="12" borderId="1" xfId="0" applyFont="1" applyFill="1" applyBorder="1" applyAlignment="1">
      <alignment horizontal="left"/>
    </xf>
    <xf numFmtId="0" fontId="2" fillId="12" borderId="1" xfId="0" applyFont="1" applyFill="1" applyBorder="1"/>
    <xf numFmtId="174" fontId="0" fillId="0" borderId="0" xfId="0" applyNumberFormat="1"/>
    <xf numFmtId="3" fontId="15" fillId="12" borderId="1" xfId="0" applyNumberFormat="1" applyFont="1" applyFill="1" applyBorder="1" applyAlignment="1">
      <alignment horizontal="left" vertical="center"/>
    </xf>
    <xf numFmtId="0" fontId="0" fillId="5" borderId="8" xfId="0" applyFill="1" applyBorder="1" applyAlignment="1">
      <alignment wrapText="1"/>
    </xf>
    <xf numFmtId="170" fontId="0" fillId="0" borderId="0" xfId="0" applyNumberFormat="1"/>
    <xf numFmtId="3" fontId="0" fillId="0" borderId="1" xfId="0" applyNumberFormat="1" applyBorder="1"/>
    <xf numFmtId="175" fontId="0" fillId="0" borderId="0" xfId="0" applyNumberFormat="1"/>
    <xf numFmtId="3" fontId="0" fillId="0" borderId="1" xfId="0" applyNumberFormat="1" applyBorder="1" applyAlignment="1">
      <alignment horizontal="right"/>
    </xf>
    <xf numFmtId="0" fontId="0" fillId="14" borderId="8" xfId="0" applyFill="1" applyBorder="1"/>
    <xf numFmtId="0" fontId="0" fillId="14" borderId="8" xfId="0" applyFill="1" applyBorder="1" applyAlignment="1">
      <alignment horizontal="right" wrapText="1"/>
    </xf>
    <xf numFmtId="0" fontId="0" fillId="0" borderId="8" xfId="0" applyBorder="1"/>
    <xf numFmtId="3" fontId="0" fillId="0" borderId="8" xfId="0" applyNumberFormat="1" applyBorder="1"/>
    <xf numFmtId="9" fontId="0" fillId="0" borderId="8" xfId="0" applyNumberFormat="1" applyBorder="1"/>
    <xf numFmtId="175" fontId="0" fillId="0" borderId="8" xfId="0" applyNumberFormat="1" applyBorder="1"/>
    <xf numFmtId="8" fontId="0" fillId="0" borderId="0" xfId="0" applyNumberFormat="1"/>
    <xf numFmtId="168" fontId="0" fillId="0" borderId="0" xfId="3" applyNumberFormat="1" applyFont="1" applyAlignment="1">
      <alignment horizontal="left"/>
    </xf>
    <xf numFmtId="168" fontId="0" fillId="0" borderId="0" xfId="0" applyNumberFormat="1" applyAlignment="1">
      <alignment horizontal="left"/>
    </xf>
    <xf numFmtId="11" fontId="0" fillId="0" borderId="1" xfId="0" applyNumberFormat="1" applyBorder="1"/>
    <xf numFmtId="8" fontId="0" fillId="0" borderId="1" xfId="0" applyNumberFormat="1" applyBorder="1"/>
    <xf numFmtId="167" fontId="0" fillId="10" borderId="8" xfId="0" applyNumberFormat="1" applyFill="1" applyBorder="1"/>
    <xf numFmtId="0" fontId="0" fillId="18" borderId="8" xfId="0" applyFill="1" applyBorder="1" applyAlignment="1">
      <alignment horizontal="right" wrapText="1"/>
    </xf>
    <xf numFmtId="167" fontId="2" fillId="18" borderId="8" xfId="0" applyNumberFormat="1" applyFont="1" applyFill="1" applyBorder="1" applyAlignment="1">
      <alignment wrapText="1"/>
    </xf>
    <xf numFmtId="0" fontId="10" fillId="0" borderId="0" xfId="0" applyFont="1" applyAlignment="1">
      <alignment wrapText="1"/>
    </xf>
    <xf numFmtId="0" fontId="2" fillId="8" borderId="8" xfId="0" applyFont="1" applyFill="1" applyBorder="1" applyAlignment="1">
      <alignment horizontal="center" wrapText="1"/>
    </xf>
    <xf numFmtId="167" fontId="0" fillId="19" borderId="8" xfId="0" applyNumberFormat="1" applyFill="1" applyBorder="1"/>
    <xf numFmtId="0" fontId="0" fillId="19" borderId="8" xfId="0" applyFill="1" applyBorder="1" applyAlignment="1">
      <alignment horizontal="right" wrapText="1"/>
    </xf>
    <xf numFmtId="0" fontId="0" fillId="19" borderId="1" xfId="0" applyFill="1" applyBorder="1" applyAlignment="1">
      <alignment horizontal="center"/>
    </xf>
    <xf numFmtId="0" fontId="2" fillId="15" borderId="1" xfId="0" applyFont="1" applyFill="1" applyBorder="1" applyAlignment="1">
      <alignment horizontal="right"/>
    </xf>
    <xf numFmtId="0" fontId="4" fillId="15" borderId="1" xfId="0" applyFont="1" applyFill="1" applyBorder="1" applyAlignment="1">
      <alignment horizontal="right"/>
    </xf>
    <xf numFmtId="0" fontId="2" fillId="7" borderId="1" xfId="0" applyFont="1" applyFill="1" applyBorder="1" applyAlignment="1">
      <alignment horizontal="right"/>
    </xf>
    <xf numFmtId="2" fontId="0" fillId="0" borderId="0" xfId="1" applyNumberFormat="1" applyFont="1"/>
    <xf numFmtId="168" fontId="0" fillId="0" borderId="0" xfId="0" applyNumberFormat="1" applyAlignment="1">
      <alignment wrapText="1"/>
    </xf>
    <xf numFmtId="0" fontId="0" fillId="20" borderId="0" xfId="0" applyFill="1"/>
    <xf numFmtId="168" fontId="0" fillId="20" borderId="0" xfId="0" applyNumberFormat="1" applyFill="1"/>
    <xf numFmtId="3" fontId="0" fillId="20" borderId="0" xfId="0" applyNumberFormat="1" applyFill="1"/>
    <xf numFmtId="0" fontId="0" fillId="0" borderId="0" xfId="0" applyAlignment="1">
      <alignment horizontal="right" wrapText="1"/>
    </xf>
    <xf numFmtId="172" fontId="0" fillId="0" borderId="0" xfId="0" applyNumberFormat="1"/>
    <xf numFmtId="176" fontId="0" fillId="0" borderId="0" xfId="0" applyNumberFormat="1"/>
    <xf numFmtId="0" fontId="0" fillId="14" borderId="1" xfId="0" applyFill="1" applyBorder="1"/>
    <xf numFmtId="3" fontId="10" fillId="0" borderId="0" xfId="0" applyNumberFormat="1" applyFont="1" applyAlignment="1">
      <alignment wrapText="1"/>
    </xf>
    <xf numFmtId="0" fontId="0" fillId="11" borderId="1" xfId="0" applyFill="1" applyBorder="1"/>
    <xf numFmtId="3" fontId="0" fillId="11" borderId="1" xfId="0" applyNumberFormat="1" applyFill="1" applyBorder="1"/>
    <xf numFmtId="172" fontId="0" fillId="11" borderId="1" xfId="0" applyNumberFormat="1" applyFill="1" applyBorder="1"/>
    <xf numFmtId="3" fontId="0" fillId="15" borderId="0" xfId="0" applyNumberFormat="1" applyFill="1"/>
    <xf numFmtId="3" fontId="0" fillId="0" borderId="0" xfId="0" applyNumberFormat="1" applyAlignment="1">
      <alignment horizontal="right"/>
    </xf>
    <xf numFmtId="10" fontId="0" fillId="0" borderId="0" xfId="1" applyNumberFormat="1" applyFont="1"/>
    <xf numFmtId="0" fontId="0" fillId="3" borderId="8" xfId="0" applyFill="1" applyBorder="1" applyAlignment="1">
      <alignment horizontal="right" wrapText="1"/>
    </xf>
    <xf numFmtId="0" fontId="0" fillId="3" borderId="8" xfId="0" applyFill="1" applyBorder="1"/>
    <xf numFmtId="0" fontId="2" fillId="3" borderId="8" xfId="0" applyFont="1" applyFill="1" applyBorder="1"/>
    <xf numFmtId="167" fontId="0" fillId="6" borderId="8" xfId="0" applyNumberFormat="1" applyFill="1" applyBorder="1"/>
    <xf numFmtId="0" fontId="0" fillId="6" borderId="8" xfId="0" applyFill="1" applyBorder="1" applyAlignment="1">
      <alignment horizontal="right" wrapText="1"/>
    </xf>
    <xf numFmtId="167" fontId="0" fillId="18" borderId="8" xfId="0" applyNumberFormat="1" applyFill="1" applyBorder="1"/>
    <xf numFmtId="0" fontId="0" fillId="3" borderId="1" xfId="0" applyFill="1" applyBorder="1" applyAlignment="1">
      <alignment horizontal="right"/>
    </xf>
    <xf numFmtId="9" fontId="0" fillId="15" borderId="1" xfId="0" applyNumberFormat="1" applyFill="1" applyBorder="1"/>
    <xf numFmtId="2" fontId="0" fillId="11" borderId="8" xfId="0" applyNumberFormat="1" applyFill="1" applyBorder="1" applyAlignment="1">
      <alignment wrapText="1"/>
    </xf>
    <xf numFmtId="0" fontId="0" fillId="21" borderId="1" xfId="0" applyFill="1" applyBorder="1"/>
    <xf numFmtId="168" fontId="0" fillId="21" borderId="1" xfId="0" applyNumberFormat="1" applyFill="1" applyBorder="1"/>
    <xf numFmtId="3" fontId="0" fillId="21" borderId="1" xfId="0" applyNumberFormat="1" applyFill="1" applyBorder="1"/>
    <xf numFmtId="177" fontId="0" fillId="21" borderId="1" xfId="0" applyNumberFormat="1" applyFill="1" applyBorder="1"/>
    <xf numFmtId="0" fontId="0" fillId="22" borderId="8" xfId="0" applyFill="1" applyBorder="1" applyAlignment="1">
      <alignment horizontal="right" wrapText="1"/>
    </xf>
    <xf numFmtId="0" fontId="2" fillId="22" borderId="8" xfId="0" applyFont="1" applyFill="1" applyBorder="1"/>
    <xf numFmtId="0" fontId="0" fillId="22" borderId="8" xfId="0" applyFill="1" applyBorder="1"/>
    <xf numFmtId="167" fontId="0" fillId="22" borderId="8" xfId="0" applyNumberFormat="1" applyFill="1" applyBorder="1"/>
    <xf numFmtId="0" fontId="0" fillId="12" borderId="8" xfId="0" applyFill="1" applyBorder="1" applyAlignment="1">
      <alignment horizontal="right" wrapText="1"/>
    </xf>
    <xf numFmtId="175" fontId="0" fillId="0" borderId="0" xfId="0" applyNumberFormat="1" applyAlignment="1">
      <alignment wrapText="1"/>
    </xf>
    <xf numFmtId="167" fontId="0" fillId="22" borderId="8" xfId="0" applyNumberFormat="1" applyFill="1" applyBorder="1" applyAlignment="1">
      <alignment wrapText="1"/>
    </xf>
    <xf numFmtId="167" fontId="2" fillId="22" borderId="8" xfId="0" applyNumberFormat="1" applyFont="1" applyFill="1" applyBorder="1"/>
    <xf numFmtId="0" fontId="8" fillId="22" borderId="0" xfId="0" applyFont="1" applyFill="1"/>
    <xf numFmtId="2" fontId="8" fillId="22" borderId="0" xfId="0" applyNumberFormat="1" applyFont="1" applyFill="1"/>
    <xf numFmtId="167" fontId="2" fillId="10" borderId="8" xfId="0" applyNumberFormat="1" applyFont="1" applyFill="1" applyBorder="1" applyAlignment="1">
      <alignment wrapText="1"/>
    </xf>
    <xf numFmtId="9" fontId="0" fillId="21" borderId="1" xfId="0" applyNumberFormat="1" applyFill="1" applyBorder="1"/>
    <xf numFmtId="6" fontId="0" fillId="21" borderId="1" xfId="0" applyNumberFormat="1" applyFill="1" applyBorder="1"/>
    <xf numFmtId="9" fontId="0" fillId="22" borderId="8" xfId="1" applyFont="1" applyFill="1" applyBorder="1"/>
    <xf numFmtId="0" fontId="0" fillId="15" borderId="1" xfId="0" applyFill="1" applyBorder="1"/>
    <xf numFmtId="167" fontId="2" fillId="23" borderId="8" xfId="0" applyNumberFormat="1" applyFont="1" applyFill="1" applyBorder="1"/>
    <xf numFmtId="0" fontId="0" fillId="23" borderId="8" xfId="0" applyFill="1" applyBorder="1" applyAlignment="1">
      <alignment horizontal="right" wrapText="1"/>
    </xf>
    <xf numFmtId="9" fontId="0" fillId="7" borderId="1" xfId="1" applyFont="1" applyFill="1" applyBorder="1"/>
    <xf numFmtId="0" fontId="0" fillId="11" borderId="8" xfId="0" applyFill="1" applyBorder="1" applyAlignment="1">
      <alignment horizontal="right" wrapText="1"/>
    </xf>
    <xf numFmtId="178" fontId="0" fillId="0" borderId="0" xfId="0" applyNumberFormat="1"/>
    <xf numFmtId="0" fontId="0" fillId="14" borderId="12" xfId="0" applyFill="1" applyBorder="1" applyAlignment="1">
      <alignment horizontal="right" wrapText="1"/>
    </xf>
    <xf numFmtId="0" fontId="0" fillId="8" borderId="8" xfId="0" applyFill="1" applyBorder="1" applyAlignment="1">
      <alignment horizontal="right" wrapText="1"/>
    </xf>
    <xf numFmtId="43" fontId="0" fillId="0" borderId="0" xfId="2" applyFont="1" applyBorder="1"/>
    <xf numFmtId="49" fontId="0" fillId="0" borderId="0" xfId="0" applyNumberFormat="1" applyAlignment="1">
      <alignment vertical="center" wrapText="1"/>
    </xf>
    <xf numFmtId="6" fontId="0" fillId="3" borderId="0" xfId="0" applyNumberFormat="1" applyFill="1"/>
    <xf numFmtId="168" fontId="0" fillId="3" borderId="0" xfId="0" applyNumberFormat="1" applyFill="1"/>
    <xf numFmtId="3" fontId="0" fillId="3" borderId="0" xfId="0" applyNumberFormat="1" applyFill="1"/>
    <xf numFmtId="1" fontId="0" fillId="3" borderId="0" xfId="0" applyNumberFormat="1" applyFill="1"/>
    <xf numFmtId="175" fontId="0" fillId="3" borderId="0" xfId="0" applyNumberFormat="1" applyFill="1"/>
    <xf numFmtId="0" fontId="19" fillId="0" borderId="1" xfId="0" applyFont="1" applyBorder="1" applyAlignment="1">
      <alignment horizontal="left" vertical="center"/>
    </xf>
    <xf numFmtId="2" fontId="0" fillId="0" borderId="1" xfId="0" applyNumberFormat="1" applyBorder="1" applyAlignment="1">
      <alignment horizontal="right"/>
    </xf>
    <xf numFmtId="17" fontId="19" fillId="0" borderId="1" xfId="0" applyNumberFormat="1" applyFont="1" applyBorder="1" applyAlignment="1">
      <alignment horizontal="left" vertical="center"/>
    </xf>
    <xf numFmtId="0" fontId="9" fillId="22" borderId="1" xfId="0" applyFont="1" applyFill="1" applyBorder="1"/>
    <xf numFmtId="0" fontId="9" fillId="22" borderId="1" xfId="0" applyFont="1" applyFill="1" applyBorder="1" applyAlignment="1">
      <alignment horizontal="right"/>
    </xf>
    <xf numFmtId="0" fontId="0" fillId="8" borderId="0" xfId="0" applyFill="1" applyAlignment="1">
      <alignment horizontal="right"/>
    </xf>
    <xf numFmtId="0" fontId="0" fillId="8" borderId="8" xfId="0" applyFill="1" applyBorder="1" applyAlignment="1">
      <alignment horizontal="right"/>
    </xf>
    <xf numFmtId="0" fontId="0" fillId="0" borderId="8" xfId="0" applyBorder="1" applyAlignment="1">
      <alignment horizontal="right"/>
    </xf>
    <xf numFmtId="0" fontId="2" fillId="0" borderId="0" xfId="0" applyFont="1" applyAlignment="1">
      <alignment wrapText="1"/>
    </xf>
    <xf numFmtId="0" fontId="0" fillId="22" borderId="4" xfId="0" applyFill="1" applyBorder="1" applyAlignment="1">
      <alignment horizontal="right" wrapText="1"/>
    </xf>
    <xf numFmtId="9" fontId="0" fillId="0" borderId="0" xfId="1" applyFont="1" applyBorder="1"/>
    <xf numFmtId="0" fontId="0" fillId="6" borderId="4" xfId="0" applyFill="1" applyBorder="1" applyAlignment="1">
      <alignment horizontal="right" wrapText="1"/>
    </xf>
    <xf numFmtId="43" fontId="0" fillId="0" borderId="0" xfId="0" applyNumberFormat="1"/>
    <xf numFmtId="0" fontId="0" fillId="22" borderId="0" xfId="0" applyFill="1"/>
    <xf numFmtId="3" fontId="0" fillId="25" borderId="1" xfId="0" applyNumberFormat="1" applyFill="1" applyBorder="1" applyAlignment="1">
      <alignment horizontal="right"/>
    </xf>
    <xf numFmtId="9" fontId="0" fillId="0" borderId="0" xfId="1" applyFont="1" applyAlignment="1">
      <alignment wrapText="1"/>
    </xf>
    <xf numFmtId="0" fontId="0" fillId="2" borderId="0" xfId="0" applyFill="1"/>
    <xf numFmtId="0" fontId="10" fillId="2" borderId="0" xfId="0" applyFont="1" applyFill="1" applyAlignment="1">
      <alignment wrapText="1"/>
    </xf>
    <xf numFmtId="168" fontId="0" fillId="2" borderId="0" xfId="0" applyNumberFormat="1" applyFill="1"/>
    <xf numFmtId="6" fontId="0" fillId="2" borderId="0" xfId="0" applyNumberFormat="1" applyFill="1"/>
    <xf numFmtId="179" fontId="0" fillId="7" borderId="1" xfId="0" applyNumberFormat="1" applyFill="1" applyBorder="1"/>
    <xf numFmtId="169" fontId="0" fillId="0" borderId="0" xfId="1" applyNumberFormat="1" applyFont="1"/>
    <xf numFmtId="171" fontId="0" fillId="0" borderId="0" xfId="2" applyNumberFormat="1" applyFont="1" applyAlignment="1">
      <alignment wrapText="1"/>
    </xf>
    <xf numFmtId="167" fontId="0" fillId="11" borderId="0" xfId="0" applyNumberFormat="1" applyFill="1"/>
    <xf numFmtId="0" fontId="0" fillId="11" borderId="0" xfId="0" applyFill="1" applyAlignment="1">
      <alignment horizontal="right" wrapText="1"/>
    </xf>
    <xf numFmtId="0" fontId="0" fillId="0" borderId="16" xfId="0" applyBorder="1"/>
    <xf numFmtId="0" fontId="0" fillId="0" borderId="17" xfId="0" applyBorder="1"/>
    <xf numFmtId="0" fontId="0" fillId="0" borderId="12" xfId="0" applyBorder="1"/>
    <xf numFmtId="9" fontId="0" fillId="0" borderId="16" xfId="0" applyNumberFormat="1" applyBorder="1"/>
    <xf numFmtId="9" fontId="0" fillId="0" borderId="17" xfId="0" applyNumberFormat="1" applyBorder="1"/>
    <xf numFmtId="0" fontId="0" fillId="0" borderId="14" xfId="0" applyBorder="1"/>
    <xf numFmtId="43" fontId="0" fillId="0" borderId="14" xfId="2" applyFont="1" applyBorder="1"/>
    <xf numFmtId="43" fontId="0" fillId="0" borderId="11" xfId="2" applyFont="1" applyBorder="1"/>
    <xf numFmtId="43" fontId="0" fillId="0" borderId="15" xfId="2" applyFont="1" applyBorder="1"/>
    <xf numFmtId="43" fontId="0" fillId="0" borderId="16" xfId="2" applyFont="1" applyBorder="1"/>
    <xf numFmtId="43" fontId="0" fillId="0" borderId="17" xfId="2" applyFont="1" applyBorder="1"/>
    <xf numFmtId="43" fontId="0" fillId="0" borderId="12" xfId="2" applyFont="1" applyBorder="1"/>
    <xf numFmtId="43" fontId="0" fillId="0" borderId="8" xfId="2" applyFont="1" applyBorder="1"/>
    <xf numFmtId="43" fontId="0" fillId="0" borderId="18" xfId="2" applyFont="1" applyBorder="1"/>
    <xf numFmtId="171" fontId="0" fillId="0" borderId="18" xfId="2" applyNumberFormat="1" applyFont="1" applyBorder="1"/>
    <xf numFmtId="170" fontId="0" fillId="0" borderId="14" xfId="2" applyNumberFormat="1" applyFont="1" applyBorder="1"/>
    <xf numFmtId="170" fontId="0" fillId="0" borderId="11" xfId="2" applyNumberFormat="1" applyFont="1" applyBorder="1"/>
    <xf numFmtId="170" fontId="0" fillId="0" borderId="15" xfId="2" applyNumberFormat="1" applyFont="1" applyBorder="1"/>
    <xf numFmtId="170" fontId="0" fillId="0" borderId="16" xfId="2" applyNumberFormat="1" applyFont="1" applyBorder="1"/>
    <xf numFmtId="170" fontId="0" fillId="0" borderId="0" xfId="2" applyNumberFormat="1" applyFont="1" applyBorder="1"/>
    <xf numFmtId="170" fontId="0" fillId="0" borderId="17" xfId="2" applyNumberFormat="1" applyFont="1" applyBorder="1"/>
    <xf numFmtId="170" fontId="0" fillId="0" borderId="12" xfId="2" applyNumberFormat="1" applyFont="1" applyBorder="1"/>
    <xf numFmtId="170" fontId="0" fillId="0" borderId="8" xfId="2" applyNumberFormat="1" applyFont="1" applyBorder="1"/>
    <xf numFmtId="170" fontId="0" fillId="0" borderId="18" xfId="2" applyNumberFormat="1" applyFont="1" applyBorder="1"/>
    <xf numFmtId="0" fontId="0" fillId="0" borderId="19" xfId="0" applyBorder="1"/>
    <xf numFmtId="0" fontId="0" fillId="0" borderId="20" xfId="0" applyBorder="1"/>
    <xf numFmtId="14" fontId="0" fillId="0" borderId="0" xfId="0" applyNumberFormat="1" applyAlignment="1">
      <alignment horizontal="left"/>
    </xf>
    <xf numFmtId="0" fontId="0" fillId="0" borderId="0" xfId="0" applyAlignment="1">
      <alignment horizontal="center"/>
    </xf>
    <xf numFmtId="0" fontId="0" fillId="0" borderId="14" xfId="0" quotePrefix="1" applyBorder="1" applyAlignment="1">
      <alignment horizontal="right"/>
    </xf>
    <xf numFmtId="171" fontId="0" fillId="0" borderId="15" xfId="2" applyNumberFormat="1" applyFont="1" applyBorder="1"/>
    <xf numFmtId="171" fontId="0" fillId="0" borderId="17" xfId="2" applyNumberFormat="1" applyFont="1" applyBorder="1"/>
    <xf numFmtId="0" fontId="0" fillId="0" borderId="18" xfId="0" applyBorder="1" applyAlignment="1">
      <alignment horizontal="center"/>
    </xf>
    <xf numFmtId="0" fontId="0" fillId="0" borderId="12" xfId="0" applyBorder="1" applyAlignment="1">
      <alignment horizontal="center"/>
    </xf>
    <xf numFmtId="0" fontId="2" fillId="0" borderId="8" xfId="0" applyFont="1" applyBorder="1" applyAlignment="1">
      <alignment horizontal="center"/>
    </xf>
    <xf numFmtId="170" fontId="0" fillId="0" borderId="14" xfId="0" applyNumberFormat="1" applyBorder="1" applyAlignment="1">
      <alignment horizontal="center"/>
    </xf>
    <xf numFmtId="170" fontId="0" fillId="0" borderId="16" xfId="0" applyNumberFormat="1" applyBorder="1" applyAlignment="1">
      <alignment horizontal="center"/>
    </xf>
    <xf numFmtId="171" fontId="0" fillId="0" borderId="14" xfId="2" applyNumberFormat="1" applyFont="1" applyBorder="1"/>
    <xf numFmtId="171" fontId="0" fillId="0" borderId="12" xfId="2" applyNumberFormat="1" applyFont="1" applyBorder="1"/>
    <xf numFmtId="171" fontId="0" fillId="0" borderId="16" xfId="2" applyNumberFormat="1" applyFont="1" applyBorder="1"/>
    <xf numFmtId="170" fontId="0" fillId="0" borderId="0" xfId="0" applyNumberFormat="1" applyAlignment="1">
      <alignment horizontal="center"/>
    </xf>
    <xf numFmtId="0" fontId="0" fillId="0" borderId="11" xfId="0" applyBorder="1" applyAlignment="1">
      <alignment vertical="top" wrapText="1"/>
    </xf>
    <xf numFmtId="0" fontId="0" fillId="0" borderId="0" xfId="0" applyAlignment="1">
      <alignment vertical="top" wrapText="1"/>
    </xf>
    <xf numFmtId="0" fontId="22" fillId="0" borderId="0" xfId="0" applyFont="1"/>
    <xf numFmtId="167" fontId="0" fillId="26" borderId="8" xfId="0" applyNumberFormat="1" applyFill="1" applyBorder="1"/>
    <xf numFmtId="175" fontId="2" fillId="0" borderId="0" xfId="0" applyNumberFormat="1" applyFont="1"/>
    <xf numFmtId="0" fontId="0" fillId="12" borderId="0" xfId="0" applyFill="1"/>
    <xf numFmtId="0" fontId="23" fillId="0" borderId="1" xfId="0" applyFont="1" applyBorder="1"/>
    <xf numFmtId="0" fontId="23" fillId="0" borderId="0" xfId="0" applyFont="1"/>
    <xf numFmtId="3" fontId="0" fillId="0" borderId="0" xfId="0" applyNumberFormat="1" applyAlignment="1">
      <alignment vertical="center" wrapText="1"/>
    </xf>
    <xf numFmtId="3" fontId="2" fillId="0" borderId="0" xfId="0" applyNumberFormat="1" applyFont="1" applyAlignment="1">
      <alignment vertical="center"/>
    </xf>
    <xf numFmtId="170" fontId="0" fillId="0" borderId="1" xfId="0" applyNumberFormat="1" applyBorder="1" applyAlignment="1">
      <alignment horizontal="center"/>
    </xf>
    <xf numFmtId="170" fontId="0" fillId="0" borderId="2" xfId="0" applyNumberFormat="1" applyBorder="1" applyAlignment="1">
      <alignment horizontal="center"/>
    </xf>
    <xf numFmtId="170" fontId="0" fillId="0" borderId="4" xfId="0" applyNumberFormat="1" applyBorder="1" applyAlignment="1">
      <alignment horizontal="center"/>
    </xf>
    <xf numFmtId="170" fontId="0" fillId="0" borderId="3" xfId="0" applyNumberFormat="1" applyBorder="1" applyAlignment="1">
      <alignment horizontal="center"/>
    </xf>
    <xf numFmtId="0" fontId="0" fillId="0" borderId="0" xfId="0" applyAlignment="1">
      <alignment horizontal="left" vertical="top"/>
    </xf>
    <xf numFmtId="171" fontId="2" fillId="0" borderId="0" xfId="0" applyNumberFormat="1" applyFont="1" applyAlignment="1">
      <alignment horizontal="center"/>
    </xf>
    <xf numFmtId="10" fontId="0" fillId="0" borderId="0" xfId="0" applyNumberFormat="1"/>
    <xf numFmtId="180" fontId="0" fillId="0" borderId="0" xfId="0" applyNumberFormat="1"/>
    <xf numFmtId="44" fontId="0" fillId="11" borderId="0" xfId="3" applyFont="1" applyFill="1"/>
    <xf numFmtId="44" fontId="0" fillId="0" borderId="0" xfId="3" applyFont="1" applyFill="1"/>
    <xf numFmtId="171" fontId="0" fillId="0" borderId="14" xfId="0" applyNumberFormat="1" applyBorder="1" applyAlignment="1">
      <alignment horizontal="center"/>
    </xf>
    <xf numFmtId="171" fontId="2" fillId="0" borderId="11" xfId="0" applyNumberFormat="1" applyFont="1" applyBorder="1" applyAlignment="1">
      <alignment horizontal="center"/>
    </xf>
    <xf numFmtId="171" fontId="0" fillId="0" borderId="15" xfId="0" applyNumberFormat="1" applyBorder="1" applyAlignment="1">
      <alignment horizontal="center"/>
    </xf>
    <xf numFmtId="171" fontId="0" fillId="0" borderId="16" xfId="0" applyNumberFormat="1" applyBorder="1" applyAlignment="1">
      <alignment horizontal="center"/>
    </xf>
    <xf numFmtId="171" fontId="0" fillId="0" borderId="17" xfId="0" applyNumberFormat="1" applyBorder="1" applyAlignment="1">
      <alignment horizontal="center"/>
    </xf>
    <xf numFmtId="0" fontId="0" fillId="0" borderId="8" xfId="0" applyBorder="1" applyAlignment="1">
      <alignment horizontal="left"/>
    </xf>
    <xf numFmtId="3" fontId="0" fillId="0" borderId="8" xfId="0" applyNumberFormat="1" applyBorder="1" applyAlignment="1">
      <alignment horizontal="right"/>
    </xf>
    <xf numFmtId="168" fontId="0" fillId="0" borderId="8" xfId="0" applyNumberFormat="1" applyBorder="1"/>
    <xf numFmtId="3" fontId="0" fillId="0" borderId="8" xfId="0" applyNumberFormat="1" applyBorder="1" applyAlignment="1">
      <alignment wrapText="1"/>
    </xf>
    <xf numFmtId="9" fontId="0" fillId="0" borderId="8" xfId="1" applyFont="1" applyBorder="1"/>
    <xf numFmtId="9" fontId="0" fillId="0" borderId="8" xfId="1" applyFont="1" applyBorder="1" applyAlignment="1">
      <alignment wrapText="1"/>
    </xf>
    <xf numFmtId="171" fontId="0" fillId="0" borderId="8" xfId="2" applyNumberFormat="1" applyFont="1" applyBorder="1" applyAlignment="1">
      <alignment wrapText="1"/>
    </xf>
    <xf numFmtId="9" fontId="0" fillId="0" borderId="0" xfId="1" applyFont="1" applyBorder="1" applyAlignment="1">
      <alignment wrapText="1"/>
    </xf>
    <xf numFmtId="171" fontId="0" fillId="0" borderId="0" xfId="2" applyNumberFormat="1" applyFont="1" applyBorder="1" applyAlignment="1">
      <alignment wrapText="1"/>
    </xf>
    <xf numFmtId="3" fontId="0" fillId="0" borderId="11" xfId="0" applyNumberFormat="1" applyBorder="1" applyAlignment="1">
      <alignment horizontal="right"/>
    </xf>
    <xf numFmtId="0" fontId="0" fillId="27" borderId="0" xfId="0" applyFill="1" applyAlignment="1">
      <alignment horizontal="left"/>
    </xf>
    <xf numFmtId="43" fontId="24" fillId="0" borderId="0" xfId="2" applyFont="1"/>
    <xf numFmtId="164" fontId="0" fillId="2" borderId="0" xfId="0" applyNumberFormat="1" applyFill="1"/>
    <xf numFmtId="164" fontId="0" fillId="3" borderId="0" xfId="0" applyNumberFormat="1" applyFill="1"/>
    <xf numFmtId="164" fontId="0" fillId="28" borderId="0" xfId="0" applyNumberFormat="1" applyFill="1"/>
    <xf numFmtId="164" fontId="2" fillId="0" borderId="0" xfId="0" applyNumberFormat="1" applyFont="1"/>
    <xf numFmtId="3" fontId="2" fillId="0" borderId="0" xfId="0" applyNumberFormat="1" applyFont="1" applyAlignment="1">
      <alignment horizontal="right"/>
    </xf>
    <xf numFmtId="168" fontId="2" fillId="0" borderId="0" xfId="0" applyNumberFormat="1" applyFont="1"/>
    <xf numFmtId="3" fontId="2" fillId="0" borderId="0" xfId="0" applyNumberFormat="1" applyFont="1"/>
    <xf numFmtId="167" fontId="2" fillId="0" borderId="0" xfId="0" applyNumberFormat="1" applyFont="1"/>
    <xf numFmtId="177" fontId="0" fillId="0" borderId="0" xfId="0" applyNumberFormat="1"/>
    <xf numFmtId="0" fontId="0" fillId="0" borderId="0" xfId="0" applyAlignment="1">
      <alignment vertical="center" wrapText="1"/>
    </xf>
    <xf numFmtId="0" fontId="2" fillId="0" borderId="0" xfId="0" applyFont="1" applyAlignment="1">
      <alignment vertical="center" wrapText="1"/>
    </xf>
    <xf numFmtId="174" fontId="0" fillId="0" borderId="1" xfId="0" applyNumberFormat="1" applyBorder="1" applyAlignment="1">
      <alignment horizontal="left"/>
    </xf>
    <xf numFmtId="0" fontId="23" fillId="0" borderId="20" xfId="0" applyFont="1" applyBorder="1"/>
    <xf numFmtId="0" fontId="0" fillId="7" borderId="20" xfId="0" applyFill="1" applyBorder="1"/>
    <xf numFmtId="0" fontId="0" fillId="21" borderId="20" xfId="0" applyFill="1" applyBorder="1"/>
    <xf numFmtId="169" fontId="0" fillId="21" borderId="20" xfId="0" applyNumberFormat="1" applyFill="1" applyBorder="1"/>
    <xf numFmtId="0" fontId="0" fillId="11" borderId="20" xfId="0" applyFill="1" applyBorder="1"/>
    <xf numFmtId="0" fontId="0" fillId="7" borderId="20" xfId="0" applyFill="1" applyBorder="1" applyAlignment="1">
      <alignment horizontal="right"/>
    </xf>
    <xf numFmtId="0" fontId="26" fillId="0" borderId="0" xfId="0" applyFont="1"/>
    <xf numFmtId="44" fontId="0" fillId="0" borderId="0" xfId="0" applyNumberFormat="1"/>
    <xf numFmtId="0" fontId="25" fillId="0" borderId="0" xfId="0" applyFont="1"/>
    <xf numFmtId="0" fontId="25" fillId="11" borderId="0" xfId="0" applyFont="1" applyFill="1"/>
    <xf numFmtId="0" fontId="0" fillId="11" borderId="0" xfId="0" applyFill="1"/>
    <xf numFmtId="9" fontId="4" fillId="0" borderId="9" xfId="4" applyNumberFormat="1" applyFont="1" applyFill="1" applyAlignment="1">
      <alignment wrapText="1"/>
    </xf>
    <xf numFmtId="0" fontId="4" fillId="0" borderId="0" xfId="9" applyFont="1" applyFill="1"/>
    <xf numFmtId="181" fontId="11" fillId="13" borderId="9" xfId="4" applyNumberFormat="1"/>
    <xf numFmtId="181" fontId="32" fillId="0" borderId="0" xfId="9" applyNumberFormat="1" applyFont="1" applyFill="1"/>
    <xf numFmtId="181" fontId="4" fillId="0" borderId="0" xfId="9" applyNumberFormat="1" applyFont="1" applyFill="1"/>
    <xf numFmtId="181" fontId="0" fillId="11" borderId="0" xfId="0" applyNumberFormat="1" applyFill="1"/>
    <xf numFmtId="0" fontId="4" fillId="0" borderId="0" xfId="0" applyFont="1"/>
    <xf numFmtId="181" fontId="0" fillId="0" borderId="0" xfId="10" applyNumberFormat="1" applyFont="1" applyFill="1"/>
    <xf numFmtId="170" fontId="2" fillId="0" borderId="10" xfId="10" applyNumberFormat="1" applyFont="1" applyBorder="1"/>
    <xf numFmtId="43" fontId="2" fillId="0" borderId="10" xfId="10" applyFont="1" applyBorder="1"/>
    <xf numFmtId="43" fontId="2" fillId="11" borderId="10" xfId="10" applyFont="1" applyFill="1" applyBorder="1"/>
    <xf numFmtId="170" fontId="2" fillId="0" borderId="0" xfId="10" applyNumberFormat="1" applyFont="1" applyFill="1" applyBorder="1"/>
    <xf numFmtId="0" fontId="2" fillId="4" borderId="0" xfId="0" applyFont="1" applyFill="1"/>
    <xf numFmtId="9" fontId="0" fillId="4" borderId="0" xfId="1" applyFont="1" applyFill="1"/>
    <xf numFmtId="9" fontId="0" fillId="11" borderId="0" xfId="0" applyNumberFormat="1" applyFill="1"/>
    <xf numFmtId="9" fontId="0" fillId="11" borderId="0" xfId="1" applyFont="1" applyFill="1"/>
    <xf numFmtId="0" fontId="4" fillId="22" borderId="0" xfId="9" applyFont="1" applyFill="1"/>
    <xf numFmtId="43" fontId="4" fillId="22" borderId="0" xfId="9" applyNumberFormat="1" applyFont="1" applyFill="1"/>
    <xf numFmtId="0" fontId="4" fillId="22" borderId="0" xfId="0" applyFont="1" applyFill="1"/>
    <xf numFmtId="43" fontId="4" fillId="22" borderId="0" xfId="8" applyNumberFormat="1" applyFont="1" applyFill="1"/>
    <xf numFmtId="43" fontId="0" fillId="22" borderId="0" xfId="10" applyFont="1" applyFill="1"/>
    <xf numFmtId="171" fontId="4" fillId="22" borderId="0" xfId="8" applyNumberFormat="1" applyFont="1" applyFill="1"/>
    <xf numFmtId="43" fontId="4" fillId="12" borderId="0" xfId="8" applyNumberFormat="1" applyFont="1" applyFill="1"/>
    <xf numFmtId="0" fontId="30" fillId="0" borderId="0" xfId="8" applyFill="1"/>
    <xf numFmtId="9" fontId="11" fillId="0" borderId="0" xfId="1" applyFont="1" applyFill="1" applyBorder="1"/>
    <xf numFmtId="43" fontId="11" fillId="0" borderId="0" xfId="1" applyNumberFormat="1" applyFont="1" applyFill="1" applyBorder="1"/>
    <xf numFmtId="181" fontId="11" fillId="0" borderId="0" xfId="10" applyNumberFormat="1" applyFont="1" applyFill="1" applyBorder="1"/>
    <xf numFmtId="43" fontId="0" fillId="0" borderId="0" xfId="10" applyFont="1"/>
    <xf numFmtId="43" fontId="0" fillId="14" borderId="0" xfId="0" applyNumberFormat="1" applyFill="1"/>
    <xf numFmtId="0" fontId="20" fillId="24" borderId="13" xfId="5"/>
    <xf numFmtId="43" fontId="20" fillId="24" borderId="13" xfId="10" applyFont="1" applyFill="1" applyBorder="1"/>
    <xf numFmtId="43" fontId="2" fillId="0" borderId="0" xfId="10" applyFont="1"/>
    <xf numFmtId="0" fontId="33" fillId="14" borderId="11" xfId="0" applyFont="1" applyFill="1" applyBorder="1"/>
    <xf numFmtId="0" fontId="26" fillId="14" borderId="11" xfId="0" applyFont="1" applyFill="1" applyBorder="1"/>
    <xf numFmtId="181" fontId="33" fillId="14" borderId="11" xfId="10" applyNumberFormat="1" applyFont="1" applyFill="1" applyBorder="1"/>
    <xf numFmtId="0" fontId="33" fillId="14" borderId="0" xfId="0" applyFont="1" applyFill="1"/>
    <xf numFmtId="0" fontId="26" fillId="14" borderId="0" xfId="0" applyFont="1" applyFill="1"/>
    <xf numFmtId="181" fontId="33" fillId="14" borderId="0" xfId="10" applyNumberFormat="1" applyFont="1" applyFill="1" applyBorder="1"/>
    <xf numFmtId="181" fontId="33" fillId="29" borderId="0" xfId="10" applyNumberFormat="1" applyFont="1" applyFill="1" applyBorder="1"/>
    <xf numFmtId="0" fontId="33" fillId="0" borderId="0" xfId="0" applyFont="1"/>
    <xf numFmtId="171" fontId="33" fillId="0" borderId="0" xfId="10" applyNumberFormat="1" applyFont="1" applyFill="1" applyBorder="1"/>
    <xf numFmtId="43" fontId="33" fillId="0" borderId="0" xfId="10" applyFont="1" applyFill="1" applyBorder="1"/>
    <xf numFmtId="181" fontId="0" fillId="0" borderId="0" xfId="0" applyNumberFormat="1"/>
    <xf numFmtId="181" fontId="0" fillId="0" borderId="0" xfId="10" applyNumberFormat="1" applyFont="1"/>
    <xf numFmtId="43" fontId="0" fillId="0" borderId="0" xfId="10" applyFont="1" applyFill="1"/>
    <xf numFmtId="170" fontId="0" fillId="0" borderId="0" xfId="10" applyNumberFormat="1" applyFont="1" applyFill="1"/>
    <xf numFmtId="9" fontId="0" fillId="0" borderId="0" xfId="1" applyFont="1" applyFill="1"/>
    <xf numFmtId="170" fontId="0" fillId="0" borderId="0" xfId="10" applyNumberFormat="1" applyFont="1"/>
    <xf numFmtId="0" fontId="28" fillId="0" borderId="0" xfId="0" applyFont="1"/>
    <xf numFmtId="0" fontId="29" fillId="0" borderId="0" xfId="0" applyFont="1"/>
    <xf numFmtId="43" fontId="24" fillId="0" borderId="0" xfId="2" applyFont="1" applyFill="1"/>
    <xf numFmtId="0" fontId="34" fillId="0" borderId="0" xfId="0" applyFont="1" applyAlignment="1">
      <alignment horizontal="center"/>
    </xf>
    <xf numFmtId="0" fontId="29" fillId="0" borderId="0" xfId="0" applyFont="1" applyAlignment="1">
      <alignment horizontal="center"/>
    </xf>
    <xf numFmtId="164" fontId="4" fillId="0" borderId="0" xfId="0" applyNumberFormat="1" applyFont="1" applyAlignment="1">
      <alignment horizontal="right"/>
    </xf>
    <xf numFmtId="3" fontId="4" fillId="0" borderId="0" xfId="0" applyNumberFormat="1" applyFont="1"/>
    <xf numFmtId="0" fontId="36" fillId="0" borderId="0" xfId="0" applyFont="1"/>
    <xf numFmtId="0" fontId="37" fillId="0" borderId="0" xfId="11"/>
    <xf numFmtId="0" fontId="11" fillId="32" borderId="9" xfId="0" applyFont="1" applyFill="1" applyBorder="1"/>
    <xf numFmtId="4" fontId="11" fillId="32" borderId="9" xfId="0" applyNumberFormat="1" applyFont="1" applyFill="1" applyBorder="1"/>
    <xf numFmtId="9" fontId="11" fillId="32" borderId="9" xfId="0" applyNumberFormat="1" applyFont="1" applyFill="1" applyBorder="1"/>
    <xf numFmtId="9" fontId="24" fillId="32" borderId="9" xfId="0" applyNumberFormat="1" applyFont="1" applyFill="1" applyBorder="1"/>
    <xf numFmtId="43" fontId="0" fillId="0" borderId="0" xfId="2" applyFont="1"/>
    <xf numFmtId="3" fontId="0" fillId="0" borderId="11" xfId="0" applyNumberFormat="1" applyBorder="1"/>
    <xf numFmtId="175" fontId="0" fillId="0" borderId="0" xfId="0" applyNumberFormat="1" applyAlignment="1">
      <alignment horizontal="right"/>
    </xf>
    <xf numFmtId="43" fontId="8" fillId="0" borderId="0" xfId="2" applyFont="1"/>
    <xf numFmtId="0" fontId="0" fillId="0" borderId="16" xfId="0" applyBorder="1" applyAlignment="1">
      <alignment horizontal="center"/>
    </xf>
    <xf numFmtId="0" fontId="0" fillId="0" borderId="0" xfId="0" applyAlignment="1">
      <alignment horizontal="center"/>
    </xf>
    <xf numFmtId="0" fontId="0" fillId="0" borderId="17" xfId="0" applyBorder="1" applyAlignment="1">
      <alignment horizontal="center"/>
    </xf>
    <xf numFmtId="0" fontId="0" fillId="0" borderId="14"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0" borderId="0" xfId="0" applyAlignment="1">
      <alignment horizontal="left" vertical="top" wrapText="1"/>
    </xf>
    <xf numFmtId="0" fontId="0" fillId="0" borderId="0" xfId="0" applyAlignment="1">
      <alignment horizontal="left" wrapText="1"/>
    </xf>
    <xf numFmtId="0" fontId="0" fillId="0" borderId="19" xfId="0" applyBorder="1" applyAlignment="1">
      <alignment horizontal="center" wrapText="1"/>
    </xf>
    <xf numFmtId="0" fontId="0" fillId="0" borderId="20" xfId="0" applyBorder="1" applyAlignment="1">
      <alignment horizontal="center" wrapText="1"/>
    </xf>
    <xf numFmtId="0" fontId="0" fillId="0" borderId="11" xfId="0" applyBorder="1" applyAlignment="1">
      <alignment horizontal="left" vertical="top" wrapText="1"/>
    </xf>
    <xf numFmtId="0" fontId="0" fillId="0" borderId="0" xfId="0" applyAlignment="1">
      <alignment horizontal="center" wrapText="1"/>
    </xf>
    <xf numFmtId="0" fontId="2" fillId="8" borderId="0" xfId="0" applyFont="1" applyFill="1" applyAlignment="1">
      <alignment horizontal="center" wrapText="1"/>
    </xf>
    <xf numFmtId="0" fontId="2" fillId="8" borderId="8" xfId="0" applyFont="1" applyFill="1" applyBorder="1" applyAlignment="1">
      <alignment horizontal="center"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cellXfs>
  <cellStyles count="12">
    <cellStyle name="Bad" xfId="8" builtinId="27"/>
    <cellStyle name="Comma" xfId="2" builtinId="3"/>
    <cellStyle name="Comma 2" xfId="10" xr:uid="{2227FF7A-57FA-4CC0-9B58-FD4A668D75B8}"/>
    <cellStyle name="Currency" xfId="3" builtinId="4"/>
    <cellStyle name="Hyperlink" xfId="11" builtinId="8"/>
    <cellStyle name="Input" xfId="4" builtinId="20"/>
    <cellStyle name="Neutral" xfId="9" builtinId="28"/>
    <cellStyle name="Normal" xfId="0" builtinId="0"/>
    <cellStyle name="Normal 2" xfId="7" xr:uid="{0566C88E-64B6-4DD7-A312-D09F352F5D80}"/>
    <cellStyle name="Normal 4" xfId="6" xr:uid="{A2C8FA49-EFAF-4650-B4FC-3162C4D60E6C}"/>
    <cellStyle name="Output" xfId="5" builtinId="21"/>
    <cellStyle name="Percent" xfId="1" builtinId="5"/>
  </cellStyles>
  <dxfs count="11">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00AEEF"/>
        </patternFill>
      </fill>
    </dxf>
    <dxf>
      <fill>
        <patternFill>
          <bgColor theme="0"/>
        </patternFill>
      </fill>
      <border>
        <left style="medium">
          <color auto="1"/>
        </left>
        <right style="medium">
          <color auto="1"/>
        </right>
        <top style="medium">
          <color auto="1"/>
        </top>
        <bottom style="medium">
          <color auto="1"/>
        </bottom>
        <vertical style="thin">
          <color auto="1"/>
        </vertical>
        <horizontal style="thin">
          <color auto="1"/>
        </horizontal>
      </border>
    </dxf>
  </dxfs>
  <tableStyles count="2" defaultTableStyle="TableStyleMedium9" defaultPivotStyle="PivotStyleLight16">
    <tableStyle name="Invisible" pivot="0" table="0" count="0" xr9:uid="{0E0BFE52-4EF1-40A3-92AD-6BB752A7E910}"/>
    <tableStyle name="DECC Style" pivot="0" count="2" xr9:uid="{FD6FD597-F9AA-43C3-8EF3-8B883864D213}">
      <tableStyleElement type="wholeTable" dxfId="10"/>
      <tableStyleElement type="headerRow" dxfId="9"/>
    </tableStyle>
  </tableStyles>
  <colors>
    <mruColors>
      <color rgb="FF1F3B72"/>
      <color rgb="FF2C9986"/>
      <color rgb="FF83D3C6"/>
      <color rgb="FF32809C"/>
      <color rgb="FF144050"/>
      <color rgb="FF2C7C99"/>
      <color rgb="FF1B556B"/>
      <color rgb="FFFAAA18"/>
      <color rgb="FFE01F56"/>
      <color rgb="FF0E7B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chartsheet" Target="chartsheets/sheet1.xml"/><Relationship Id="rId21" Type="http://schemas.openxmlformats.org/officeDocument/2006/relationships/calcChain" Target="calcChain.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heetMetadata" Target="metadata.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Removals (target accounting)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Dashboard!$AV$41:$AV$70</c:f>
              <c:numCache>
                <c:formatCode>_-* #,##0_-;\-* #,##0_-;_-* "-"??_-;_-@_-</c:formatCode>
                <c:ptCount val="30"/>
                <c:pt idx="0">
                  <c:v>4744.5626748682453</c:v>
                </c:pt>
                <c:pt idx="1">
                  <c:v>5279.6</c:v>
                </c:pt>
                <c:pt idx="2">
                  <c:v>6179.4270146455237</c:v>
                </c:pt>
                <c:pt idx="3">
                  <c:v>6339.3965743747085</c:v>
                </c:pt>
                <c:pt idx="4">
                  <c:v>7371.4191452118275</c:v>
                </c:pt>
                <c:pt idx="5">
                  <c:v>8802.7254148485081</c:v>
                </c:pt>
                <c:pt idx="6">
                  <c:v>10491.059593582275</c:v>
                </c:pt>
                <c:pt idx="7">
                  <c:v>12440.868806763941</c:v>
                </c:pt>
                <c:pt idx="8">
                  <c:v>14012.390674069144</c:v>
                </c:pt>
                <c:pt idx="9">
                  <c:v>14973.21165809153</c:v>
                </c:pt>
                <c:pt idx="10">
                  <c:v>15480.035631084085</c:v>
                </c:pt>
                <c:pt idx="11">
                  <c:v>15859.673383081794</c:v>
                </c:pt>
                <c:pt idx="12">
                  <c:v>16293.36711152498</c:v>
                </c:pt>
                <c:pt idx="13">
                  <c:v>16890.169972046238</c:v>
                </c:pt>
                <c:pt idx="14">
                  <c:v>17427.465071846429</c:v>
                </c:pt>
                <c:pt idx="15">
                  <c:v>18090.685339016687</c:v>
                </c:pt>
                <c:pt idx="16">
                  <c:v>19988.80451795302</c:v>
                </c:pt>
                <c:pt idx="17">
                  <c:v>20955.707870014165</c:v>
                </c:pt>
                <c:pt idx="18">
                  <c:v>21904.691283512951</c:v>
                </c:pt>
                <c:pt idx="19">
                  <c:v>22918.727120929725</c:v>
                </c:pt>
                <c:pt idx="20">
                  <c:v>23885.272732426893</c:v>
                </c:pt>
                <c:pt idx="21">
                  <c:v>24782.347314356895</c:v>
                </c:pt>
                <c:pt idx="22">
                  <c:v>25240.062752253223</c:v>
                </c:pt>
                <c:pt idx="23">
                  <c:v>25122.049858007049</c:v>
                </c:pt>
                <c:pt idx="24">
                  <c:v>24681.846649559302</c:v>
                </c:pt>
                <c:pt idx="25">
                  <c:v>23466.280037594101</c:v>
                </c:pt>
                <c:pt idx="26">
                  <c:v>22201.271910583535</c:v>
                </c:pt>
                <c:pt idx="27">
                  <c:v>21426.60650923297</c:v>
                </c:pt>
                <c:pt idx="28">
                  <c:v>21561.782762771447</c:v>
                </c:pt>
                <c:pt idx="29">
                  <c:v>21753.146369474176</c:v>
                </c:pt>
              </c:numCache>
            </c:numRef>
          </c:val>
          <c:extLst>
            <c:ext xmlns:c16="http://schemas.microsoft.com/office/drawing/2014/chart" uri="{C3380CC4-5D6E-409C-BE32-E72D297353CC}">
              <c16:uniqueId val="{00000000-BFFA-49ED-B7DE-34D6DE34F95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Dashboard!$AQ$41:$AQ$70</c:f>
              <c:numCache>
                <c:formatCode>_(* #,##0.00_);_(* \(#,##0.00\);_(*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BFFA-49ED-B7DE-34D6DE34F95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Dashboard!$S$41:$S$70</c:f>
              <c:numCache>
                <c:formatCode>_-* #,##0_-;\-* #,##0_-;_-* "-"??_-;_-@_-</c:formatCode>
                <c:ptCount val="30"/>
                <c:pt idx="0">
                  <c:v>4744.5626748682453</c:v>
                </c:pt>
                <c:pt idx="1">
                  <c:v>5279.6</c:v>
                </c:pt>
                <c:pt idx="2">
                  <c:v>6179.4270146455237</c:v>
                </c:pt>
                <c:pt idx="3">
                  <c:v>6339.3965743747085</c:v>
                </c:pt>
                <c:pt idx="4">
                  <c:v>7371.4191452118275</c:v>
                </c:pt>
                <c:pt idx="5">
                  <c:v>8802.7254148485081</c:v>
                </c:pt>
                <c:pt idx="6">
                  <c:v>10491.059593582275</c:v>
                </c:pt>
                <c:pt idx="7">
                  <c:v>12440.868806763941</c:v>
                </c:pt>
                <c:pt idx="8">
                  <c:v>14012.390674069144</c:v>
                </c:pt>
                <c:pt idx="9">
                  <c:v>14973.21165809153</c:v>
                </c:pt>
                <c:pt idx="10">
                  <c:v>15480.035631084085</c:v>
                </c:pt>
                <c:pt idx="11">
                  <c:v>15859.673383081794</c:v>
                </c:pt>
                <c:pt idx="12">
                  <c:v>16293.36711152498</c:v>
                </c:pt>
                <c:pt idx="13">
                  <c:v>16890.169972046238</c:v>
                </c:pt>
                <c:pt idx="14">
                  <c:v>17427.465071846429</c:v>
                </c:pt>
                <c:pt idx="15">
                  <c:v>18090.685339016687</c:v>
                </c:pt>
                <c:pt idx="16">
                  <c:v>19988.80451795302</c:v>
                </c:pt>
                <c:pt idx="17">
                  <c:v>20955.707870014165</c:v>
                </c:pt>
                <c:pt idx="18">
                  <c:v>21904.691283512951</c:v>
                </c:pt>
                <c:pt idx="19">
                  <c:v>22918.727120929725</c:v>
                </c:pt>
                <c:pt idx="20">
                  <c:v>23885.272732426893</c:v>
                </c:pt>
                <c:pt idx="21">
                  <c:v>24782.347314356895</c:v>
                </c:pt>
                <c:pt idx="22">
                  <c:v>25240.062752253223</c:v>
                </c:pt>
                <c:pt idx="23">
                  <c:v>25122.049858007049</c:v>
                </c:pt>
                <c:pt idx="24">
                  <c:v>24681.846649559302</c:v>
                </c:pt>
                <c:pt idx="25">
                  <c:v>23466.280037594101</c:v>
                </c:pt>
                <c:pt idx="26">
                  <c:v>22201.271910583535</c:v>
                </c:pt>
                <c:pt idx="27">
                  <c:v>21426.60650923297</c:v>
                </c:pt>
                <c:pt idx="28">
                  <c:v>21561.782762771447</c:v>
                </c:pt>
                <c:pt idx="29">
                  <c:v>21753.146369474176</c:v>
                </c:pt>
              </c:numCache>
            </c:numRef>
          </c:val>
          <c:smooth val="0"/>
          <c:extLst>
            <c:ext xmlns:c16="http://schemas.microsoft.com/office/drawing/2014/chart" uri="{C3380CC4-5D6E-409C-BE32-E72D297353CC}">
              <c16:uniqueId val="{00000002-BFFA-49ED-B7DE-34D6DE34F95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Removals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Dashboard!$AT$41:$AT$70</c:f>
              <c:numCache>
                <c:formatCode>_(* #,##0.00_);_(* \(#,##0.00\);_(* "-"??_);_(@_)</c:formatCode>
                <c:ptCount val="30"/>
                <c:pt idx="0">
                  <c:v>48.342810722989441</c:v>
                </c:pt>
                <c:pt idx="1">
                  <c:v>79.36486596263201</c:v>
                </c:pt>
                <c:pt idx="2">
                  <c:v>63</c:v>
                </c:pt>
                <c:pt idx="3">
                  <c:v>64.108000000000004</c:v>
                </c:pt>
                <c:pt idx="4">
                  <c:v>66.108041383999989</c:v>
                </c:pt>
                <c:pt idx="5">
                  <c:v>68.037074031585107</c:v>
                </c:pt>
                <c:pt idx="6">
                  <c:v>70.022395851826772</c:v>
                </c:pt>
                <c:pt idx="7">
                  <c:v>72.065649362783063</c:v>
                </c:pt>
                <c:pt idx="8">
                  <c:v>74.168525011189089</c:v>
                </c:pt>
                <c:pt idx="9">
                  <c:v>76.332762571015564</c:v>
                </c:pt>
                <c:pt idx="10">
                  <c:v>77.509050442234923</c:v>
                </c:pt>
                <c:pt idx="11">
                  <c:v>78.70346490954978</c:v>
                </c:pt>
                <c:pt idx="12">
                  <c:v>79.916285303805935</c:v>
                </c:pt>
                <c:pt idx="13">
                  <c:v>81.147795260337602</c:v>
                </c:pt>
                <c:pt idx="14">
                  <c:v>82.398282785299401</c:v>
                </c:pt>
                <c:pt idx="15">
                  <c:v>83.668040323020875</c:v>
                </c:pt>
                <c:pt idx="16">
                  <c:v>84.957364824398624</c:v>
                </c:pt>
                <c:pt idx="17">
                  <c:v>86.266557816342626</c:v>
                </c:pt>
                <c:pt idx="18">
                  <c:v>87.595925472292478</c:v>
                </c:pt>
                <c:pt idx="19">
                  <c:v>88.945778683820521</c:v>
                </c:pt>
                <c:pt idx="20">
                  <c:v>84.279306314685812</c:v>
                </c:pt>
                <c:pt idx="21">
                  <c:v>77.368403196881573</c:v>
                </c:pt>
                <c:pt idx="22">
                  <c:v>75.464818281686604</c:v>
                </c:pt>
                <c:pt idx="23">
                  <c:v>76.974114647320349</c:v>
                </c:pt>
                <c:pt idx="24">
                  <c:v>78.513596940266751</c:v>
                </c:pt>
                <c:pt idx="25">
                  <c:v>80.083868879072085</c:v>
                </c:pt>
                <c:pt idx="26">
                  <c:v>81.685546256653524</c:v>
                </c:pt>
                <c:pt idx="27">
                  <c:v>83.319257181786597</c:v>
                </c:pt>
                <c:pt idx="28">
                  <c:v>84.985642325422333</c:v>
                </c:pt>
                <c:pt idx="29">
                  <c:v>86.685355171930794</c:v>
                </c:pt>
              </c:numCache>
            </c:numRef>
          </c:val>
          <c:extLst>
            <c:ext xmlns:c16="http://schemas.microsoft.com/office/drawing/2014/chart" uri="{C3380CC4-5D6E-409C-BE32-E72D297353CC}">
              <c16:uniqueId val="{00000000-B3A9-4CE9-9526-E38369AB23A2}"/>
            </c:ext>
          </c:extLst>
        </c:ser>
        <c:ser>
          <c:idx val="1"/>
          <c:order val="1"/>
          <c:tx>
            <c:v>Range</c:v>
          </c:tx>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Dashboard!$AO$41:$AO$70</c:f>
              <c:numCache>
                <c:formatCode>_(* #,##0.00_);_(* \(#,##0.00\);_(* "-"??_);_(@_)</c:formatCode>
                <c:ptCount val="30"/>
                <c:pt idx="0">
                  <c:v>0</c:v>
                </c:pt>
                <c:pt idx="1">
                  <c:v>0</c:v>
                </c:pt>
                <c:pt idx="2">
                  <c:v>0</c:v>
                </c:pt>
                <c:pt idx="3">
                  <c:v>0</c:v>
                </c:pt>
                <c:pt idx="4">
                  <c:v>12.514009815999998</c:v>
                </c:pt>
                <c:pt idx="5">
                  <c:v>28.196316637214878</c:v>
                </c:pt>
                <c:pt idx="6">
                  <c:v>47.767274326784417</c:v>
                </c:pt>
                <c:pt idx="7">
                  <c:v>72.108906935837012</c:v>
                </c:pt>
                <c:pt idx="8">
                  <c:v>102.30113189832191</c:v>
                </c:pt>
                <c:pt idx="9">
                  <c:v>139.66609748622591</c:v>
                </c:pt>
                <c:pt idx="10">
                  <c:v>120.77790309031278</c:v>
                </c:pt>
                <c:pt idx="11">
                  <c:v>103.32395843332901</c:v>
                </c:pt>
                <c:pt idx="12">
                  <c:v>87.184889324956785</c:v>
                </c:pt>
                <c:pt idx="13">
                  <c:v>72.251083048866576</c:v>
                </c:pt>
                <c:pt idx="14">
                  <c:v>58.421887502550064</c:v>
                </c:pt>
                <c:pt idx="15">
                  <c:v>45.604876001224909</c:v>
                </c:pt>
                <c:pt idx="16">
                  <c:v>33.715172361259022</c:v>
                </c:pt>
                <c:pt idx="17">
                  <c:v>22.674831320091116</c:v>
                </c:pt>
                <c:pt idx="18">
                  <c:v>12.412269754953712</c:v>
                </c:pt>
                <c:pt idx="19">
                  <c:v>2.8617445347914838</c:v>
                </c:pt>
                <c:pt idx="20">
                  <c:v>6.9467314399495876</c:v>
                </c:pt>
                <c:pt idx="21">
                  <c:v>14.33980617104136</c:v>
                </c:pt>
                <c:pt idx="22">
                  <c:v>17.656614592596029</c:v>
                </c:pt>
                <c:pt idx="23">
                  <c:v>17.582319507554999</c:v>
                </c:pt>
                <c:pt idx="24">
                  <c:v>17.499951864935227</c:v>
                </c:pt>
                <c:pt idx="25">
                  <c:v>17.409248713218062</c:v>
                </c:pt>
                <c:pt idx="26">
                  <c:v>17.30994027773383</c:v>
                </c:pt>
                <c:pt idx="27">
                  <c:v>17.201749800095669</c:v>
                </c:pt>
                <c:pt idx="28">
                  <c:v>17.084393374050762</c:v>
                </c:pt>
                <c:pt idx="29">
                  <c:v>16.957579777671185</c:v>
                </c:pt>
              </c:numCache>
            </c:numRef>
          </c:val>
          <c:extLst>
            <c:ext xmlns:c16="http://schemas.microsoft.com/office/drawing/2014/chart" uri="{C3380CC4-5D6E-409C-BE32-E72D297353CC}">
              <c16:uniqueId val="{00000001-B3A9-4CE9-9526-E38369AB23A2}"/>
            </c:ext>
          </c:extLst>
        </c:ser>
        <c:dLbls>
          <c:showLegendKey val="0"/>
          <c:showVal val="0"/>
          <c:showCatName val="0"/>
          <c:showSerName val="0"/>
          <c:showPercent val="0"/>
          <c:showBubbleSize val="0"/>
        </c:dLbls>
        <c:axId val="394288255"/>
        <c:axId val="394289215"/>
      </c:areaChart>
      <c:lineChart>
        <c:grouping val="standard"/>
        <c:varyColors val="0"/>
        <c:ser>
          <c:idx val="2"/>
          <c:order val="2"/>
          <c:tx>
            <c:v>Central</c:v>
          </c:tx>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Dashboard!$I$41:$I$70</c:f>
              <c:numCache>
                <c:formatCode>_(* #,##0.00_);_(* \(#,##0.00\);_(* "-"??_);_(@_)</c:formatCode>
                <c:ptCount val="30"/>
                <c:pt idx="0">
                  <c:v>48.342810722989441</c:v>
                </c:pt>
                <c:pt idx="1">
                  <c:v>79.36486596263201</c:v>
                </c:pt>
                <c:pt idx="2">
                  <c:v>63</c:v>
                </c:pt>
                <c:pt idx="3">
                  <c:v>64.108000000000004</c:v>
                </c:pt>
                <c:pt idx="4">
                  <c:v>68.728776424000003</c:v>
                </c:pt>
                <c:pt idx="5">
                  <c:v>73.538416198151509</c:v>
                </c:pt>
                <c:pt idx="6">
                  <c:v>78.684634563698154</c:v>
                </c:pt>
                <c:pt idx="7">
                  <c:v>84.190985290465747</c:v>
                </c:pt>
                <c:pt idx="8">
                  <c:v>90.082670441092546</c:v>
                </c:pt>
                <c:pt idx="9">
                  <c:v>96.386655718560206</c:v>
                </c:pt>
                <c:pt idx="10">
                  <c:v>95.905686306524601</c:v>
                </c:pt>
                <c:pt idx="11">
                  <c:v>95.427116931855053</c:v>
                </c:pt>
                <c:pt idx="12">
                  <c:v>94.950935618365079</c:v>
                </c:pt>
                <c:pt idx="13">
                  <c:v>94.477130449629442</c:v>
                </c:pt>
                <c:pt idx="14">
                  <c:v>94.005689568685796</c:v>
                </c:pt>
                <c:pt idx="15">
                  <c:v>93.536601177738063</c:v>
                </c:pt>
                <c:pt idx="16">
                  <c:v>93.069853537861164</c:v>
                </c:pt>
                <c:pt idx="17">
                  <c:v>92.605434968707257</c:v>
                </c:pt>
                <c:pt idx="18">
                  <c:v>92.143333848213402</c:v>
                </c:pt>
                <c:pt idx="19">
                  <c:v>91.683538612310826</c:v>
                </c:pt>
                <c:pt idx="20">
                  <c:v>91.226037754635399</c:v>
                </c:pt>
                <c:pt idx="21">
                  <c:v>90.770819826239759</c:v>
                </c:pt>
                <c:pt idx="22">
                  <c:v>90.317873435306836</c:v>
                </c:pt>
                <c:pt idx="23">
                  <c:v>89.867187246864674</c:v>
                </c:pt>
                <c:pt idx="24">
                  <c:v>89.418749982502803</c:v>
                </c:pt>
                <c:pt idx="25">
                  <c:v>88.97255042009013</c:v>
                </c:pt>
                <c:pt idx="26">
                  <c:v>88.52857739349389</c:v>
                </c:pt>
                <c:pt idx="27">
                  <c:v>88.086819792300361</c:v>
                </c:pt>
                <c:pt idx="28">
                  <c:v>87.647266561536782</c:v>
                </c:pt>
                <c:pt idx="29">
                  <c:v>87.209906701394729</c:v>
                </c:pt>
              </c:numCache>
            </c:numRef>
          </c:val>
          <c:smooth val="0"/>
          <c:extLst>
            <c:ext xmlns:c16="http://schemas.microsoft.com/office/drawing/2014/chart" uri="{C3380CC4-5D6E-409C-BE32-E72D297353CC}">
              <c16:uniqueId val="{00000002-B3A9-4CE9-9526-E38369AB23A2}"/>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per NZU (nominal)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Stockpile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Dashboard!$AW$41:$AW$70</c:f>
              <c:numCache>
                <c:formatCode>_-* #,##0_-;\-* #,##0_-;_-* "-"??_-;_-@_-</c:formatCode>
                <c:ptCount val="30"/>
                <c:pt idx="0">
                  <c:v>97811.724801804259</c:v>
                </c:pt>
                <c:pt idx="1">
                  <c:v>140057.45894631479</c:v>
                </c:pt>
                <c:pt idx="2">
                  <c:v>159900</c:v>
                </c:pt>
                <c:pt idx="3">
                  <c:v>150400</c:v>
                </c:pt>
                <c:pt idx="4">
                  <c:v>111557.80641012333</c:v>
                </c:pt>
                <c:pt idx="5">
                  <c:v>94963.645044826175</c:v>
                </c:pt>
                <c:pt idx="6">
                  <c:v>82525.453404578948</c:v>
                </c:pt>
                <c:pt idx="7">
                  <c:v>72901.724664759138</c:v>
                </c:pt>
                <c:pt idx="8">
                  <c:v>65152.549246685783</c:v>
                </c:pt>
                <c:pt idx="9">
                  <c:v>61110.995965071168</c:v>
                </c:pt>
                <c:pt idx="10">
                  <c:v>59089.886157435758</c:v>
                </c:pt>
                <c:pt idx="11">
                  <c:v>59160.470084039902</c:v>
                </c:pt>
                <c:pt idx="12">
                  <c:v>61582.100246396847</c:v>
                </c:pt>
                <c:pt idx="13">
                  <c:v>63248.108166152961</c:v>
                </c:pt>
                <c:pt idx="14">
                  <c:v>66062.664048768958</c:v>
                </c:pt>
                <c:pt idx="15">
                  <c:v>69145.655667334024</c:v>
                </c:pt>
                <c:pt idx="16">
                  <c:v>72690.548269660343</c:v>
                </c:pt>
                <c:pt idx="17">
                  <c:v>72437.16743979053</c:v>
                </c:pt>
                <c:pt idx="18">
                  <c:v>66860.111063654724</c:v>
                </c:pt>
                <c:pt idx="19">
                  <c:v>58898.475539463187</c:v>
                </c:pt>
                <c:pt idx="20">
                  <c:v>55671.606936145028</c:v>
                </c:pt>
                <c:pt idx="21">
                  <c:v>52590.867991827625</c:v>
                </c:pt>
                <c:pt idx="22">
                  <c:v>50735.282360753961</c:v>
                </c:pt>
                <c:pt idx="23">
                  <c:v>50153.744625884399</c:v>
                </c:pt>
                <c:pt idx="24">
                  <c:v>50158.101829009589</c:v>
                </c:pt>
                <c:pt idx="25">
                  <c:v>49523.329488719282</c:v>
                </c:pt>
                <c:pt idx="26">
                  <c:v>46391.733406510553</c:v>
                </c:pt>
                <c:pt idx="27">
                  <c:v>43146.218539805777</c:v>
                </c:pt>
                <c:pt idx="28">
                  <c:v>38535.2193101792</c:v>
                </c:pt>
                <c:pt idx="29">
                  <c:v>33712.541091101069</c:v>
                </c:pt>
              </c:numCache>
            </c:numRef>
          </c:val>
          <c:extLst>
            <c:ext xmlns:c16="http://schemas.microsoft.com/office/drawing/2014/chart" uri="{C3380CC4-5D6E-409C-BE32-E72D297353CC}">
              <c16:uniqueId val="{00000000-E233-4F70-AC23-4A4D4B82FA2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Dashboard!$AR$41:$AR$70</c:f>
              <c:numCache>
                <c:formatCode>_(* #,##0.00_);_(* \(#,##0.00\);_(* "-"??_);_(@_)</c:formatCode>
                <c:ptCount val="30"/>
                <c:pt idx="0">
                  <c:v>0</c:v>
                </c:pt>
                <c:pt idx="1">
                  <c:v>0</c:v>
                </c:pt>
                <c:pt idx="2">
                  <c:v>0</c:v>
                </c:pt>
                <c:pt idx="3">
                  <c:v>0</c:v>
                </c:pt>
                <c:pt idx="4">
                  <c:v>5740.2815761293459</c:v>
                </c:pt>
                <c:pt idx="5">
                  <c:v>10242.747996439444</c:v>
                </c:pt>
                <c:pt idx="6">
                  <c:v>13349.339819476023</c:v>
                </c:pt>
                <c:pt idx="7">
                  <c:v>12400.888051727612</c:v>
                </c:pt>
                <c:pt idx="8">
                  <c:v>11570.601130806637</c:v>
                </c:pt>
                <c:pt idx="9">
                  <c:v>9649.8368571033352</c:v>
                </c:pt>
                <c:pt idx="10">
                  <c:v>11455.590782942003</c:v>
                </c:pt>
                <c:pt idx="11">
                  <c:v>12474.475292114294</c:v>
                </c:pt>
                <c:pt idx="12">
                  <c:v>9934.8971385412588</c:v>
                </c:pt>
                <c:pt idx="13">
                  <c:v>11279.599425513385</c:v>
                </c:pt>
                <c:pt idx="14">
                  <c:v>11768.453646060399</c:v>
                </c:pt>
                <c:pt idx="15">
                  <c:v>9514.9138574918761</c:v>
                </c:pt>
                <c:pt idx="16">
                  <c:v>11707.780377105286</c:v>
                </c:pt>
                <c:pt idx="17">
                  <c:v>16780.159134870308</c:v>
                </c:pt>
                <c:pt idx="18">
                  <c:v>22440.185331207686</c:v>
                </c:pt>
                <c:pt idx="19">
                  <c:v>27477.824353311873</c:v>
                </c:pt>
                <c:pt idx="20">
                  <c:v>31814.703935750957</c:v>
                </c:pt>
                <c:pt idx="21">
                  <c:v>35960.624301283773</c:v>
                </c:pt>
                <c:pt idx="22">
                  <c:v>40052.432949462876</c:v>
                </c:pt>
                <c:pt idx="23">
                  <c:v>44165.513344324558</c:v>
                </c:pt>
                <c:pt idx="24">
                  <c:v>48535.622204405845</c:v>
                </c:pt>
                <c:pt idx="25">
                  <c:v>53089.345471365312</c:v>
                </c:pt>
                <c:pt idx="26">
                  <c:v>57852.937013782881</c:v>
                </c:pt>
                <c:pt idx="27">
                  <c:v>62468.822486843535</c:v>
                </c:pt>
                <c:pt idx="28">
                  <c:v>66983.682154311624</c:v>
                </c:pt>
                <c:pt idx="29">
                  <c:v>71206.129528148522</c:v>
                </c:pt>
              </c:numCache>
            </c:numRef>
          </c:val>
          <c:extLst>
            <c:ext xmlns:c16="http://schemas.microsoft.com/office/drawing/2014/chart" uri="{C3380CC4-5D6E-409C-BE32-E72D297353CC}">
              <c16:uniqueId val="{00000001-E233-4F70-AC23-4A4D4B82FA2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Dashboard!$Y$41:$Y$70</c:f>
              <c:numCache>
                <c:formatCode>_-* #,##0_-;\-* #,##0_-;_-* "-"??_-;_-@_-</c:formatCode>
                <c:ptCount val="30"/>
                <c:pt idx="0">
                  <c:v>97811.724801804259</c:v>
                </c:pt>
                <c:pt idx="1">
                  <c:v>140057.45894631479</c:v>
                </c:pt>
                <c:pt idx="2">
                  <c:v>159900</c:v>
                </c:pt>
                <c:pt idx="3">
                  <c:v>150400</c:v>
                </c:pt>
                <c:pt idx="4">
                  <c:v>117074.64069508581</c:v>
                </c:pt>
                <c:pt idx="5">
                  <c:v>104461.96821205776</c:v>
                </c:pt>
                <c:pt idx="6">
                  <c:v>94319.546518362476</c:v>
                </c:pt>
                <c:pt idx="7">
                  <c:v>85302.61271648675</c:v>
                </c:pt>
                <c:pt idx="8">
                  <c:v>76723.15037749242</c:v>
                </c:pt>
                <c:pt idx="9">
                  <c:v>70760.832822174503</c:v>
                </c:pt>
                <c:pt idx="10">
                  <c:v>70545.476940377761</c:v>
                </c:pt>
                <c:pt idx="11">
                  <c:v>71634.945376154195</c:v>
                </c:pt>
                <c:pt idx="12">
                  <c:v>70212.430235663618</c:v>
                </c:pt>
                <c:pt idx="13">
                  <c:v>70358.720514360844</c:v>
                </c:pt>
                <c:pt idx="14">
                  <c:v>71645.022765327449</c:v>
                </c:pt>
                <c:pt idx="15">
                  <c:v>73196.604678079515</c:v>
                </c:pt>
                <c:pt idx="16">
                  <c:v>75210.373270677592</c:v>
                </c:pt>
                <c:pt idx="17">
                  <c:v>75588.398412589886</c:v>
                </c:pt>
                <c:pt idx="18">
                  <c:v>71214.446379833491</c:v>
                </c:pt>
                <c:pt idx="19">
                  <c:v>63820.966572417208</c:v>
                </c:pt>
                <c:pt idx="20">
                  <c:v>60451.80839759142</c:v>
                </c:pt>
                <c:pt idx="21">
                  <c:v>57030.862726309613</c:v>
                </c:pt>
                <c:pt idx="22">
                  <c:v>54776.644271227604</c:v>
                </c:pt>
                <c:pt idx="23">
                  <c:v>53816.038673606992</c:v>
                </c:pt>
                <c:pt idx="24">
                  <c:v>53699.257035096627</c:v>
                </c:pt>
                <c:pt idx="25">
                  <c:v>53130.493559979426</c:v>
                </c:pt>
                <c:pt idx="26">
                  <c:v>50280.984057564514</c:v>
                </c:pt>
                <c:pt idx="27">
                  <c:v>47178.790966878412</c:v>
                </c:pt>
                <c:pt idx="28">
                  <c:v>42621.824592330013</c:v>
                </c:pt>
                <c:pt idx="29">
                  <c:v>37575.368275598754</c:v>
                </c:pt>
              </c:numCache>
            </c:numRef>
          </c:val>
          <c:smooth val="0"/>
          <c:extLst>
            <c:ext xmlns:c16="http://schemas.microsoft.com/office/drawing/2014/chart" uri="{C3380CC4-5D6E-409C-BE32-E72D297353CC}">
              <c16:uniqueId val="{00000002-E233-4F70-AC23-4A4D4B82FA2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NZUs (millions)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Sector Gross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Dashboard!$AU$41:$AU$70</c:f>
              <c:numCache>
                <c:formatCode>_-* #,##0_-;\-* #,##0_-;_-* "-"??_-;_-@_-</c:formatCode>
                <c:ptCount val="30"/>
                <c:pt idx="0">
                  <c:v>39092.769</c:v>
                </c:pt>
                <c:pt idx="1">
                  <c:v>34302.540724803417</c:v>
                </c:pt>
                <c:pt idx="2">
                  <c:v>34062.453712507799</c:v>
                </c:pt>
                <c:pt idx="3">
                  <c:v>34412.842896588416</c:v>
                </c:pt>
                <c:pt idx="4">
                  <c:v>33035.646140715333</c:v>
                </c:pt>
                <c:pt idx="5">
                  <c:v>30820.52600400148</c:v>
                </c:pt>
                <c:pt idx="6">
                  <c:v>29771.674542078141</c:v>
                </c:pt>
                <c:pt idx="7">
                  <c:v>27356.300370388286</c:v>
                </c:pt>
                <c:pt idx="8">
                  <c:v>26387.860537755441</c:v>
                </c:pt>
                <c:pt idx="9">
                  <c:v>24735.042262679297</c:v>
                </c:pt>
                <c:pt idx="10">
                  <c:v>24145.758882674705</c:v>
                </c:pt>
                <c:pt idx="11">
                  <c:v>23486.498140803193</c:v>
                </c:pt>
                <c:pt idx="12">
                  <c:v>22904.910523020335</c:v>
                </c:pt>
                <c:pt idx="13">
                  <c:v>22413.149175706349</c:v>
                </c:pt>
                <c:pt idx="14">
                  <c:v>22101.506814390406</c:v>
                </c:pt>
                <c:pt idx="15">
                  <c:v>21584.638421123123</c:v>
                </c:pt>
                <c:pt idx="16">
                  <c:v>21450.429884230747</c:v>
                </c:pt>
                <c:pt idx="17">
                  <c:v>21092.494786031311</c:v>
                </c:pt>
                <c:pt idx="18">
                  <c:v>20896.614468756074</c:v>
                </c:pt>
                <c:pt idx="19">
                  <c:v>20435.662307036102</c:v>
                </c:pt>
                <c:pt idx="20">
                  <c:v>20205.820598788654</c:v>
                </c:pt>
                <c:pt idx="21">
                  <c:v>20043.178105994204</c:v>
                </c:pt>
                <c:pt idx="22">
                  <c:v>19738.6235962303</c:v>
                </c:pt>
                <c:pt idx="23">
                  <c:v>19445.863487134477</c:v>
                </c:pt>
                <c:pt idx="24">
                  <c:v>19081.727105418191</c:v>
                </c:pt>
                <c:pt idx="25">
                  <c:v>18866.231012889282</c:v>
                </c:pt>
                <c:pt idx="26">
                  <c:v>18567.143194236549</c:v>
                </c:pt>
                <c:pt idx="27">
                  <c:v>18337.185343761696</c:v>
                </c:pt>
                <c:pt idx="28">
                  <c:v>18058.680937887242</c:v>
                </c:pt>
                <c:pt idx="29">
                  <c:v>17825.185694702392</c:v>
                </c:pt>
              </c:numCache>
            </c:numRef>
          </c:val>
          <c:extLst>
            <c:ext xmlns:c16="http://schemas.microsoft.com/office/drawing/2014/chart" uri="{C3380CC4-5D6E-409C-BE32-E72D297353CC}">
              <c16:uniqueId val="{00000000-47C9-492C-886C-824368E0D39A}"/>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Dashboard!$AP$41:$AP$70</c:f>
              <c:numCache>
                <c:formatCode>_(* #,##0.00_);_(* \(#,##0.00\);_(* "-"??_);_(@_)</c:formatCode>
                <c:ptCount val="30"/>
                <c:pt idx="0">
                  <c:v>0</c:v>
                </c:pt>
                <c:pt idx="1">
                  <c:v>0</c:v>
                </c:pt>
                <c:pt idx="2">
                  <c:v>0</c:v>
                </c:pt>
                <c:pt idx="3">
                  <c:v>0</c:v>
                </c:pt>
                <c:pt idx="4">
                  <c:v>750.50431714914885</c:v>
                </c:pt>
                <c:pt idx="5">
                  <c:v>1740.3795459111097</c:v>
                </c:pt>
                <c:pt idx="6">
                  <c:v>2729.5152680237989</c:v>
                </c:pt>
                <c:pt idx="7">
                  <c:v>3565.9181948699552</c:v>
                </c:pt>
                <c:pt idx="8">
                  <c:v>4204.9154858033398</c:v>
                </c:pt>
                <c:pt idx="9">
                  <c:v>4666.0656121585744</c:v>
                </c:pt>
                <c:pt idx="10">
                  <c:v>4992.5856623262152</c:v>
                </c:pt>
                <c:pt idx="11">
                  <c:v>5219.065356480005</c:v>
                </c:pt>
                <c:pt idx="12">
                  <c:v>5374.5642831747464</c:v>
                </c:pt>
                <c:pt idx="13">
                  <c:v>5480.6661536921783</c:v>
                </c:pt>
                <c:pt idx="14">
                  <c:v>5552.6169849947109</c:v>
                </c:pt>
                <c:pt idx="15">
                  <c:v>5600.7688752797731</c:v>
                </c:pt>
                <c:pt idx="16">
                  <c:v>5631.9873850343938</c:v>
                </c:pt>
                <c:pt idx="17">
                  <c:v>5650.7651425999138</c:v>
                </c:pt>
                <c:pt idx="18">
                  <c:v>5660.0261963373741</c:v>
                </c:pt>
                <c:pt idx="19">
                  <c:v>5661.6797005264452</c:v>
                </c:pt>
                <c:pt idx="20">
                  <c:v>5656.9902876225533</c:v>
                </c:pt>
                <c:pt idx="21">
                  <c:v>5646.820853892772</c:v>
                </c:pt>
                <c:pt idx="22">
                  <c:v>5631.7887571369683</c:v>
                </c:pt>
                <c:pt idx="23">
                  <c:v>5613.284166685924</c:v>
                </c:pt>
                <c:pt idx="24">
                  <c:v>5592.788366902314</c:v>
                </c:pt>
                <c:pt idx="25">
                  <c:v>5571.1582825962687</c:v>
                </c:pt>
                <c:pt idx="26">
                  <c:v>5548.8946717223007</c:v>
                </c:pt>
                <c:pt idx="27">
                  <c:v>5526.2919503597332</c:v>
                </c:pt>
                <c:pt idx="28">
                  <c:v>5503.5238557887642</c:v>
                </c:pt>
                <c:pt idx="29">
                  <c:v>5480.6931310526707</c:v>
                </c:pt>
              </c:numCache>
            </c:numRef>
          </c:val>
          <c:extLst>
            <c:ext xmlns:c16="http://schemas.microsoft.com/office/drawing/2014/chart" uri="{C3380CC4-5D6E-409C-BE32-E72D297353CC}">
              <c16:uniqueId val="{00000001-47C9-492C-886C-824368E0D39A}"/>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Dashboard!$N$41:$N$70</c:f>
              <c:numCache>
                <c:formatCode>_-* #,##0_-;\-* #,##0_-;_-* "-"??_-;_-@_-</c:formatCode>
                <c:ptCount val="30"/>
                <c:pt idx="0">
                  <c:v>39092.769</c:v>
                </c:pt>
                <c:pt idx="1">
                  <c:v>34302.540724803417</c:v>
                </c:pt>
                <c:pt idx="2">
                  <c:v>34062.453712507799</c:v>
                </c:pt>
                <c:pt idx="3">
                  <c:v>34412.842896588416</c:v>
                </c:pt>
                <c:pt idx="4">
                  <c:v>33518.811855752872</c:v>
                </c:pt>
                <c:pt idx="5">
                  <c:v>32039.037121732359</c:v>
                </c:pt>
                <c:pt idx="6">
                  <c:v>31775.904595526205</c:v>
                </c:pt>
                <c:pt idx="7">
                  <c:v>30049.505432444199</c:v>
                </c:pt>
                <c:pt idx="8">
                  <c:v>29618.14745867642</c:v>
                </c:pt>
                <c:pt idx="9">
                  <c:v>28355.806536382588</c:v>
                </c:pt>
                <c:pt idx="10">
                  <c:v>28040.004956836041</c:v>
                </c:pt>
                <c:pt idx="11">
                  <c:v>27567.613631630895</c:v>
                </c:pt>
                <c:pt idx="12">
                  <c:v>27112.335138373543</c:v>
                </c:pt>
                <c:pt idx="13">
                  <c:v>26705.92705709059</c:v>
                </c:pt>
                <c:pt idx="14">
                  <c:v>26452.468012727139</c:v>
                </c:pt>
                <c:pt idx="15">
                  <c:v>25975.939974035929</c:v>
                </c:pt>
                <c:pt idx="16">
                  <c:v>25870.395304446076</c:v>
                </c:pt>
                <c:pt idx="17">
                  <c:v>25533.467572014226</c:v>
                </c:pt>
                <c:pt idx="18">
                  <c:v>25353.53632171404</c:v>
                </c:pt>
                <c:pt idx="19">
                  <c:v>24905.145612365039</c:v>
                </c:pt>
                <c:pt idx="20">
                  <c:v>24684.989752735364</c:v>
                </c:pt>
                <c:pt idx="21">
                  <c:v>24529.30519849142</c:v>
                </c:pt>
                <c:pt idx="22">
                  <c:v>24229.06506841776</c:v>
                </c:pt>
                <c:pt idx="23">
                  <c:v>23938.0117447472</c:v>
                </c:pt>
                <c:pt idx="24">
                  <c:v>23572.974807135037</c:v>
                </c:pt>
                <c:pt idx="25">
                  <c:v>23353.945414675643</c:v>
                </c:pt>
                <c:pt idx="26">
                  <c:v>23048.648156860301</c:v>
                </c:pt>
                <c:pt idx="27">
                  <c:v>22809.749040803676</c:v>
                </c:pt>
                <c:pt idx="28">
                  <c:v>22519.507750277153</c:v>
                </c:pt>
                <c:pt idx="29">
                  <c:v>22271.411166192418</c:v>
                </c:pt>
              </c:numCache>
            </c:numRef>
          </c:val>
          <c:smooth val="0"/>
          <c:extLst>
            <c:ext xmlns:c16="http://schemas.microsoft.com/office/drawing/2014/chart" uri="{C3380CC4-5D6E-409C-BE32-E72D297353CC}">
              <c16:uniqueId val="{00000002-47C9-492C-886C-824368E0D39A}"/>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Net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Dashboard!$AX$41:$AX$70</c:f>
              <c:numCache>
                <c:formatCode>_-* #,##0_-;\-* #,##0_-;_-* "-"??_-;_-@_-</c:formatCode>
                <c:ptCount val="30"/>
                <c:pt idx="0">
                  <c:v>79111.603305692275</c:v>
                </c:pt>
                <c:pt idx="1">
                  <c:v>72743.887236956332</c:v>
                </c:pt>
                <c:pt idx="2">
                  <c:v>71227.336586108795</c:v>
                </c:pt>
                <c:pt idx="3">
                  <c:v>71147.765726277677</c:v>
                </c:pt>
                <c:pt idx="4">
                  <c:v>68790.856828645381</c:v>
                </c:pt>
                <c:pt idx="5">
                  <c:v>64663.638257523344</c:v>
                </c:pt>
                <c:pt idx="6">
                  <c:v>61752.323370993472</c:v>
                </c:pt>
                <c:pt idx="7">
                  <c:v>57419.398744424005</c:v>
                </c:pt>
                <c:pt idx="8">
                  <c:v>54747.851201358048</c:v>
                </c:pt>
                <c:pt idx="9">
                  <c:v>51944.930731090688</c:v>
                </c:pt>
                <c:pt idx="10">
                  <c:v>50140.356251718025</c:v>
                </c:pt>
                <c:pt idx="11">
                  <c:v>48498.945579993233</c:v>
                </c:pt>
                <c:pt idx="12">
                  <c:v>46555.195525166993</c:v>
                </c:pt>
                <c:pt idx="13">
                  <c:v>44471.894658884092</c:v>
                </c:pt>
                <c:pt idx="14">
                  <c:v>42469.318944228668</c:v>
                </c:pt>
                <c:pt idx="15">
                  <c:v>40525.147214173143</c:v>
                </c:pt>
                <c:pt idx="16">
                  <c:v>37230.855759815444</c:v>
                </c:pt>
                <c:pt idx="17">
                  <c:v>35216.530405428704</c:v>
                </c:pt>
                <c:pt idx="18">
                  <c:v>33420.353332936618</c:v>
                </c:pt>
                <c:pt idx="19">
                  <c:v>31283.546961155072</c:v>
                </c:pt>
                <c:pt idx="20">
                  <c:v>29694.822897009879</c:v>
                </c:pt>
                <c:pt idx="21">
                  <c:v>28239.500821008554</c:v>
                </c:pt>
                <c:pt idx="22">
                  <c:v>27231.55038522758</c:v>
                </c:pt>
                <c:pt idx="23">
                  <c:v>26822.773991883681</c:v>
                </c:pt>
                <c:pt idx="24">
                  <c:v>26577.948592354638</c:v>
                </c:pt>
                <c:pt idx="25">
                  <c:v>27335.473277608558</c:v>
                </c:pt>
                <c:pt idx="26">
                  <c:v>28058.020836378237</c:v>
                </c:pt>
                <c:pt idx="27">
                  <c:v>28387.298304779917</c:v>
                </c:pt>
                <c:pt idx="28">
                  <c:v>27767.658051772221</c:v>
                </c:pt>
                <c:pt idx="29">
                  <c:v>27209.042190538836</c:v>
                </c:pt>
              </c:numCache>
            </c:numRef>
          </c:val>
          <c:extLst>
            <c:ext xmlns:c16="http://schemas.microsoft.com/office/drawing/2014/chart" uri="{C3380CC4-5D6E-409C-BE32-E72D297353CC}">
              <c16:uniqueId val="{00000000-A27C-40BE-9A67-FB4DDB8FF08B}"/>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Dashboard!$AS$41:$AS$70</c:f>
              <c:numCache>
                <c:formatCode>_(* #,##0.00_);_(* \(#,##0.00\);_(* "-"??_);_(@_)</c:formatCode>
                <c:ptCount val="30"/>
                <c:pt idx="0">
                  <c:v>0</c:v>
                </c:pt>
                <c:pt idx="1">
                  <c:v>0</c:v>
                </c:pt>
                <c:pt idx="2">
                  <c:v>0</c:v>
                </c:pt>
                <c:pt idx="3">
                  <c:v>0</c:v>
                </c:pt>
                <c:pt idx="4">
                  <c:v>750.50431714914157</c:v>
                </c:pt>
                <c:pt idx="5">
                  <c:v>1740.3795459111134</c:v>
                </c:pt>
                <c:pt idx="6">
                  <c:v>2729.5152680237952</c:v>
                </c:pt>
                <c:pt idx="7">
                  <c:v>3565.9181948699552</c:v>
                </c:pt>
                <c:pt idx="8">
                  <c:v>4204.9154858033435</c:v>
                </c:pt>
                <c:pt idx="9">
                  <c:v>4666.065612158578</c:v>
                </c:pt>
                <c:pt idx="10">
                  <c:v>4992.5856623262225</c:v>
                </c:pt>
                <c:pt idx="11">
                  <c:v>5219.0653564800014</c:v>
                </c:pt>
                <c:pt idx="12">
                  <c:v>5374.5642831747391</c:v>
                </c:pt>
                <c:pt idx="13">
                  <c:v>5480.6661536921893</c:v>
                </c:pt>
                <c:pt idx="14">
                  <c:v>5552.6169849947182</c:v>
                </c:pt>
                <c:pt idx="15">
                  <c:v>5600.7688752797767</c:v>
                </c:pt>
                <c:pt idx="16">
                  <c:v>5631.9873850344011</c:v>
                </c:pt>
                <c:pt idx="17">
                  <c:v>5650.7651425999138</c:v>
                </c:pt>
                <c:pt idx="18">
                  <c:v>5660.0261963373778</c:v>
                </c:pt>
                <c:pt idx="19">
                  <c:v>5661.6797005264452</c:v>
                </c:pt>
                <c:pt idx="20">
                  <c:v>5656.9902876225533</c:v>
                </c:pt>
                <c:pt idx="21">
                  <c:v>5646.8208538927684</c:v>
                </c:pt>
                <c:pt idx="22">
                  <c:v>5631.7887571369647</c:v>
                </c:pt>
                <c:pt idx="23">
                  <c:v>5613.2841666859167</c:v>
                </c:pt>
                <c:pt idx="24">
                  <c:v>5592.788366902314</c:v>
                </c:pt>
                <c:pt idx="25">
                  <c:v>5571.1582825962687</c:v>
                </c:pt>
                <c:pt idx="26">
                  <c:v>5548.8946717223007</c:v>
                </c:pt>
                <c:pt idx="27">
                  <c:v>5526.2919503597404</c:v>
                </c:pt>
                <c:pt idx="28">
                  <c:v>5503.5238557887606</c:v>
                </c:pt>
                <c:pt idx="29">
                  <c:v>5480.6931310526707</c:v>
                </c:pt>
              </c:numCache>
            </c:numRef>
          </c:val>
          <c:extLst>
            <c:ext xmlns:c16="http://schemas.microsoft.com/office/drawing/2014/chart" uri="{C3380CC4-5D6E-409C-BE32-E72D297353CC}">
              <c16:uniqueId val="{00000001-A27C-40BE-9A67-FB4DDB8FF08B}"/>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Dashboard!$AL$41:$AL$70</c:f>
              <c:numCache>
                <c:formatCode>_-* #,##0_-;\-* #,##0_-;_-* "-"??_-;_-@_-</c:formatCode>
                <c:ptCount val="30"/>
                <c:pt idx="0">
                  <c:v>79111.603305692275</c:v>
                </c:pt>
                <c:pt idx="1">
                  <c:v>72743.887236956332</c:v>
                </c:pt>
                <c:pt idx="2">
                  <c:v>71227.336586108795</c:v>
                </c:pt>
                <c:pt idx="3">
                  <c:v>71147.765726277677</c:v>
                </c:pt>
                <c:pt idx="4">
                  <c:v>69274.022543682921</c:v>
                </c:pt>
                <c:pt idx="5">
                  <c:v>65882.14937525423</c:v>
                </c:pt>
                <c:pt idx="6">
                  <c:v>63756.553424441532</c:v>
                </c:pt>
                <c:pt idx="7">
                  <c:v>60112.603806479921</c:v>
                </c:pt>
                <c:pt idx="8">
                  <c:v>57978.138122279022</c:v>
                </c:pt>
                <c:pt idx="9">
                  <c:v>55565.695004793975</c:v>
                </c:pt>
                <c:pt idx="10">
                  <c:v>54034.602325879358</c:v>
                </c:pt>
                <c:pt idx="11">
                  <c:v>52580.061070820942</c:v>
                </c:pt>
                <c:pt idx="12">
                  <c:v>50762.620140520208</c:v>
                </c:pt>
                <c:pt idx="13">
                  <c:v>48764.672540268337</c:v>
                </c:pt>
                <c:pt idx="14">
                  <c:v>46820.280142565403</c:v>
                </c:pt>
                <c:pt idx="15">
                  <c:v>44916.448767085953</c:v>
                </c:pt>
                <c:pt idx="16">
                  <c:v>41650.821180030776</c:v>
                </c:pt>
                <c:pt idx="17">
                  <c:v>39657.503191411619</c:v>
                </c:pt>
                <c:pt idx="18">
                  <c:v>37877.275185894585</c:v>
                </c:pt>
                <c:pt idx="19">
                  <c:v>35753.030266484006</c:v>
                </c:pt>
                <c:pt idx="20">
                  <c:v>34173.992050956585</c:v>
                </c:pt>
                <c:pt idx="21">
                  <c:v>32725.627913505767</c:v>
                </c:pt>
                <c:pt idx="22">
                  <c:v>31721.991857415043</c:v>
                </c:pt>
                <c:pt idx="23">
                  <c:v>31314.922249496398</c:v>
                </c:pt>
                <c:pt idx="24">
                  <c:v>31069.196294071488</c:v>
                </c:pt>
                <c:pt idx="25">
                  <c:v>31823.18767939492</c:v>
                </c:pt>
                <c:pt idx="26">
                  <c:v>32539.525799001989</c:v>
                </c:pt>
                <c:pt idx="27">
                  <c:v>32859.862001821894</c:v>
                </c:pt>
                <c:pt idx="28">
                  <c:v>32228.484864162132</c:v>
                </c:pt>
                <c:pt idx="29">
                  <c:v>31655.267662028862</c:v>
                </c:pt>
              </c:numCache>
            </c:numRef>
          </c:val>
          <c:smooth val="0"/>
          <c:extLst>
            <c:ext xmlns:c16="http://schemas.microsoft.com/office/drawing/2014/chart" uri="{C3380CC4-5D6E-409C-BE32-E72D297353CC}">
              <c16:uniqueId val="{00000002-A27C-40BE-9A67-FB4DDB8FF08B}"/>
            </c:ext>
          </c:extLst>
        </c:ser>
        <c:ser>
          <c:idx val="3"/>
          <c:order val="3"/>
          <c:tx>
            <c:v>Demo path</c:v>
          </c:tx>
          <c:spPr>
            <a:ln w="28575" cap="rnd">
              <a:solidFill>
                <a:sysClr val="windowText" lastClr="000000"/>
              </a:solidFill>
              <a:prstDash val="sysDot"/>
              <a:round/>
            </a:ln>
            <a:effectLst/>
          </c:spPr>
          <c:marker>
            <c:symbol val="none"/>
          </c:marker>
          <c:val>
            <c:numRef>
              <c:f>Dashboard!$AZ$41:$AZ$55</c:f>
              <c:numCache>
                <c:formatCode>_-* #,##0_-;\-* #,##0_-;_-* "-"??_-;_-@_-</c:formatCode>
                <c:ptCount val="15"/>
                <c:pt idx="0">
                  <c:v>79111.603305692275</c:v>
                </c:pt>
                <c:pt idx="1">
                  <c:v>74930</c:v>
                </c:pt>
                <c:pt idx="2">
                  <c:v>73650</c:v>
                </c:pt>
                <c:pt idx="3">
                  <c:v>72122.053884700057</c:v>
                </c:pt>
                <c:pt idx="4">
                  <c:v>69700.308569491928</c:v>
                </c:pt>
                <c:pt idx="5">
                  <c:v>66526.613497394224</c:v>
                </c:pt>
                <c:pt idx="6">
                  <c:v>63857.721327852705</c:v>
                </c:pt>
                <c:pt idx="7">
                  <c:v>60703.389645464289</c:v>
                </c:pt>
                <c:pt idx="8">
                  <c:v>58295.868785954684</c:v>
                </c:pt>
                <c:pt idx="9">
                  <c:v>55377.138276367004</c:v>
                </c:pt>
                <c:pt idx="10">
                  <c:v>52848.969092993066</c:v>
                </c:pt>
                <c:pt idx="11">
                  <c:v>50431.497938212779</c:v>
                </c:pt>
                <c:pt idx="12">
                  <c:v>48032.97224724172</c:v>
                </c:pt>
                <c:pt idx="13">
                  <c:v>45710.434732651433</c:v>
                </c:pt>
                <c:pt idx="14">
                  <c:v>43236.865732369064</c:v>
                </c:pt>
              </c:numCache>
            </c:numRef>
          </c:val>
          <c:smooth val="0"/>
          <c:extLst>
            <c:ext xmlns:c16="http://schemas.microsoft.com/office/drawing/2014/chart" uri="{C3380CC4-5D6E-409C-BE32-E72D297353CC}">
              <c16:uniqueId val="{00000003-A27C-40BE-9A67-FB4DDB8FF08B}"/>
            </c:ext>
          </c:extLst>
        </c:ser>
        <c:ser>
          <c:idx val="4"/>
          <c:order val="4"/>
          <c:tx>
            <c:v>NDC</c:v>
          </c:tx>
          <c:spPr>
            <a:ln w="28575" cap="rnd">
              <a:solidFill>
                <a:sysClr val="windowText" lastClr="000000"/>
              </a:solidFill>
              <a:prstDash val="lgDash"/>
              <a:round/>
            </a:ln>
            <a:effectLst/>
          </c:spPr>
          <c:marker>
            <c:symbol val="none"/>
          </c:marker>
          <c:val>
            <c:numRef>
              <c:f>Dashboard!$BP$41:$BP$50</c:f>
              <c:numCache>
                <c:formatCode>#,##0</c:formatCode>
                <c:ptCount val="10"/>
                <c:pt idx="0">
                  <c:v>73907</c:v>
                </c:pt>
                <c:pt idx="1">
                  <c:v>70507</c:v>
                </c:pt>
                <c:pt idx="2">
                  <c:v>67107</c:v>
                </c:pt>
                <c:pt idx="3">
                  <c:v>63707</c:v>
                </c:pt>
                <c:pt idx="4">
                  <c:v>60307</c:v>
                </c:pt>
                <c:pt idx="5">
                  <c:v>56907</c:v>
                </c:pt>
                <c:pt idx="6">
                  <c:v>53507</c:v>
                </c:pt>
                <c:pt idx="7">
                  <c:v>50108</c:v>
                </c:pt>
                <c:pt idx="8">
                  <c:v>46708</c:v>
                </c:pt>
                <c:pt idx="9">
                  <c:v>43308</c:v>
                </c:pt>
              </c:numCache>
            </c:numRef>
          </c:val>
          <c:smooth val="0"/>
          <c:extLst>
            <c:ext xmlns:c16="http://schemas.microsoft.com/office/drawing/2014/chart" uri="{C3380CC4-5D6E-409C-BE32-E72D297353CC}">
              <c16:uniqueId val="{00000000-7C81-403B-8923-B768C6890F37}"/>
            </c:ext>
          </c:extLst>
        </c:ser>
        <c:ser>
          <c:idx val="5"/>
          <c:order val="5"/>
          <c:tx>
            <c:v>Net Zero target</c:v>
          </c:tx>
          <c:spPr>
            <a:ln w="28575" cap="rnd">
              <a:noFill/>
              <a:round/>
            </a:ln>
            <a:effectLst/>
          </c:spPr>
          <c:marker>
            <c:symbol val="none"/>
          </c:marker>
          <c:dPt>
            <c:idx val="29"/>
            <c:marker>
              <c:symbol val="x"/>
              <c:size val="10"/>
              <c:spPr>
                <a:noFill/>
                <a:ln w="9525">
                  <a:solidFill>
                    <a:schemeClr val="accent6"/>
                  </a:solidFill>
                </a:ln>
                <a:effectLst/>
              </c:spPr>
            </c:marker>
            <c:bubble3D val="0"/>
            <c:extLst>
              <c:ext xmlns:c16="http://schemas.microsoft.com/office/drawing/2014/chart" uri="{C3380CC4-5D6E-409C-BE32-E72D297353CC}">
                <c16:uniqueId val="{00000002-7C81-403B-8923-B768C6890F37}"/>
              </c:ext>
            </c:extLst>
          </c:dPt>
          <c:val>
            <c:numRef>
              <c:f>Dashboard!$BQ$41:$BQ$70</c:f>
              <c:numCache>
                <c:formatCode>General</c:formatCode>
                <c:ptCount val="30"/>
                <c:pt idx="29" formatCode="_-* #,##0_-;\-* #,##0_-;_-* &quot;-&quot;??_-;_-@_-">
                  <c:v>28955.24</c:v>
                </c:pt>
              </c:numCache>
            </c:numRef>
          </c:val>
          <c:smooth val="0"/>
          <c:extLst>
            <c:ext xmlns:c16="http://schemas.microsoft.com/office/drawing/2014/chart" uri="{C3380CC4-5D6E-409C-BE32-E72D297353CC}">
              <c16:uniqueId val="{00000001-7C81-403B-8923-B768C6890F37}"/>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NZ" sz="1100" b="1"/>
              <a:t>Projected ETS Dynamics (central scenario)</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527374322821577"/>
          <c:y val="0.10847142162198221"/>
          <c:w val="0.80951640419947513"/>
          <c:h val="0.60188825057797779"/>
        </c:manualLayout>
      </c:layout>
      <c:areaChart>
        <c:grouping val="stacked"/>
        <c:varyColors val="0"/>
        <c:ser>
          <c:idx val="0"/>
          <c:order val="0"/>
          <c:tx>
            <c:strRef>
              <c:f>Dashboard!$BG$40</c:f>
              <c:strCache>
                <c:ptCount val="1"/>
                <c:pt idx="0">
                  <c:v>Industrial allocation</c:v>
                </c:pt>
              </c:strCache>
            </c:strRef>
          </c:tx>
          <c:spPr>
            <a:solidFill>
              <a:srgbClr val="1B556B"/>
            </a:solidFill>
            <a:ln>
              <a:solidFill>
                <a:srgbClr val="1B556B"/>
              </a:solid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Dashboard!$BG$41:$BG$70</c15:sqref>
                  </c15:fullRef>
                </c:ext>
              </c:extLst>
              <c:f>(Dashboard!$BG$44:$BG$68,Dashboard!$BG$70)</c:f>
              <c:numCache>
                <c:formatCode>General</c:formatCode>
                <c:ptCount val="26"/>
                <c:pt idx="0">
                  <c:v>5011.8116588021785</c:v>
                </c:pt>
                <c:pt idx="1">
                  <c:v>5186.1646310647311</c:v>
                </c:pt>
                <c:pt idx="2">
                  <c:v>4593.174890235935</c:v>
                </c:pt>
                <c:pt idx="3">
                  <c:v>4438.3437882456137</c:v>
                </c:pt>
                <c:pt idx="4">
                  <c:v>4098.1251000483962</c:v>
                </c:pt>
                <c:pt idx="5">
                  <c:v>4042.8539980580772</c:v>
                </c:pt>
                <c:pt idx="6">
                  <c:v>3987.5828960677554</c:v>
                </c:pt>
                <c:pt idx="7">
                  <c:v>3877.0406920871146</c:v>
                </c:pt>
                <c:pt idx="8">
                  <c:v>3766.4984881064738</c:v>
                </c:pt>
                <c:pt idx="9">
                  <c:v>3655.9562841258321</c:v>
                </c:pt>
                <c:pt idx="10">
                  <c:v>3545.4140801451908</c:v>
                </c:pt>
                <c:pt idx="11">
                  <c:v>3434.8718761645496</c:v>
                </c:pt>
                <c:pt idx="12">
                  <c:v>3324.3296721839083</c:v>
                </c:pt>
                <c:pt idx="13">
                  <c:v>3213.7874682032671</c:v>
                </c:pt>
                <c:pt idx="14">
                  <c:v>3103.2452642226249</c:v>
                </c:pt>
                <c:pt idx="15">
                  <c:v>2992.7030602419845</c:v>
                </c:pt>
                <c:pt idx="16">
                  <c:v>2882.1608562613428</c:v>
                </c:pt>
                <c:pt idx="17">
                  <c:v>2716.3475502903812</c:v>
                </c:pt>
                <c:pt idx="18">
                  <c:v>2550.5342443194199</c:v>
                </c:pt>
                <c:pt idx="19">
                  <c:v>2384.7209383484578</c:v>
                </c:pt>
                <c:pt idx="20">
                  <c:v>2218.9076323774957</c:v>
                </c:pt>
                <c:pt idx="21">
                  <c:v>2053.0943264065336</c:v>
                </c:pt>
                <c:pt idx="22">
                  <c:v>1887.2810204355719</c:v>
                </c:pt>
                <c:pt idx="23">
                  <c:v>1721.46771446461</c:v>
                </c:pt>
                <c:pt idx="24">
                  <c:v>1555.6544084936475</c:v>
                </c:pt>
                <c:pt idx="25">
                  <c:v>1224.0277965517241</c:v>
                </c:pt>
              </c:numCache>
            </c:numRef>
          </c:val>
          <c:extLst>
            <c:ext xmlns:c16="http://schemas.microsoft.com/office/drawing/2014/chart" uri="{C3380CC4-5D6E-409C-BE32-E72D297353CC}">
              <c16:uniqueId val="{00000001-ADF6-497C-B492-E748E5601986}"/>
            </c:ext>
          </c:extLst>
        </c:ser>
        <c:ser>
          <c:idx val="1"/>
          <c:order val="1"/>
          <c:tx>
            <c:strRef>
              <c:f>Dashboard!$BH$40</c:f>
              <c:strCache>
                <c:ptCount val="1"/>
                <c:pt idx="0">
                  <c:v>Auction</c:v>
                </c:pt>
              </c:strCache>
            </c:strRef>
          </c:tx>
          <c:spPr>
            <a:solidFill>
              <a:srgbClr val="2C7C99"/>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Dashboard!$BH$41:$BH$70</c15:sqref>
                  </c15:fullRef>
                </c:ext>
              </c:extLst>
              <c:f>(Dashboard!$BH$44:$BH$68,Dashboard!$BH$70)</c:f>
              <c:numCache>
                <c:formatCode>General</c:formatCode>
                <c:ptCount val="26"/>
                <c:pt idx="0">
                  <c:v>7000</c:v>
                </c:pt>
                <c:pt idx="1">
                  <c:v>6000</c:v>
                </c:pt>
                <c:pt idx="2">
                  <c:v>5200</c:v>
                </c:pt>
                <c:pt idx="3">
                  <c:v>4300</c:v>
                </c:pt>
                <c:pt idx="4">
                  <c:v>3300</c:v>
                </c:pt>
                <c:pt idx="5">
                  <c:v>2400</c:v>
                </c:pt>
                <c:pt idx="6">
                  <c:v>1700</c:v>
                </c:pt>
                <c:pt idx="7">
                  <c:v>5700</c:v>
                </c:pt>
                <c:pt idx="8">
                  <c:v>5100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ADF6-497C-B492-E748E5601986}"/>
            </c:ext>
          </c:extLst>
        </c:ser>
        <c:ser>
          <c:idx val="7"/>
          <c:order val="2"/>
          <c:tx>
            <c:strRef>
              <c:f>Dashboard!$BI$40</c:f>
              <c:strCache>
                <c:ptCount val="1"/>
                <c:pt idx="0">
                  <c:v>Liquid stockpile use</c:v>
                </c:pt>
              </c:strCache>
            </c:strRef>
          </c:tx>
          <c:spPr>
            <a:solidFill>
              <a:srgbClr val="2C9986"/>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Dashboard!$BI$41:$BI$70</c15:sqref>
                  </c15:fullRef>
                </c:ext>
              </c:extLst>
              <c:f>(Dashboard!$BI$44:$BI$68,Dashboard!$BI$70)</c:f>
              <c:numCache>
                <c:formatCode>General</c:formatCode>
                <c:ptCount val="26"/>
                <c:pt idx="0">
                  <c:v>15756.380238392794</c:v>
                </c:pt>
                <c:pt idx="1">
                  <c:v>14013.622912062683</c:v>
                </c:pt>
                <c:pt idx="2">
                  <c:v>11843.947724918669</c:v>
                </c:pt>
                <c:pt idx="3">
                  <c:v>10551.817965175831</c:v>
                </c:pt>
                <c:pt idx="4">
                  <c:v>8499.3551669894659</c:v>
                </c:pt>
                <c:pt idx="5">
                  <c:v>8006.4174567843784</c:v>
                </c:pt>
                <c:pt idx="6">
                  <c:v>2862.8387740689777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4-ADF6-497C-B492-E748E5601986}"/>
            </c:ext>
          </c:extLst>
        </c:ser>
        <c:ser>
          <c:idx val="12"/>
          <c:order val="3"/>
          <c:tx>
            <c:strRef>
              <c:f>Dashboard!$BJ$40:$BJ$41</c:f>
              <c:strCache>
                <c:ptCount val="2"/>
                <c:pt idx="0">
                  <c:v>Other stockpile use</c:v>
                </c:pt>
              </c:strCache>
            </c:strRef>
          </c:tx>
          <c:spPr>
            <a:solidFill>
              <a:srgbClr val="144050"/>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Dashboard!$BJ$41:$BJ$70</c15:sqref>
                  </c15:fullRef>
                </c:ext>
              </c:extLst>
              <c:f>(Dashboard!$BJ$44:$BJ$68,Dashboard!$BJ$70)</c:f>
              <c:numCache>
                <c:formatCode>General</c:formatCode>
                <c:ptCount val="26"/>
                <c:pt idx="0">
                  <c:v>0</c:v>
                </c:pt>
                <c:pt idx="1">
                  <c:v>0</c:v>
                </c:pt>
                <c:pt idx="2">
                  <c:v>0</c:v>
                </c:pt>
                <c:pt idx="3">
                  <c:v>0</c:v>
                </c:pt>
                <c:pt idx="4">
                  <c:v>0</c:v>
                </c:pt>
                <c:pt idx="5">
                  <c:v>0</c:v>
                </c:pt>
                <c:pt idx="6">
                  <c:v>4241.7638279454368</c:v>
                </c:pt>
                <c:pt idx="7">
                  <c:v>2734.2320641222541</c:v>
                </c:pt>
                <c:pt idx="8">
                  <c:v>2713.8159322571119</c:v>
                </c:pt>
                <c:pt idx="9">
                  <c:v>6876.6419177073112</c:v>
                </c:pt>
                <c:pt idx="10">
                  <c:v>5795.5328040375898</c:v>
                </c:pt>
                <c:pt idx="11">
                  <c:v>5253.5372031103871</c:v>
                </c:pt>
                <c:pt idx="12">
                  <c:v>4704.1434476964459</c:v>
                </c:pt>
                <c:pt idx="13">
                  <c:v>4464.0405107551633</c:v>
                </c:pt>
                <c:pt idx="14">
                  <c:v>5308.0678307989256</c:v>
                </c:pt>
                <c:pt idx="15">
                  <c:v>6419.4475231118158</c:v>
                </c:pt>
                <c:pt idx="16">
                  <c:v>6786.4565002267627</c:v>
                </c:pt>
                <c:pt idx="17">
                  <c:v>6621.1218808485683</c:v>
                </c:pt>
                <c:pt idx="18">
                  <c:v>6464.0834899403526</c:v>
                </c:pt>
                <c:pt idx="19">
                  <c:v>6183.6283031093881</c:v>
                </c:pt>
                <c:pt idx="20">
                  <c:v>5959.9489224339814</c:v>
                </c:pt>
                <c:pt idx="21">
                  <c:v>5638.0507504828383</c:v>
                </c:pt>
                <c:pt idx="22">
                  <c:v>5451.3823360179522</c:v>
                </c:pt>
                <c:pt idx="23">
                  <c:v>5165.4796639653068</c:v>
                </c:pt>
                <c:pt idx="24">
                  <c:v>4959.768898697479</c:v>
                </c:pt>
                <c:pt idx="25">
                  <c:v>4462.6522217728452</c:v>
                </c:pt>
              </c:numCache>
            </c:numRef>
          </c:val>
          <c:extLst>
            <c:ext xmlns:c16="http://schemas.microsoft.com/office/drawing/2014/chart" uri="{C3380CC4-5D6E-409C-BE32-E72D297353CC}">
              <c16:uniqueId val="{00000005-ADF6-497C-B492-E748E5601986}"/>
            </c:ext>
          </c:extLst>
        </c:ser>
        <c:ser>
          <c:idx val="4"/>
          <c:order val="4"/>
          <c:tx>
            <c:strRef>
              <c:f>Dashboard!$BK$40</c:f>
              <c:strCache>
                <c:ptCount val="1"/>
                <c:pt idx="0">
                  <c:v>Expected forestry supply</c:v>
                </c:pt>
              </c:strCache>
            </c:strRef>
          </c:tx>
          <c:spPr>
            <a:solidFill>
              <a:schemeClr val="accent3">
                <a:lumMod val="60000"/>
                <a:lumOff val="4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Dashboard!$BK$41:$BK$70</c15:sqref>
                  </c15:fullRef>
                </c:ext>
              </c:extLst>
              <c:f>(Dashboard!$BK$44:$BK$68,Dashboard!$BK$70)</c:f>
              <c:numCache>
                <c:formatCode>General</c:formatCode>
                <c:ptCount val="26"/>
                <c:pt idx="0">
                  <c:v>6644.6509993934487</c:v>
                </c:pt>
                <c:pt idx="1">
                  <c:v>8319.0243126254554</c:v>
                </c:pt>
                <c:pt idx="2">
                  <c:v>10401.914506577756</c:v>
                </c:pt>
                <c:pt idx="3">
                  <c:v>12485.742842104759</c:v>
                </c:pt>
                <c:pt idx="4">
                  <c:v>14152.025165406336</c:v>
                </c:pt>
                <c:pt idx="5">
                  <c:v>15168.876003833966</c:v>
                </c:pt>
                <c:pt idx="6">
                  <c:v>15563.621038300418</c:v>
                </c:pt>
                <c:pt idx="7">
                  <c:v>15728.732200626675</c:v>
                </c:pt>
                <c:pt idx="8">
                  <c:v>15987.299211267309</c:v>
                </c:pt>
                <c:pt idx="9">
                  <c:v>16579.736936540397</c:v>
                </c:pt>
                <c:pt idx="10">
                  <c:v>17364.98017290781</c:v>
                </c:pt>
                <c:pt idx="11">
                  <c:v>17764.058933452201</c:v>
                </c:pt>
                <c:pt idx="12">
                  <c:v>17947.466854155577</c:v>
                </c:pt>
                <c:pt idx="13">
                  <c:v>18192.567325487646</c:v>
                </c:pt>
                <c:pt idx="14">
                  <c:v>17122.154476992677</c:v>
                </c:pt>
                <c:pt idx="15">
                  <c:v>15941.385738360241</c:v>
                </c:pt>
                <c:pt idx="16">
                  <c:v>15236.528255876934</c:v>
                </c:pt>
                <c:pt idx="17">
                  <c:v>15347.520321596416</c:v>
                </c:pt>
                <c:pt idx="18">
                  <c:v>15514.687464231649</c:v>
                </c:pt>
                <c:pt idx="19">
                  <c:v>15660.715826959915</c:v>
                </c:pt>
                <c:pt idx="20">
                  <c:v>15759.155189935722</c:v>
                </c:pt>
                <c:pt idx="21">
                  <c:v>15881.829730245667</c:v>
                </c:pt>
                <c:pt idx="22">
                  <c:v>16015.282058222119</c:v>
                </c:pt>
                <c:pt idx="23">
                  <c:v>16161.700778430386</c:v>
                </c:pt>
                <c:pt idx="24">
                  <c:v>16294.32573361255</c:v>
                </c:pt>
                <c:pt idx="25">
                  <c:v>16584.731147867849</c:v>
                </c:pt>
              </c:numCache>
            </c:numRef>
          </c:val>
          <c:extLst>
            <c:ext xmlns:c16="http://schemas.microsoft.com/office/drawing/2014/chart" uri="{C3380CC4-5D6E-409C-BE32-E72D297353CC}">
              <c16:uniqueId val="{00000006-ADF6-497C-B492-E748E5601986}"/>
            </c:ext>
          </c:extLst>
        </c:ser>
        <c:ser>
          <c:idx val="13"/>
          <c:order val="8"/>
          <c:tx>
            <c:strRef>
              <c:f>Model!$AW$2</c:f>
              <c:strCache>
                <c:ptCount val="1"/>
                <c:pt idx="0">
                  <c:v>Pay back stockpile</c:v>
                </c:pt>
              </c:strCache>
            </c:strRef>
          </c:tx>
          <c:spPr>
            <a:solidFill>
              <a:schemeClr val="accent2">
                <a:lumMod val="80000"/>
                <a:lumOff val="2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Model!$AW$5:$AW$33</c15:sqref>
                  </c15:fullRef>
                </c:ext>
              </c:extLst>
              <c:f>Model!$AW$8:$AW$32</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7-ADF6-497C-B492-E748E5601986}"/>
            </c:ext>
          </c:extLst>
        </c:ser>
        <c:dLbls>
          <c:showLegendKey val="0"/>
          <c:showVal val="0"/>
          <c:showCatName val="0"/>
          <c:showSerName val="0"/>
          <c:showPercent val="0"/>
          <c:showBubbleSize val="0"/>
        </c:dLbls>
        <c:axId val="1596047279"/>
        <c:axId val="1596047695"/>
        <c:extLst/>
      </c:areaChart>
      <c:lineChart>
        <c:grouping val="standard"/>
        <c:varyColors val="0"/>
        <c:ser>
          <c:idx val="5"/>
          <c:order val="6"/>
          <c:tx>
            <c:strRef>
              <c:f>Dashboard!$BM$40</c:f>
              <c:strCache>
                <c:ptCount val="1"/>
                <c:pt idx="0">
                  <c:v>NZU demand (base case)</c:v>
                </c:pt>
              </c:strCache>
            </c:strRef>
          </c:tx>
          <c:spPr>
            <a:ln w="28575" cap="rnd">
              <a:solidFill>
                <a:srgbClr val="FAAA18"/>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Dashboard!$BM$41:$BM$70</c15:sqref>
                  </c15:fullRef>
                </c:ext>
              </c:extLst>
              <c:f>(Dashboard!$BM$44:$BM$68,Dashboard!$BM$70)</c:f>
              <c:numCache>
                <c:formatCode>General</c:formatCode>
                <c:ptCount val="26"/>
                <c:pt idx="0">
                  <c:v>35048.369261527412</c:v>
                </c:pt>
                <c:pt idx="1">
                  <c:v>34524.587223575181</c:v>
                </c:pt>
                <c:pt idx="2">
                  <c:v>33373.811581567563</c:v>
                </c:pt>
                <c:pt idx="3">
                  <c:v>33364.415980359285</c:v>
                </c:pt>
                <c:pt idx="4">
                  <c:v>31815.330342622627</c:v>
                </c:pt>
                <c:pt idx="5">
                  <c:v>31497.431700106798</c:v>
                </c:pt>
                <c:pt idx="6">
                  <c:v>30299.180745435711</c:v>
                </c:pt>
                <c:pt idx="7">
                  <c:v>30009.8420200826</c:v>
                </c:pt>
                <c:pt idx="8">
                  <c:v>29540.084884014293</c:v>
                </c:pt>
                <c:pt idx="9">
                  <c:v>29072.833920902092</c:v>
                </c:pt>
                <c:pt idx="10">
                  <c:v>28645.733094164243</c:v>
                </c:pt>
                <c:pt idx="11">
                  <c:v>28366.519354143813</c:v>
                </c:pt>
                <c:pt idx="12">
                  <c:v>27861.411813054488</c:v>
                </c:pt>
                <c:pt idx="13">
                  <c:v>27725.816742737734</c:v>
                </c:pt>
                <c:pt idx="14">
                  <c:v>27358.180982271479</c:v>
                </c:pt>
                <c:pt idx="15">
                  <c:v>27147.369405131954</c:v>
                </c:pt>
                <c:pt idx="16">
                  <c:v>26668.21356962499</c:v>
                </c:pt>
                <c:pt idx="17">
                  <c:v>26418.135682599524</c:v>
                </c:pt>
                <c:pt idx="18">
                  <c:v>26234.008136521523</c:v>
                </c:pt>
                <c:pt idx="19">
                  <c:v>25907.214344432963</c:v>
                </c:pt>
                <c:pt idx="20">
                  <c:v>25591.77268282594</c:v>
                </c:pt>
                <c:pt idx="21">
                  <c:v>25204.709085383052</c:v>
                </c:pt>
                <c:pt idx="22">
                  <c:v>24966.163939883983</c:v>
                </c:pt>
                <c:pt idx="23">
                  <c:v>24643.983157773051</c:v>
                </c:pt>
                <c:pt idx="24">
                  <c:v>24390.937422627991</c:v>
                </c:pt>
                <c:pt idx="25">
                  <c:v>23832.888740920491</c:v>
                </c:pt>
              </c:numCache>
            </c:numRef>
          </c:val>
          <c:smooth val="0"/>
          <c:extLst>
            <c:ext xmlns:c16="http://schemas.microsoft.com/office/drawing/2014/chart" uri="{C3380CC4-5D6E-409C-BE32-E72D297353CC}">
              <c16:uniqueId val="{00000008-ADF6-497C-B492-E748E5601986}"/>
            </c:ext>
          </c:extLst>
        </c:ser>
        <c:ser>
          <c:idx val="6"/>
          <c:order val="7"/>
          <c:tx>
            <c:strRef>
              <c:f>Dashboard!$BL$40</c:f>
              <c:strCache>
                <c:ptCount val="1"/>
                <c:pt idx="0">
                  <c:v>NZU demand (after price response)</c:v>
                </c:pt>
              </c:strCache>
            </c:strRef>
          </c:tx>
          <c:spPr>
            <a:ln w="28575" cap="rnd">
              <a:solidFill>
                <a:schemeClr val="accent4"/>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Dashboard!$BL$41:$BL$70</c15:sqref>
                  </c15:fullRef>
                </c:ext>
              </c:extLst>
              <c:f>(Dashboard!$BL$44:$BL$68,Dashboard!$BL$70)</c:f>
              <c:numCache>
                <c:formatCode>General</c:formatCode>
                <c:ptCount val="26"/>
                <c:pt idx="0">
                  <c:v>34412.842896588416</c:v>
                </c:pt>
                <c:pt idx="1">
                  <c:v>33518.811855752872</c:v>
                </c:pt>
                <c:pt idx="2">
                  <c:v>32039.037121732359</c:v>
                </c:pt>
                <c:pt idx="3">
                  <c:v>31775.904595526205</c:v>
                </c:pt>
                <c:pt idx="4">
                  <c:v>30049.505432444199</c:v>
                </c:pt>
                <c:pt idx="5">
                  <c:v>29618.14745867642</c:v>
                </c:pt>
                <c:pt idx="6">
                  <c:v>28355.806536382588</c:v>
                </c:pt>
                <c:pt idx="7">
                  <c:v>28040.004956836041</c:v>
                </c:pt>
                <c:pt idx="8">
                  <c:v>27567.613631630895</c:v>
                </c:pt>
                <c:pt idx="9">
                  <c:v>27112.335138373543</c:v>
                </c:pt>
                <c:pt idx="10">
                  <c:v>26705.92705709059</c:v>
                </c:pt>
                <c:pt idx="11">
                  <c:v>26452.468012727139</c:v>
                </c:pt>
                <c:pt idx="12">
                  <c:v>25975.939974035929</c:v>
                </c:pt>
                <c:pt idx="13">
                  <c:v>25870.395304446076</c:v>
                </c:pt>
                <c:pt idx="14">
                  <c:v>25533.467572014226</c:v>
                </c:pt>
                <c:pt idx="15">
                  <c:v>25353.53632171404</c:v>
                </c:pt>
                <c:pt idx="16">
                  <c:v>24905.145612365039</c:v>
                </c:pt>
                <c:pt idx="17">
                  <c:v>24684.989752735364</c:v>
                </c:pt>
                <c:pt idx="18">
                  <c:v>24529.30519849142</c:v>
                </c:pt>
                <c:pt idx="19">
                  <c:v>24229.06506841776</c:v>
                </c:pt>
                <c:pt idx="20">
                  <c:v>23938.0117447472</c:v>
                </c:pt>
                <c:pt idx="21">
                  <c:v>23572.974807135037</c:v>
                </c:pt>
                <c:pt idx="22">
                  <c:v>23353.945414675643</c:v>
                </c:pt>
                <c:pt idx="23">
                  <c:v>23048.648156860301</c:v>
                </c:pt>
                <c:pt idx="24">
                  <c:v>22809.749040803676</c:v>
                </c:pt>
                <c:pt idx="25">
                  <c:v>22271.411166192418</c:v>
                </c:pt>
              </c:numCache>
            </c:numRef>
          </c:val>
          <c:smooth val="0"/>
          <c:extLst>
            <c:ext xmlns:c16="http://schemas.microsoft.com/office/drawing/2014/chart" uri="{C3380CC4-5D6E-409C-BE32-E72D297353CC}">
              <c16:uniqueId val="{00000009-ADF6-497C-B492-E748E5601986}"/>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5"/>
                <c:tx>
                  <c:v>Current policy reference zero price</c:v>
                </c:tx>
                <c:spPr>
                  <a:ln w="28575" cap="rnd">
                    <a:solidFill>
                      <a:schemeClr val="accent4">
                        <a:lumMod val="60000"/>
                      </a:schemeClr>
                    </a:solidFill>
                    <a:round/>
                  </a:ln>
                  <a:effectLst/>
                </c:spPr>
                <c:marker>
                  <c:symbol val="none"/>
                </c:marker>
                <c:cat>
                  <c:numRef>
                    <c:extLst>
                      <c:ext uri="{02D57815-91ED-43cb-92C2-25804820EDAC}">
                        <c15:fullRef>
                          <c15:sqref>Dashboard!$A$41:$A$70</c15:sqref>
                        </c15:fullRef>
                        <c15:formulaRef>
                          <c15:sqref>(Dashboard!$A$44:$A$68,Dashboard!$A$70)</c15:sqref>
                        </c15:formulaRef>
                      </c:ext>
                    </c:extLst>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uri="{02D57815-91ED-43cb-92C2-25804820EDAC}">
                        <c15:fullRef>
                          <c15:sqref>Model!$L$5:$L$33</c15:sqref>
                        </c15:fullRef>
                        <c15:formulaRef>
                          <c15:sqref>Model!$L$8:$L$32</c15:sqref>
                        </c15:formulaRef>
                      </c:ext>
                    </c:extLst>
                    <c:numCache>
                      <c:formatCode>#,##0</c:formatCode>
                      <c:ptCount val="25"/>
                      <c:pt idx="0">
                        <c:v>34524.587223575181</c:v>
                      </c:pt>
                      <c:pt idx="1">
                        <c:v>33373.811581567563</c:v>
                      </c:pt>
                      <c:pt idx="2">
                        <c:v>33364.415980359285</c:v>
                      </c:pt>
                      <c:pt idx="3">
                        <c:v>31815.330342622627</c:v>
                      </c:pt>
                      <c:pt idx="4">
                        <c:v>31497.431700106798</c:v>
                      </c:pt>
                      <c:pt idx="5">
                        <c:v>30299.180745435711</c:v>
                      </c:pt>
                      <c:pt idx="6">
                        <c:v>30009.8420200826</c:v>
                      </c:pt>
                      <c:pt idx="7">
                        <c:v>29540.084884014293</c:v>
                      </c:pt>
                      <c:pt idx="8">
                        <c:v>29072.833920902092</c:v>
                      </c:pt>
                      <c:pt idx="9">
                        <c:v>28645.733094164243</c:v>
                      </c:pt>
                      <c:pt idx="10">
                        <c:v>28366.519354143813</c:v>
                      </c:pt>
                      <c:pt idx="11">
                        <c:v>27861.411813054488</c:v>
                      </c:pt>
                      <c:pt idx="12">
                        <c:v>27725.816742737734</c:v>
                      </c:pt>
                      <c:pt idx="13">
                        <c:v>27358.180982271479</c:v>
                      </c:pt>
                      <c:pt idx="14">
                        <c:v>27147.369405131954</c:v>
                      </c:pt>
                      <c:pt idx="15">
                        <c:v>26668.21356962499</c:v>
                      </c:pt>
                      <c:pt idx="16">
                        <c:v>26418.135682599524</c:v>
                      </c:pt>
                      <c:pt idx="17">
                        <c:v>26234.008136521523</c:v>
                      </c:pt>
                      <c:pt idx="18">
                        <c:v>25907.214344432963</c:v>
                      </c:pt>
                      <c:pt idx="19">
                        <c:v>25591.77268282594</c:v>
                      </c:pt>
                      <c:pt idx="20">
                        <c:v>25204.709085383052</c:v>
                      </c:pt>
                      <c:pt idx="21">
                        <c:v>24966.163939883983</c:v>
                      </c:pt>
                      <c:pt idx="22">
                        <c:v>24643.983157773051</c:v>
                      </c:pt>
                      <c:pt idx="23">
                        <c:v>24390.937422627991</c:v>
                      </c:pt>
                      <c:pt idx="24">
                        <c:v>24089.380959919028</c:v>
                      </c:pt>
                    </c:numCache>
                  </c:numRef>
                </c:val>
                <c:smooth val="0"/>
                <c:extLst>
                  <c:ext xmlns:c16="http://schemas.microsoft.com/office/drawing/2014/chart" uri="{C3380CC4-5D6E-409C-BE32-E72D297353CC}">
                    <c16:uniqueId val="{0000000A-ADF6-497C-B492-E748E5601986}"/>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3"/>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r>
                  <a:rPr lang="en-NZ" sz="700" b="1"/>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midCat"/>
        <c:majorUnit val="10000"/>
      </c:valAx>
      <c:spPr>
        <a:noFill/>
        <a:ln>
          <a:noFill/>
        </a:ln>
        <a:effectLst/>
      </c:spPr>
    </c:plotArea>
    <c:legend>
      <c:legendPos val="b"/>
      <c:legendEntry>
        <c:idx val="5"/>
        <c:delete val="1"/>
      </c:legendEntry>
      <c:layout>
        <c:manualLayout>
          <c:xMode val="edge"/>
          <c:yMode val="edge"/>
          <c:x val="0"/>
          <c:y val="0.7816681003584229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NZ" sz="2000" b="1"/>
              <a:t>Projected</a:t>
            </a:r>
            <a:r>
              <a:rPr lang="en-NZ" sz="2000" b="1" baseline="0"/>
              <a:t> ETS Dynamics (central scenario)</a:t>
            </a:r>
            <a:endParaRPr lang="en-NZ"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Z"/>
        </a:p>
      </c:txPr>
    </c:title>
    <c:autoTitleDeleted val="0"/>
    <c:plotArea>
      <c:layout>
        <c:manualLayout>
          <c:layoutTarget val="inner"/>
          <c:xMode val="edge"/>
          <c:yMode val="edge"/>
          <c:x val="0.12381137616841069"/>
          <c:y val="7.6156203947557247E-2"/>
          <c:w val="0.84234422180586688"/>
          <c:h val="0.70969727740680133"/>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Model!$AA$7:$AA$33</c:f>
              <c:numCache>
                <c:formatCode>"$"#,##0</c:formatCode>
                <c:ptCount val="27"/>
              </c:numCache>
            </c:numRef>
          </c:val>
          <c:extLst>
            <c:ext xmlns:c16="http://schemas.microsoft.com/office/drawing/2014/chart" uri="{C3380CC4-5D6E-409C-BE32-E72D297353CC}">
              <c16:uniqueId val="{00000000-B6E7-4858-B3D9-521998634B1E}"/>
            </c:ext>
          </c:extLst>
        </c:ser>
        <c:ser>
          <c:idx val="0"/>
          <c:order val="1"/>
          <c:tx>
            <c:strRef>
              <c:f>Model!$AB$2</c:f>
              <c:strCache>
                <c:ptCount val="1"/>
                <c:pt idx="0">
                  <c:v>Industrial allocation</c:v>
                </c:pt>
              </c:strCache>
            </c:strRef>
          </c:tx>
          <c:spPr>
            <a:solidFill>
              <a:srgbClr val="1B556B"/>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Model!$AB$7:$AB$33</c:f>
              <c:numCache>
                <c:formatCode>#,##0</c:formatCode>
                <c:ptCount val="27"/>
                <c:pt idx="0">
                  <c:v>5011.8116588021785</c:v>
                </c:pt>
                <c:pt idx="1">
                  <c:v>5186.1646310647311</c:v>
                </c:pt>
                <c:pt idx="2">
                  <c:v>4593.174890235935</c:v>
                </c:pt>
                <c:pt idx="3">
                  <c:v>4438.3437882456137</c:v>
                </c:pt>
                <c:pt idx="4">
                  <c:v>4098.1251000483962</c:v>
                </c:pt>
                <c:pt idx="5">
                  <c:v>4042.8539980580772</c:v>
                </c:pt>
                <c:pt idx="6">
                  <c:v>3987.5828960677554</c:v>
                </c:pt>
                <c:pt idx="7">
                  <c:v>3877.0406920871146</c:v>
                </c:pt>
                <c:pt idx="8">
                  <c:v>3766.4984881064738</c:v>
                </c:pt>
                <c:pt idx="9">
                  <c:v>3655.9562841258321</c:v>
                </c:pt>
                <c:pt idx="10">
                  <c:v>3545.4140801451908</c:v>
                </c:pt>
                <c:pt idx="11">
                  <c:v>3434.8718761645496</c:v>
                </c:pt>
                <c:pt idx="12">
                  <c:v>3324.3296721839083</c:v>
                </c:pt>
                <c:pt idx="13">
                  <c:v>3213.7874682032671</c:v>
                </c:pt>
                <c:pt idx="14">
                  <c:v>3103.2452642226249</c:v>
                </c:pt>
                <c:pt idx="15">
                  <c:v>2992.7030602419845</c:v>
                </c:pt>
                <c:pt idx="16">
                  <c:v>2882.1608562613428</c:v>
                </c:pt>
                <c:pt idx="17">
                  <c:v>2716.3475502903812</c:v>
                </c:pt>
                <c:pt idx="18">
                  <c:v>2550.5342443194199</c:v>
                </c:pt>
                <c:pt idx="19">
                  <c:v>2384.7209383484578</c:v>
                </c:pt>
                <c:pt idx="20">
                  <c:v>2218.9076323774957</c:v>
                </c:pt>
                <c:pt idx="21">
                  <c:v>2053.0943264065336</c:v>
                </c:pt>
                <c:pt idx="22">
                  <c:v>1887.2810204355719</c:v>
                </c:pt>
                <c:pt idx="23">
                  <c:v>1721.46771446461</c:v>
                </c:pt>
                <c:pt idx="24">
                  <c:v>1555.6544084936475</c:v>
                </c:pt>
                <c:pt idx="25">
                  <c:v>1389.8411025226862</c:v>
                </c:pt>
                <c:pt idx="26">
                  <c:v>1224.0277965517241</c:v>
                </c:pt>
              </c:numCache>
            </c:numRef>
          </c:val>
          <c:extLst>
            <c:ext xmlns:c16="http://schemas.microsoft.com/office/drawing/2014/chart" uri="{C3380CC4-5D6E-409C-BE32-E72D297353CC}">
              <c16:uniqueId val="{00000001-B6E7-4858-B3D9-521998634B1E}"/>
            </c:ext>
          </c:extLst>
        </c:ser>
        <c:ser>
          <c:idx val="1"/>
          <c:order val="2"/>
          <c:tx>
            <c:strRef>
              <c:f>Model!$AC$2</c:f>
              <c:strCache>
                <c:ptCount val="1"/>
                <c:pt idx="0">
                  <c:v>Auction</c:v>
                </c:pt>
              </c:strCache>
            </c:strRef>
          </c:tx>
          <c:spPr>
            <a:solidFill>
              <a:srgbClr val="32809C"/>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Model!$AC$7:$AC$33</c:f>
              <c:numCache>
                <c:formatCode>#,##0</c:formatCode>
                <c:ptCount val="27"/>
                <c:pt idx="0">
                  <c:v>7000</c:v>
                </c:pt>
                <c:pt idx="1">
                  <c:v>6000</c:v>
                </c:pt>
                <c:pt idx="2">
                  <c:v>5200</c:v>
                </c:pt>
                <c:pt idx="3">
                  <c:v>4300</c:v>
                </c:pt>
                <c:pt idx="4">
                  <c:v>3300</c:v>
                </c:pt>
                <c:pt idx="5">
                  <c:v>2400</c:v>
                </c:pt>
                <c:pt idx="6">
                  <c:v>1700</c:v>
                </c:pt>
                <c:pt idx="7">
                  <c:v>5700</c:v>
                </c:pt>
                <c:pt idx="8">
                  <c:v>5100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B6E7-4858-B3D9-521998634B1E}"/>
            </c:ext>
          </c:extLst>
        </c:ser>
        <c:ser>
          <c:idx val="2"/>
          <c:order val="3"/>
          <c:tx>
            <c:strRef>
              <c:f>Model!$AD$2</c:f>
              <c:strCache>
                <c:ptCount val="1"/>
                <c:pt idx="0">
                  <c:v>CCR</c:v>
                </c:pt>
              </c:strCache>
            </c:strRef>
          </c:tx>
          <c:spPr>
            <a:solidFill>
              <a:schemeClr val="accent4"/>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Model!$AD$7:$AD$33</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B6E7-4858-B3D9-521998634B1E}"/>
            </c:ext>
          </c:extLst>
        </c:ser>
        <c:ser>
          <c:idx val="7"/>
          <c:order val="4"/>
          <c:tx>
            <c:strRef>
              <c:f>Model!$AY$2</c:f>
              <c:strCache>
                <c:ptCount val="1"/>
                <c:pt idx="0">
                  <c:v>Liquid stockpile use</c:v>
                </c:pt>
              </c:strCache>
            </c:strRef>
          </c:tx>
          <c:spPr>
            <a:solidFill>
              <a:srgbClr val="2C9986"/>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Model!$AZ$7:$AZ$33</c:f>
              <c:numCache>
                <c:formatCode>#,##0</c:formatCode>
                <c:ptCount val="27"/>
                <c:pt idx="0">
                  <c:v>15756.380238392794</c:v>
                </c:pt>
                <c:pt idx="1">
                  <c:v>14013.622912062683</c:v>
                </c:pt>
                <c:pt idx="2">
                  <c:v>11843.947724918669</c:v>
                </c:pt>
                <c:pt idx="3">
                  <c:v>10551.817965175831</c:v>
                </c:pt>
                <c:pt idx="4">
                  <c:v>8499.3551669894659</c:v>
                </c:pt>
                <c:pt idx="5">
                  <c:v>8006.4174567843784</c:v>
                </c:pt>
                <c:pt idx="6">
                  <c:v>2862.8387740689777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B6E7-4858-B3D9-521998634B1E}"/>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Model!$BA$7:$BA$33</c:f>
              <c:numCache>
                <c:formatCode>#,##0</c:formatCode>
                <c:ptCount val="27"/>
                <c:pt idx="0">
                  <c:v>0</c:v>
                </c:pt>
                <c:pt idx="1">
                  <c:v>0</c:v>
                </c:pt>
                <c:pt idx="2">
                  <c:v>0</c:v>
                </c:pt>
                <c:pt idx="3">
                  <c:v>0</c:v>
                </c:pt>
                <c:pt idx="4">
                  <c:v>0</c:v>
                </c:pt>
                <c:pt idx="5">
                  <c:v>0</c:v>
                </c:pt>
                <c:pt idx="6">
                  <c:v>4241.7638279454368</c:v>
                </c:pt>
                <c:pt idx="7">
                  <c:v>2734.2320641222541</c:v>
                </c:pt>
                <c:pt idx="8">
                  <c:v>2713.8159322571119</c:v>
                </c:pt>
                <c:pt idx="9">
                  <c:v>6876.6419177073112</c:v>
                </c:pt>
                <c:pt idx="10">
                  <c:v>5795.5328040375898</c:v>
                </c:pt>
                <c:pt idx="11">
                  <c:v>5253.5372031103871</c:v>
                </c:pt>
                <c:pt idx="12">
                  <c:v>4704.1434476964459</c:v>
                </c:pt>
                <c:pt idx="13">
                  <c:v>4464.0405107551633</c:v>
                </c:pt>
                <c:pt idx="14">
                  <c:v>5308.0678307989256</c:v>
                </c:pt>
                <c:pt idx="15">
                  <c:v>6419.4475231118158</c:v>
                </c:pt>
                <c:pt idx="16">
                  <c:v>6786.4565002267627</c:v>
                </c:pt>
                <c:pt idx="17">
                  <c:v>6621.1218808485683</c:v>
                </c:pt>
                <c:pt idx="18">
                  <c:v>6464.0834899403526</c:v>
                </c:pt>
                <c:pt idx="19">
                  <c:v>6183.6283031093881</c:v>
                </c:pt>
                <c:pt idx="20">
                  <c:v>5959.9489224339814</c:v>
                </c:pt>
                <c:pt idx="21">
                  <c:v>5638.0507504828383</c:v>
                </c:pt>
                <c:pt idx="22">
                  <c:v>5451.3823360179522</c:v>
                </c:pt>
                <c:pt idx="23">
                  <c:v>5165.4796639653068</c:v>
                </c:pt>
                <c:pt idx="24">
                  <c:v>4959.768898697479</c:v>
                </c:pt>
                <c:pt idx="25">
                  <c:v>4692.0511843004606</c:v>
                </c:pt>
                <c:pt idx="26">
                  <c:v>4462.6522217728452</c:v>
                </c:pt>
              </c:numCache>
            </c:numRef>
          </c:val>
          <c:extLst>
            <c:ext xmlns:c16="http://schemas.microsoft.com/office/drawing/2014/chart" uri="{C3380CC4-5D6E-409C-BE32-E72D297353CC}">
              <c16:uniqueId val="{00000005-B6E7-4858-B3D9-521998634B1E}"/>
            </c:ext>
          </c:extLst>
        </c:ser>
        <c:ser>
          <c:idx val="4"/>
          <c:order val="6"/>
          <c:tx>
            <c:v>Expected forestry supply</c:v>
          </c:tx>
          <c:spPr>
            <a:solidFill>
              <a:srgbClr val="6EC7B8"/>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Model!$AL$7:$AL$33</c:f>
              <c:numCache>
                <c:formatCode>#,##0</c:formatCode>
                <c:ptCount val="27"/>
                <c:pt idx="0">
                  <c:v>6644.6509993934487</c:v>
                </c:pt>
                <c:pt idx="1">
                  <c:v>8319.0243126254554</c:v>
                </c:pt>
                <c:pt idx="2">
                  <c:v>10401.914506577756</c:v>
                </c:pt>
                <c:pt idx="3">
                  <c:v>12485.742842104759</c:v>
                </c:pt>
                <c:pt idx="4">
                  <c:v>14152.025165406336</c:v>
                </c:pt>
                <c:pt idx="5">
                  <c:v>15168.876003833966</c:v>
                </c:pt>
                <c:pt idx="6">
                  <c:v>15563.621038300418</c:v>
                </c:pt>
                <c:pt idx="7">
                  <c:v>15728.732200626675</c:v>
                </c:pt>
                <c:pt idx="8">
                  <c:v>15987.299211267309</c:v>
                </c:pt>
                <c:pt idx="9">
                  <c:v>16579.736936540397</c:v>
                </c:pt>
                <c:pt idx="10">
                  <c:v>17364.98017290781</c:v>
                </c:pt>
                <c:pt idx="11">
                  <c:v>17764.058933452201</c:v>
                </c:pt>
                <c:pt idx="12">
                  <c:v>17947.466854155577</c:v>
                </c:pt>
                <c:pt idx="13">
                  <c:v>18192.567325487646</c:v>
                </c:pt>
                <c:pt idx="14">
                  <c:v>17122.154476992677</c:v>
                </c:pt>
                <c:pt idx="15">
                  <c:v>15941.385738360241</c:v>
                </c:pt>
                <c:pt idx="16">
                  <c:v>15236.528255876934</c:v>
                </c:pt>
                <c:pt idx="17">
                  <c:v>15347.520321596416</c:v>
                </c:pt>
                <c:pt idx="18">
                  <c:v>15514.687464231649</c:v>
                </c:pt>
                <c:pt idx="19">
                  <c:v>15660.715826959915</c:v>
                </c:pt>
                <c:pt idx="20">
                  <c:v>15759.155189935722</c:v>
                </c:pt>
                <c:pt idx="21">
                  <c:v>15881.829730245667</c:v>
                </c:pt>
                <c:pt idx="22">
                  <c:v>16015.282058222119</c:v>
                </c:pt>
                <c:pt idx="23">
                  <c:v>16161.700778430386</c:v>
                </c:pt>
                <c:pt idx="24">
                  <c:v>16294.32573361255</c:v>
                </c:pt>
                <c:pt idx="25">
                  <c:v>16437.615463454007</c:v>
                </c:pt>
                <c:pt idx="26">
                  <c:v>16584.731147867849</c:v>
                </c:pt>
              </c:numCache>
            </c:numRef>
          </c:val>
          <c:extLst>
            <c:ext xmlns:c16="http://schemas.microsoft.com/office/drawing/2014/chart" uri="{C3380CC4-5D6E-409C-BE32-E72D297353CC}">
              <c16:uniqueId val="{00000006-B6E7-4858-B3D9-521998634B1E}"/>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B-B6E7-4858-B3D9-521998634B1E}"/>
                  </c:ext>
                </c:extLst>
              </c15:ser>
            </c15:filteredAreaSeries>
            <c15:filteredAreaSeries>
              <c15:ser>
                <c:idx val="13"/>
                <c:order val="11"/>
                <c:tx>
                  <c:strRef>
                    <c:extLst xmlns:c15="http://schemas.microsoft.com/office/drawing/2012/chart">
                      <c:ext xmlns:c15="http://schemas.microsoft.com/office/drawing/2012/chart" uri="{02D57815-91ED-43cb-92C2-25804820EDAC}">
                        <c15:formulaRef>
                          <c15:sqref>Model!$AW$2</c15:sqref>
                        </c15:formulaRef>
                      </c:ext>
                    </c:extLst>
                    <c:strCache>
                      <c:ptCount val="1"/>
                      <c:pt idx="0">
                        <c:v>Pay back stockpile</c:v>
                      </c:pt>
                    </c:strCache>
                  </c:strRef>
                </c:tx>
                <c:spPr>
                  <a:solidFill>
                    <a:schemeClr val="accent2">
                      <a:lumMod val="80000"/>
                      <a:lumOff val="20000"/>
                    </a:schemeClr>
                  </a:solidFill>
                  <a:ln>
                    <a:noFill/>
                  </a:ln>
                  <a:effectLst/>
                </c:spPr>
                <c:cat>
                  <c:numRef>
                    <c:extLst xmlns:c15="http://schemas.microsoft.com/office/drawing/2012/chart">
                      <c:ext xmlns:c15="http://schemas.microsoft.com/office/drawing/2012/char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xmlns:c15="http://schemas.microsoft.com/office/drawing/2012/chart">
                      <c:ext xmlns:c15="http://schemas.microsoft.com/office/drawing/2012/chart" uri="{02D57815-91ED-43cb-92C2-25804820EDAC}">
                        <c15:formulaRef>
                          <c15:sqref>Model!$AW$7:$AW$33</c15:sqref>
                        </c15:formulaRef>
                      </c:ext>
                    </c:extLst>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xmlns:c15="http://schemas.microsoft.com/office/drawing/2012/chart">
                  <c:ext xmlns:c16="http://schemas.microsoft.com/office/drawing/2014/chart" uri="{C3380CC4-5D6E-409C-BE32-E72D297353CC}">
                    <c16:uniqueId val="{00000007-B6E7-4858-B3D9-521998634B1E}"/>
                  </c:ext>
                </c:extLst>
              </c15:ser>
            </c15:filteredAreaSeries>
          </c:ext>
        </c:extLst>
      </c:areaChart>
      <c:lineChart>
        <c:grouping val="standard"/>
        <c:varyColors val="0"/>
        <c:ser>
          <c:idx val="5"/>
          <c:order val="8"/>
          <c:tx>
            <c:v>NZU demand (base case)</c:v>
          </c:tx>
          <c:spPr>
            <a:ln w="38100" cap="rnd">
              <a:solidFill>
                <a:srgbClr val="FAAA18"/>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Model!$M$7:$M$33</c:f>
              <c:numCache>
                <c:formatCode>#,##0</c:formatCode>
                <c:ptCount val="27"/>
                <c:pt idx="0">
                  <c:v>35048.369261527412</c:v>
                </c:pt>
                <c:pt idx="1">
                  <c:v>34524.587223575181</c:v>
                </c:pt>
                <c:pt idx="2">
                  <c:v>33373.811581567563</c:v>
                </c:pt>
                <c:pt idx="3">
                  <c:v>33364.415980359285</c:v>
                </c:pt>
                <c:pt idx="4">
                  <c:v>31815.330342622627</c:v>
                </c:pt>
                <c:pt idx="5">
                  <c:v>31497.431700106798</c:v>
                </c:pt>
                <c:pt idx="6">
                  <c:v>30299.180745435711</c:v>
                </c:pt>
                <c:pt idx="7">
                  <c:v>30009.8420200826</c:v>
                </c:pt>
                <c:pt idx="8">
                  <c:v>29540.084884014293</c:v>
                </c:pt>
                <c:pt idx="9">
                  <c:v>29072.833920902092</c:v>
                </c:pt>
                <c:pt idx="10">
                  <c:v>28645.733094164243</c:v>
                </c:pt>
                <c:pt idx="11">
                  <c:v>28366.519354143813</c:v>
                </c:pt>
                <c:pt idx="12">
                  <c:v>27861.411813054488</c:v>
                </c:pt>
                <c:pt idx="13">
                  <c:v>27725.816742737734</c:v>
                </c:pt>
                <c:pt idx="14">
                  <c:v>27358.180982271479</c:v>
                </c:pt>
                <c:pt idx="15">
                  <c:v>27147.369405131954</c:v>
                </c:pt>
                <c:pt idx="16">
                  <c:v>26668.21356962499</c:v>
                </c:pt>
                <c:pt idx="17">
                  <c:v>26418.135682599524</c:v>
                </c:pt>
                <c:pt idx="18">
                  <c:v>26234.008136521523</c:v>
                </c:pt>
                <c:pt idx="19">
                  <c:v>25907.214344432963</c:v>
                </c:pt>
                <c:pt idx="20">
                  <c:v>25591.77268282594</c:v>
                </c:pt>
                <c:pt idx="21">
                  <c:v>25204.709085383052</c:v>
                </c:pt>
                <c:pt idx="22">
                  <c:v>24966.163939883983</c:v>
                </c:pt>
                <c:pt idx="23">
                  <c:v>24643.983157773051</c:v>
                </c:pt>
                <c:pt idx="24">
                  <c:v>24390.937422627991</c:v>
                </c:pt>
                <c:pt idx="25">
                  <c:v>24089.380959919028</c:v>
                </c:pt>
                <c:pt idx="26">
                  <c:v>23832.888740920491</c:v>
                </c:pt>
              </c:numCache>
            </c:numRef>
          </c:val>
          <c:smooth val="0"/>
          <c:extLst>
            <c:ext xmlns:c16="http://schemas.microsoft.com/office/drawing/2014/chart" uri="{C3380CC4-5D6E-409C-BE32-E72D297353CC}">
              <c16:uniqueId val="{00000008-B6E7-4858-B3D9-521998634B1E}"/>
            </c:ext>
          </c:extLst>
        </c:ser>
        <c:ser>
          <c:idx val="6"/>
          <c:order val="9"/>
          <c:tx>
            <c:v>NZU demand (after price response)</c:v>
          </c:tx>
          <c:spPr>
            <a:ln w="38100" cap="rnd">
              <a:solidFill>
                <a:srgbClr val="E01F56"/>
              </a:solidFill>
              <a:prstDash val="dash"/>
              <a:round/>
            </a:ln>
            <a:effectLst/>
          </c:spPr>
          <c:marker>
            <c:symbol val="none"/>
          </c:marker>
          <c:val>
            <c:numRef>
              <c:f>Model!$AU$7:$AU$33</c:f>
              <c:numCache>
                <c:formatCode>#,##0</c:formatCode>
                <c:ptCount val="27"/>
                <c:pt idx="0">
                  <c:v>34412.842896588416</c:v>
                </c:pt>
                <c:pt idx="1">
                  <c:v>33518.811855752872</c:v>
                </c:pt>
                <c:pt idx="2">
                  <c:v>32039.037121732359</c:v>
                </c:pt>
                <c:pt idx="3">
                  <c:v>31775.904595526205</c:v>
                </c:pt>
                <c:pt idx="4">
                  <c:v>30049.505432444199</c:v>
                </c:pt>
                <c:pt idx="5">
                  <c:v>29618.14745867642</c:v>
                </c:pt>
                <c:pt idx="6">
                  <c:v>28355.806536382588</c:v>
                </c:pt>
                <c:pt idx="7">
                  <c:v>28040.004956836041</c:v>
                </c:pt>
                <c:pt idx="8">
                  <c:v>27567.613631630895</c:v>
                </c:pt>
                <c:pt idx="9">
                  <c:v>27112.335138373543</c:v>
                </c:pt>
                <c:pt idx="10">
                  <c:v>26705.92705709059</c:v>
                </c:pt>
                <c:pt idx="11">
                  <c:v>26452.468012727139</c:v>
                </c:pt>
                <c:pt idx="12">
                  <c:v>25975.939974035929</c:v>
                </c:pt>
                <c:pt idx="13">
                  <c:v>25870.395304446076</c:v>
                </c:pt>
                <c:pt idx="14">
                  <c:v>25533.467572014226</c:v>
                </c:pt>
                <c:pt idx="15">
                  <c:v>25353.53632171404</c:v>
                </c:pt>
                <c:pt idx="16">
                  <c:v>24905.145612365039</c:v>
                </c:pt>
                <c:pt idx="17">
                  <c:v>24684.989752735364</c:v>
                </c:pt>
                <c:pt idx="18">
                  <c:v>24529.30519849142</c:v>
                </c:pt>
                <c:pt idx="19">
                  <c:v>24229.06506841776</c:v>
                </c:pt>
                <c:pt idx="20">
                  <c:v>23938.0117447472</c:v>
                </c:pt>
                <c:pt idx="21">
                  <c:v>23572.974807135037</c:v>
                </c:pt>
                <c:pt idx="22">
                  <c:v>23353.945414675643</c:v>
                </c:pt>
                <c:pt idx="23">
                  <c:v>23048.648156860301</c:v>
                </c:pt>
                <c:pt idx="24">
                  <c:v>22809.749040803676</c:v>
                </c:pt>
                <c:pt idx="25">
                  <c:v>22519.507750277153</c:v>
                </c:pt>
                <c:pt idx="26">
                  <c:v>22271.411166192418</c:v>
                </c:pt>
              </c:numCache>
            </c:numRef>
          </c:val>
          <c:smooth val="0"/>
          <c:extLst>
            <c:ext xmlns:c16="http://schemas.microsoft.com/office/drawing/2014/chart" uri="{C3380CC4-5D6E-409C-BE32-E72D297353CC}">
              <c16:uniqueId val="{00000009-B6E7-4858-B3D9-521998634B1E}"/>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A-B6E7-4858-B3D9-521998634B1E}"/>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1596047695"/>
        <c:crosses val="autoZero"/>
        <c:auto val="1"/>
        <c:lblAlgn val="ctr"/>
        <c:lblOffset val="100"/>
        <c:tickLblSkip val="2"/>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r>
                  <a:rPr lang="en-NZ" b="1">
                    <a:solidFill>
                      <a:sysClr val="windowText" lastClr="000000"/>
                    </a:solidFill>
                    <a:latin typeface="Calibri" panose="020F0502020204030204" pitchFamily="34" charset="0"/>
                    <a:cs typeface="Calibri" panose="020F0502020204030204" pitchFamily="34" charset="0"/>
                  </a:rPr>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1596047279"/>
        <c:crosses val="autoZero"/>
        <c:crossBetween val="midCat"/>
        <c:majorUnit val="10000"/>
      </c:valAx>
      <c:spPr>
        <a:noFill/>
        <a:ln>
          <a:noFill/>
        </a:ln>
        <a:effectLst/>
      </c:spPr>
    </c:plotArea>
    <c:legend>
      <c:legendPos val="b"/>
      <c:legendEntry>
        <c:idx val="0"/>
        <c:delete val="1"/>
      </c:legendEntry>
      <c:legendEntry>
        <c:idx val="3"/>
        <c:delete val="1"/>
      </c:legendEntry>
      <c:layout>
        <c:manualLayout>
          <c:xMode val="edge"/>
          <c:yMode val="edge"/>
          <c:x val="0"/>
          <c:y val="0.82781501033844263"/>
          <c:w val="0.9777017849461358"/>
          <c:h val="0.17218498966155746"/>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400"/>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0"/>
          <c:order val="0"/>
          <c:tx>
            <c:v>Adjusted price</c:v>
          </c:tx>
          <c:spPr>
            <a:ln w="28575" cap="rnd">
              <a:solidFill>
                <a:schemeClr val="accent1"/>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Model!$Z$5:$Z$33</c:f>
              <c:numCache>
                <c:formatCode>"$"#,##0</c:formatCode>
                <c:ptCount val="29"/>
                <c:pt idx="0">
                  <c:v>84.15</c:v>
                </c:pt>
                <c:pt idx="1">
                  <c:v>63</c:v>
                </c:pt>
                <c:pt idx="2">
                  <c:v>62</c:v>
                </c:pt>
                <c:pt idx="3">
                  <c:v>65.037999999999997</c:v>
                </c:pt>
                <c:pt idx="4">
                  <c:v>68.224861999999987</c:v>
                </c:pt>
                <c:pt idx="5">
                  <c:v>71.567880237999987</c:v>
                </c:pt>
                <c:pt idx="6">
                  <c:v>75.074706369661982</c:v>
                </c:pt>
                <c:pt idx="7">
                  <c:v>78.753366981775415</c:v>
                </c:pt>
                <c:pt idx="8">
                  <c:v>82.61228196388241</c:v>
                </c:pt>
                <c:pt idx="9">
                  <c:v>80.588281055767297</c:v>
                </c:pt>
                <c:pt idx="10">
                  <c:v>78.613868169900996</c:v>
                </c:pt>
                <c:pt idx="11">
                  <c:v>76.687828399738422</c:v>
                </c:pt>
                <c:pt idx="12">
                  <c:v>74.808976603944828</c:v>
                </c:pt>
                <c:pt idx="13">
                  <c:v>72.976156677148182</c:v>
                </c:pt>
                <c:pt idx="14">
                  <c:v>71.188240838558059</c:v>
                </c:pt>
                <c:pt idx="15">
                  <c:v>69.444128938013392</c:v>
                </c:pt>
                <c:pt idx="16">
                  <c:v>67.742747779032072</c:v>
                </c:pt>
                <c:pt idx="17">
                  <c:v>66.083050458445783</c:v>
                </c:pt>
                <c:pt idx="18">
                  <c:v>64.464015722213858</c:v>
                </c:pt>
                <c:pt idx="19">
                  <c:v>62.884647337019622</c:v>
                </c:pt>
                <c:pt idx="20">
                  <c:v>61.343973477262644</c:v>
                </c:pt>
                <c:pt idx="21">
                  <c:v>59.84104612706971</c:v>
                </c:pt>
                <c:pt idx="22">
                  <c:v>58.374940496956505</c:v>
                </c:pt>
                <c:pt idx="23">
                  <c:v>56.944754454781069</c:v>
                </c:pt>
                <c:pt idx="24">
                  <c:v>55.549607970638938</c:v>
                </c:pt>
                <c:pt idx="25">
                  <c:v>54.188642575358287</c:v>
                </c:pt>
                <c:pt idx="26">
                  <c:v>52.861020832262014</c:v>
                </c:pt>
                <c:pt idx="27">
                  <c:v>51.565925821871595</c:v>
                </c:pt>
                <c:pt idx="28">
                  <c:v>50.302560639235743</c:v>
                </c:pt>
              </c:numCache>
            </c:numRef>
          </c:val>
          <c:smooth val="0"/>
          <c:extLst>
            <c:ext xmlns:c16="http://schemas.microsoft.com/office/drawing/2014/chart" uri="{C3380CC4-5D6E-409C-BE32-E72D297353CC}">
              <c16:uniqueId val="{00000000-0ED8-40B8-A1F1-321704AD2A99}"/>
            </c:ext>
          </c:extLst>
        </c:ser>
        <c:ser>
          <c:idx val="4"/>
          <c:order val="1"/>
          <c:tx>
            <c:v>Projected price</c:v>
          </c:tx>
          <c:spPr>
            <a:ln w="28575"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Model!$X$5:$X$33</c:f>
              <c:numCache>
                <c:formatCode>"$"#,##0</c:formatCode>
                <c:ptCount val="29"/>
                <c:pt idx="0">
                  <c:v>84.15</c:v>
                </c:pt>
                <c:pt idx="1">
                  <c:v>63</c:v>
                </c:pt>
                <c:pt idx="2">
                  <c:v>62</c:v>
                </c:pt>
                <c:pt idx="3">
                  <c:v>65.037999999999997</c:v>
                </c:pt>
                <c:pt idx="4">
                  <c:v>68.224861999999987</c:v>
                </c:pt>
                <c:pt idx="5">
                  <c:v>71.567880237999987</c:v>
                </c:pt>
                <c:pt idx="6">
                  <c:v>75.074706369661982</c:v>
                </c:pt>
                <c:pt idx="7">
                  <c:v>78.753366981775415</c:v>
                </c:pt>
                <c:pt idx="8">
                  <c:v>82.61228196388241</c:v>
                </c:pt>
                <c:pt idx="9">
                  <c:v>80.588281055767297</c:v>
                </c:pt>
                <c:pt idx="10">
                  <c:v>78.613868169900996</c:v>
                </c:pt>
                <c:pt idx="11">
                  <c:v>76.687828399738422</c:v>
                </c:pt>
                <c:pt idx="12">
                  <c:v>74.808976603944828</c:v>
                </c:pt>
                <c:pt idx="13">
                  <c:v>72.976156677148182</c:v>
                </c:pt>
                <c:pt idx="14">
                  <c:v>71.188240838558059</c:v>
                </c:pt>
                <c:pt idx="15">
                  <c:v>69.444128938013392</c:v>
                </c:pt>
                <c:pt idx="16">
                  <c:v>67.742747779032072</c:v>
                </c:pt>
                <c:pt idx="17">
                  <c:v>66.083050458445783</c:v>
                </c:pt>
                <c:pt idx="18">
                  <c:v>64.464015722213858</c:v>
                </c:pt>
                <c:pt idx="19">
                  <c:v>62.884647337019622</c:v>
                </c:pt>
                <c:pt idx="20">
                  <c:v>61.343973477262644</c:v>
                </c:pt>
                <c:pt idx="21">
                  <c:v>59.84104612706971</c:v>
                </c:pt>
                <c:pt idx="22">
                  <c:v>58.374940496956505</c:v>
                </c:pt>
                <c:pt idx="23">
                  <c:v>56.944754454781069</c:v>
                </c:pt>
                <c:pt idx="24">
                  <c:v>55.549607970638938</c:v>
                </c:pt>
                <c:pt idx="25">
                  <c:v>54.188642575358287</c:v>
                </c:pt>
                <c:pt idx="26">
                  <c:v>52.861020832262014</c:v>
                </c:pt>
                <c:pt idx="27">
                  <c:v>51.565925821871595</c:v>
                </c:pt>
                <c:pt idx="28">
                  <c:v>50.302560639235743</c:v>
                </c:pt>
              </c:numCache>
            </c:numRef>
          </c:val>
          <c:smooth val="0"/>
          <c:extLst>
            <c:ext xmlns:c16="http://schemas.microsoft.com/office/drawing/2014/chart" uri="{C3380CC4-5D6E-409C-BE32-E72D297353CC}">
              <c16:uniqueId val="{00000000-FEB0-4B9B-AC4F-9A0E9E4B59F9}"/>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NZU Price ($/NZU)</a:t>
                </a:r>
              </a:p>
            </c:rich>
          </c:tx>
          <c:layout>
            <c:manualLayout>
              <c:xMode val="edge"/>
              <c:yMode val="edge"/>
              <c:x val="2.0870310437619506E-2"/>
              <c:y val="0.23072552776779454"/>
            </c:manualLayout>
          </c:layout>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legend>
      <c:legendPos val="t"/>
      <c:layout>
        <c:manualLayout>
          <c:xMode val="edge"/>
          <c:yMode val="edge"/>
          <c:x val="0.15855330368969073"/>
          <c:y val="5.1090212845044995E-2"/>
          <c:w val="0.52586532565945843"/>
          <c:h val="8.62153376037242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12539026766108"/>
          <c:y val="3.6842699489563306E-2"/>
          <c:w val="0.84922243053325019"/>
          <c:h val="0.8661520350589037"/>
        </c:manualLayout>
      </c:layout>
      <c:areaChart>
        <c:grouping val="stacked"/>
        <c:varyColors val="0"/>
        <c:ser>
          <c:idx val="0"/>
          <c:order val="0"/>
          <c:tx>
            <c:strRef>
              <c:f>Model!$BF$2</c:f>
              <c:strCache>
                <c:ptCount val="1"/>
                <c:pt idx="0">
                  <c:v>End of year liquid stockpile</c:v>
                </c:pt>
              </c:strCache>
            </c:strRef>
          </c:tx>
          <c:spPr>
            <a:solidFill>
              <a:srgbClr val="2C998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Model!$BK$5:$BK$33</c:f>
              <c:numCache>
                <c:formatCode>#,##0</c:formatCode>
                <c:ptCount val="29"/>
                <c:pt idx="0">
                  <c:v>73.804984485383514</c:v>
                </c:pt>
                <c:pt idx="1">
                  <c:v>78.744457109178057</c:v>
                </c:pt>
                <c:pt idx="2">
                  <c:v>55.777999999999999</c:v>
                </c:pt>
                <c:pt idx="3">
                  <c:v>41.764377087937319</c:v>
                </c:pt>
                <c:pt idx="4">
                  <c:v>29.920429363018648</c:v>
                </c:pt>
                <c:pt idx="5">
                  <c:v>19.36861139784282</c:v>
                </c:pt>
                <c:pt idx="6">
                  <c:v>10.869256230853352</c:v>
                </c:pt>
                <c:pt idx="7">
                  <c:v>2.8628387740689778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0818-4654-A5D7-37F23E84CFDB}"/>
            </c:ext>
          </c:extLst>
        </c:ser>
        <c:ser>
          <c:idx val="1"/>
          <c:order val="1"/>
          <c:tx>
            <c:strRef>
              <c:f>Model!$BG$2</c:f>
              <c:strCache>
                <c:ptCount val="1"/>
                <c:pt idx="0">
                  <c:v>Other stockpile</c:v>
                </c:pt>
              </c:strCache>
            </c:strRef>
          </c:tx>
          <c:spPr>
            <a:solidFill>
              <a:srgbClr val="14405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Model!$BL$5:$BL$33</c:f>
              <c:numCache>
                <c:formatCode>#,##0</c:formatCode>
                <c:ptCount val="29"/>
                <c:pt idx="0">
                  <c:v>66.252474460931282</c:v>
                </c:pt>
                <c:pt idx="1">
                  <c:v>81.155542890821948</c:v>
                </c:pt>
                <c:pt idx="2">
                  <c:v>94.622</c:v>
                </c:pt>
                <c:pt idx="3">
                  <c:v>75.310263607148485</c:v>
                </c:pt>
                <c:pt idx="4">
                  <c:v>74.541538849039114</c:v>
                </c:pt>
                <c:pt idx="5">
                  <c:v>74.950935120519659</c:v>
                </c:pt>
                <c:pt idx="6">
                  <c:v>74.433356485633396</c:v>
                </c:pt>
                <c:pt idx="7">
                  <c:v>73.86031160342344</c:v>
                </c:pt>
                <c:pt idx="8">
                  <c:v>70.760832822174507</c:v>
                </c:pt>
                <c:pt idx="9">
                  <c:v>70.545476940377768</c:v>
                </c:pt>
                <c:pt idx="10">
                  <c:v>71.634945376154192</c:v>
                </c:pt>
                <c:pt idx="11">
                  <c:v>70.212430235663618</c:v>
                </c:pt>
                <c:pt idx="12">
                  <c:v>70.35872051436084</c:v>
                </c:pt>
                <c:pt idx="13">
                  <c:v>71.645022765327454</c:v>
                </c:pt>
                <c:pt idx="14">
                  <c:v>73.19660467807951</c:v>
                </c:pt>
                <c:pt idx="15">
                  <c:v>75.210373270677593</c:v>
                </c:pt>
                <c:pt idx="16">
                  <c:v>75.588398412589882</c:v>
                </c:pt>
                <c:pt idx="17">
                  <c:v>71.21444637983349</c:v>
                </c:pt>
                <c:pt idx="18">
                  <c:v>63.820966572417205</c:v>
                </c:pt>
                <c:pt idx="19">
                  <c:v>60.451808397591421</c:v>
                </c:pt>
                <c:pt idx="20">
                  <c:v>57.030862726309614</c:v>
                </c:pt>
                <c:pt idx="21">
                  <c:v>54.776644271227603</c:v>
                </c:pt>
                <c:pt idx="22">
                  <c:v>53.81603867360699</c:v>
                </c:pt>
                <c:pt idx="23">
                  <c:v>53.699257035096629</c:v>
                </c:pt>
                <c:pt idx="24">
                  <c:v>53.130493559979428</c:v>
                </c:pt>
                <c:pt idx="25">
                  <c:v>50.280984057564517</c:v>
                </c:pt>
                <c:pt idx="26">
                  <c:v>47.17879096687841</c:v>
                </c:pt>
                <c:pt idx="27">
                  <c:v>42.621824592330015</c:v>
                </c:pt>
                <c:pt idx="28">
                  <c:v>37.575368275598755</c:v>
                </c:pt>
              </c:numCache>
            </c:numRef>
          </c:val>
          <c:extLst>
            <c:ext xmlns:c16="http://schemas.microsoft.com/office/drawing/2014/chart" uri="{C3380CC4-5D6E-409C-BE32-E72D297353CC}">
              <c16:uniqueId val="{00000001-0818-4654-A5D7-37F23E84CFDB}"/>
            </c:ext>
          </c:extLst>
        </c:ser>
        <c:dLbls>
          <c:showLegendKey val="0"/>
          <c:showVal val="0"/>
          <c:showCatName val="0"/>
          <c:showSerName val="0"/>
          <c:showPercent val="0"/>
          <c:showBubbleSize val="0"/>
        </c:dLbls>
        <c:axId val="524461408"/>
        <c:axId val="524461824"/>
      </c:areaChart>
      <c:catAx>
        <c:axId val="524461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824"/>
        <c:crosses val="autoZero"/>
        <c:auto val="1"/>
        <c:lblAlgn val="ctr"/>
        <c:lblOffset val="100"/>
        <c:tickLblSkip val="2"/>
        <c:noMultiLvlLbl val="0"/>
      </c:catAx>
      <c:valAx>
        <c:axId val="524461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million NZUs </a:t>
                </a:r>
              </a:p>
            </c:rich>
          </c:tx>
          <c:layout>
            <c:manualLayout>
              <c:xMode val="edge"/>
              <c:yMode val="edge"/>
              <c:x val="9.1762523210143099E-3"/>
              <c:y val="0.3496176952192918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408"/>
        <c:crosses val="autoZero"/>
        <c:crossBetween val="midCat"/>
      </c:valAx>
      <c:spPr>
        <a:noFill/>
        <a:ln>
          <a:noFill/>
        </a:ln>
        <a:effectLst/>
      </c:spPr>
    </c:plotArea>
    <c:legend>
      <c:legendPos val="b"/>
      <c:layout>
        <c:manualLayout>
          <c:xMode val="edge"/>
          <c:yMode val="edge"/>
          <c:x val="0.15149968164381591"/>
          <c:y val="4.6831364503244967E-2"/>
          <c:w val="0.68305564723063772"/>
          <c:h val="7.24328409258360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25875744058953E-2"/>
          <c:y val="2.7439321618347581E-2"/>
          <c:w val="0.86635364127744385"/>
          <c:h val="0.89119692145976936"/>
        </c:manualLayout>
      </c:layout>
      <c:areaChart>
        <c:grouping val="stacked"/>
        <c:varyColors val="0"/>
        <c:ser>
          <c:idx val="0"/>
          <c:order val="0"/>
          <c:tx>
            <c:strRef>
              <c:f>Removals!$C$2</c:f>
              <c:strCache>
                <c:ptCount val="1"/>
                <c:pt idx="0">
                  <c:v>No liability</c:v>
                </c:pt>
              </c:strCache>
            </c:strRef>
          </c:tx>
          <c:spPr>
            <a:solidFill>
              <a:srgbClr val="83D3C6"/>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Removals!$C$5:$C$33</c:f>
              <c:numCache>
                <c:formatCode>0.0</c:formatCode>
                <c:ptCount val="29"/>
                <c:pt idx="0">
                  <c:v>4.3734773485979597</c:v>
                </c:pt>
                <c:pt idx="1">
                  <c:v>5.5215918458227504</c:v>
                </c:pt>
                <c:pt idx="2">
                  <c:v>6.6446509993934484</c:v>
                </c:pt>
                <c:pt idx="3">
                  <c:v>8.3190243126254551</c:v>
                </c:pt>
                <c:pt idx="4">
                  <c:v>10.401914506577755</c:v>
                </c:pt>
                <c:pt idx="5">
                  <c:v>12.485742842104759</c:v>
                </c:pt>
                <c:pt idx="6">
                  <c:v>14.152025165406336</c:v>
                </c:pt>
                <c:pt idx="7">
                  <c:v>15.168876003833965</c:v>
                </c:pt>
                <c:pt idx="8">
                  <c:v>15.563621038300418</c:v>
                </c:pt>
                <c:pt idx="9">
                  <c:v>15.728732200626675</c:v>
                </c:pt>
                <c:pt idx="10">
                  <c:v>15.98729921126731</c:v>
                </c:pt>
                <c:pt idx="11">
                  <c:v>16.579736936540396</c:v>
                </c:pt>
                <c:pt idx="12">
                  <c:v>17.36498017290781</c:v>
                </c:pt>
                <c:pt idx="13">
                  <c:v>17.764058933452201</c:v>
                </c:pt>
                <c:pt idx="14">
                  <c:v>17.947466854155575</c:v>
                </c:pt>
                <c:pt idx="15">
                  <c:v>18.192567325487644</c:v>
                </c:pt>
                <c:pt idx="16">
                  <c:v>17.122154476992677</c:v>
                </c:pt>
                <c:pt idx="17">
                  <c:v>15.941385738360241</c:v>
                </c:pt>
                <c:pt idx="18">
                  <c:v>15.236528255876934</c:v>
                </c:pt>
                <c:pt idx="19">
                  <c:v>15.347520321596416</c:v>
                </c:pt>
                <c:pt idx="20">
                  <c:v>15.514687464231649</c:v>
                </c:pt>
                <c:pt idx="21">
                  <c:v>15.660715826959915</c:v>
                </c:pt>
                <c:pt idx="22">
                  <c:v>15.759155189935722</c:v>
                </c:pt>
                <c:pt idx="23">
                  <c:v>15.881829730245666</c:v>
                </c:pt>
                <c:pt idx="24">
                  <c:v>16.01528205822212</c:v>
                </c:pt>
                <c:pt idx="25">
                  <c:v>16.161700778430387</c:v>
                </c:pt>
                <c:pt idx="26">
                  <c:v>16.294325733612549</c:v>
                </c:pt>
                <c:pt idx="27">
                  <c:v>16.437615463454009</c:v>
                </c:pt>
                <c:pt idx="28">
                  <c:v>16.584731147867849</c:v>
                </c:pt>
              </c:numCache>
            </c:numRef>
          </c:val>
          <c:extLst>
            <c:ext xmlns:c16="http://schemas.microsoft.com/office/drawing/2014/chart" uri="{C3380CC4-5D6E-409C-BE32-E72D297353CC}">
              <c16:uniqueId val="{00000000-05E9-4373-A4E8-4857BF3B4F86}"/>
            </c:ext>
          </c:extLst>
        </c:ser>
        <c:ser>
          <c:idx val="1"/>
          <c:order val="1"/>
          <c:tx>
            <c:strRef>
              <c:f>Removals!$D$2</c:f>
              <c:strCache>
                <c:ptCount val="1"/>
                <c:pt idx="0">
                  <c:v>With harvest liability</c:v>
                </c:pt>
              </c:strCache>
            </c:strRef>
          </c:tx>
          <c:spPr>
            <a:solidFill>
              <a:schemeClr val="accent6"/>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Removals!$D$5:$D$33</c:f>
              <c:numCache>
                <c:formatCode>0.0</c:formatCode>
                <c:ptCount val="29"/>
                <c:pt idx="0">
                  <c:v>6.8991949995693211</c:v>
                </c:pt>
                <c:pt idx="1">
                  <c:v>6.2522055070772984</c:v>
                </c:pt>
                <c:pt idx="2">
                  <c:v>5.5317668061692098</c:v>
                </c:pt>
                <c:pt idx="3">
                  <c:v>5.1964550120394488</c:v>
                </c:pt>
                <c:pt idx="4">
                  <c:v>4.9690682249806786</c:v>
                </c:pt>
                <c:pt idx="5">
                  <c:v>4.8065288125560421</c:v>
                </c:pt>
                <c:pt idx="6">
                  <c:v>4.6760415211923991</c:v>
                </c:pt>
                <c:pt idx="7">
                  <c:v>4.5850640377802705</c:v>
                </c:pt>
                <c:pt idx="8">
                  <c:v>4.7662829849720358</c:v>
                </c:pt>
                <c:pt idx="9">
                  <c:v>5.0673769836627649</c:v>
                </c:pt>
                <c:pt idx="10">
                  <c:v>5.5732071972629829</c:v>
                </c:pt>
                <c:pt idx="11">
                  <c:v>6.153758348940201</c:v>
                </c:pt>
                <c:pt idx="12">
                  <c:v>6.8793023814401266</c:v>
                </c:pt>
                <c:pt idx="13">
                  <c:v>7.3134707551292921</c:v>
                </c:pt>
                <c:pt idx="14">
                  <c:v>7.6554463640580712</c:v>
                </c:pt>
                <c:pt idx="15">
                  <c:v>7.9033857131870198</c:v>
                </c:pt>
                <c:pt idx="16">
                  <c:v>8.1041522949765543</c:v>
                </c:pt>
                <c:pt idx="17">
                  <c:v>8.0825196790513907</c:v>
                </c:pt>
                <c:pt idx="18">
                  <c:v>7.8346159763625565</c:v>
                </c:pt>
                <c:pt idx="19">
                  <c:v>7.7874285804629082</c:v>
                </c:pt>
                <c:pt idx="20">
                  <c:v>7.7084833631410028</c:v>
                </c:pt>
                <c:pt idx="21">
                  <c:v>7.6104418614154516</c:v>
                </c:pt>
                <c:pt idx="22">
                  <c:v>7.5715408472250481</c:v>
                </c:pt>
                <c:pt idx="23">
                  <c:v>7.5560131157239256</c:v>
                </c:pt>
                <c:pt idx="24">
                  <c:v>7.5610976185075636</c:v>
                </c:pt>
                <c:pt idx="25">
                  <c:v>7.2869599039431625</c:v>
                </c:pt>
                <c:pt idx="26">
                  <c:v>6.9990266782100807</c:v>
                </c:pt>
                <c:pt idx="27">
                  <c:v>6.6034741983414609</c:v>
                </c:pt>
                <c:pt idx="28">
                  <c:v>6.3557423602063654</c:v>
                </c:pt>
              </c:numCache>
            </c:numRef>
          </c:val>
          <c:extLst>
            <c:ext xmlns:c16="http://schemas.microsoft.com/office/drawing/2014/chart" uri="{C3380CC4-5D6E-409C-BE32-E72D297353CC}">
              <c16:uniqueId val="{00000001-05E9-4373-A4E8-4857BF3B4F86}"/>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solidFill>
            <a:ln w="25400">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Removals!$H$5:$H$33</c:f>
              <c:numCache>
                <c:formatCode>0.0</c:formatCode>
                <c:ptCount val="29"/>
                <c:pt idx="0">
                  <c:v>-7.1031544328219329</c:v>
                </c:pt>
                <c:pt idx="1">
                  <c:v>-8.6508629228133689</c:v>
                </c:pt>
                <c:pt idx="2">
                  <c:v>-11.377046089842661</c:v>
                </c:pt>
                <c:pt idx="3">
                  <c:v>-7.3499479603810451</c:v>
                </c:pt>
                <c:pt idx="4">
                  <c:v>-5.7377929830900536</c:v>
                </c:pt>
                <c:pt idx="5">
                  <c:v>-4.3971325410754964</c:v>
                </c:pt>
                <c:pt idx="6">
                  <c:v>-5.1936201560786541</c:v>
                </c:pt>
                <c:pt idx="7">
                  <c:v>-5.1581089199902319</c:v>
                </c:pt>
                <c:pt idx="8">
                  <c:v>-3.6239979382755299</c:v>
                </c:pt>
                <c:pt idx="9">
                  <c:v>-2.5485008013372568</c:v>
                </c:pt>
                <c:pt idx="10">
                  <c:v>-1.7699228292294331</c:v>
                </c:pt>
                <c:pt idx="11">
                  <c:v>-0.69963157172346135</c:v>
                </c:pt>
                <c:pt idx="12">
                  <c:v>-0.93747929870530822</c:v>
                </c:pt>
                <c:pt idx="13">
                  <c:v>-0.77363130105229927</c:v>
                </c:pt>
                <c:pt idx="14">
                  <c:v>-1.3997210036095495</c:v>
                </c:pt>
                <c:pt idx="15">
                  <c:v>-1.4255766098337783</c:v>
                </c:pt>
                <c:pt idx="16">
                  <c:v>-2.4180593222653277</c:v>
                </c:pt>
                <c:pt idx="17">
                  <c:v>-6.0370241886959759</c:v>
                </c:pt>
                <c:pt idx="18">
                  <c:v>-8.4416392835520764</c:v>
                </c:pt>
                <c:pt idx="19">
                  <c:v>-4.5354648744401187</c:v>
                </c:pt>
                <c:pt idx="20">
                  <c:v>-4.6653455444824541</c:v>
                </c:pt>
                <c:pt idx="21">
                  <c:v>-3.6810320133880796</c:v>
                </c:pt>
                <c:pt idx="22">
                  <c:v>-2.5721975224116718</c:v>
                </c:pt>
                <c:pt idx="23">
                  <c:v>-2.0347440037514457</c:v>
                </c:pt>
                <c:pt idx="24">
                  <c:v>-2.6784787576068139</c:v>
                </c:pt>
                <c:pt idx="25">
                  <c:v>-4.9709897423927671</c:v>
                </c:pt>
                <c:pt idx="26">
                  <c:v>-5.1414508701987014</c:v>
                </c:pt>
                <c:pt idx="27">
                  <c:v>-6.4683893885893999</c:v>
                </c:pt>
                <c:pt idx="28">
                  <c:v>-6.939546455164785</c:v>
                </c:pt>
              </c:numCache>
            </c:numRef>
          </c:val>
          <c:extLst>
            <c:ext xmlns:c16="http://schemas.microsoft.com/office/drawing/2014/chart" uri="{C3380CC4-5D6E-409C-BE32-E72D297353CC}">
              <c16:uniqueId val="{00000002-05E9-4373-A4E8-4857BF3B4F86}"/>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2"/>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8.7803612783696153E-2"/>
          <c:y val="1.7710402642709434E-2"/>
          <c:w val="0.72515423807318213"/>
          <c:h val="0.1080600150007244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737657507437"/>
          <c:y val="2.168910621338107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5-F67A-4D2C-8D65-5B521CB5D5FA}"/>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5574.404757506999</c:v>
                </c:pt>
                <c:pt idx="2">
                  <c:v>5011.8116588021785</c:v>
                </c:pt>
                <c:pt idx="3">
                  <c:v>5186.1646310647311</c:v>
                </c:pt>
                <c:pt idx="4">
                  <c:v>4593.174890235935</c:v>
                </c:pt>
                <c:pt idx="5">
                  <c:v>4438.3437882456137</c:v>
                </c:pt>
                <c:pt idx="6">
                  <c:v>4098.1251000483962</c:v>
                </c:pt>
                <c:pt idx="7">
                  <c:v>4042.8539980580772</c:v>
                </c:pt>
                <c:pt idx="8">
                  <c:v>3987.5828960677554</c:v>
                </c:pt>
                <c:pt idx="9">
                  <c:v>3877.0406920871146</c:v>
                </c:pt>
                <c:pt idx="10">
                  <c:v>3766.4984881064738</c:v>
                </c:pt>
                <c:pt idx="11">
                  <c:v>3655.9562841258321</c:v>
                </c:pt>
                <c:pt idx="12">
                  <c:v>3545.4140801451908</c:v>
                </c:pt>
                <c:pt idx="13">
                  <c:v>3434.8718761645496</c:v>
                </c:pt>
                <c:pt idx="14">
                  <c:v>3324.3296721839083</c:v>
                </c:pt>
                <c:pt idx="15">
                  <c:v>3213.7874682032671</c:v>
                </c:pt>
                <c:pt idx="16">
                  <c:v>3103.2452642226249</c:v>
                </c:pt>
                <c:pt idx="17">
                  <c:v>2992.7030602419845</c:v>
                </c:pt>
                <c:pt idx="18">
                  <c:v>2882.1608562613428</c:v>
                </c:pt>
                <c:pt idx="19">
                  <c:v>2716.3475502903812</c:v>
                </c:pt>
                <c:pt idx="20">
                  <c:v>2550.5342443194199</c:v>
                </c:pt>
                <c:pt idx="21">
                  <c:v>2384.7209383484578</c:v>
                </c:pt>
                <c:pt idx="22">
                  <c:v>2218.9076323774957</c:v>
                </c:pt>
                <c:pt idx="23">
                  <c:v>2053.0943264065336</c:v>
                </c:pt>
                <c:pt idx="24">
                  <c:v>1887.2810204355719</c:v>
                </c:pt>
                <c:pt idx="25">
                  <c:v>1721.46771446461</c:v>
                </c:pt>
                <c:pt idx="26">
                  <c:v>1555.6544084936475</c:v>
                </c:pt>
                <c:pt idx="27">
                  <c:v>1389.8411025226862</c:v>
                </c:pt>
                <c:pt idx="28">
                  <c:v>1224.0277965517241</c:v>
                </c:pt>
              </c:numCache>
            </c:numRef>
          </c:val>
          <c:extLst>
            <c:ext xmlns:c16="http://schemas.microsoft.com/office/drawing/2014/chart" uri="{C3380CC4-5D6E-409C-BE32-E72D297353CC}">
              <c16:uniqueId val="{00000000-F67A-4D2C-8D65-5B521CB5D5FA}"/>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7000</c:v>
                </c:pt>
                <c:pt idx="3">
                  <c:v>6000</c:v>
                </c:pt>
                <c:pt idx="4">
                  <c:v>5200</c:v>
                </c:pt>
                <c:pt idx="5">
                  <c:v>4300</c:v>
                </c:pt>
                <c:pt idx="6">
                  <c:v>3300</c:v>
                </c:pt>
                <c:pt idx="7">
                  <c:v>2400</c:v>
                </c:pt>
                <c:pt idx="8">
                  <c:v>1700</c:v>
                </c:pt>
                <c:pt idx="9">
                  <c:v>5700</c:v>
                </c:pt>
                <c:pt idx="10">
                  <c:v>5100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F67A-4D2C-8D65-5B521CB5D5FA}"/>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F67A-4D2C-8D65-5B521CB5D5FA}"/>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Model!$AZ$5:$AZ$33</c:f>
              <c:numCache>
                <c:formatCode>#,##0</c:formatCode>
                <c:ptCount val="29"/>
                <c:pt idx="0">
                  <c:v>0</c:v>
                </c:pt>
                <c:pt idx="1">
                  <c:v>22966.457109178049</c:v>
                </c:pt>
                <c:pt idx="2">
                  <c:v>15756.380238392794</c:v>
                </c:pt>
                <c:pt idx="3">
                  <c:v>14013.622912062683</c:v>
                </c:pt>
                <c:pt idx="4">
                  <c:v>11843.947724918669</c:v>
                </c:pt>
                <c:pt idx="5">
                  <c:v>10551.817965175831</c:v>
                </c:pt>
                <c:pt idx="6">
                  <c:v>8499.3551669894659</c:v>
                </c:pt>
                <c:pt idx="7">
                  <c:v>8006.4174567843784</c:v>
                </c:pt>
                <c:pt idx="8">
                  <c:v>2862.8387740689777</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F67A-4D2C-8D65-5B521CB5D5FA}"/>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Model!$BA$5:$BA$33</c:f>
              <c:numCache>
                <c:formatCode>#,##0</c:formatCode>
                <c:ptCount val="29"/>
                <c:pt idx="1">
                  <c:v>0</c:v>
                </c:pt>
                <c:pt idx="2">
                  <c:v>0</c:v>
                </c:pt>
                <c:pt idx="3">
                  <c:v>0</c:v>
                </c:pt>
                <c:pt idx="4">
                  <c:v>0</c:v>
                </c:pt>
                <c:pt idx="5">
                  <c:v>0</c:v>
                </c:pt>
                <c:pt idx="6">
                  <c:v>0</c:v>
                </c:pt>
                <c:pt idx="7">
                  <c:v>0</c:v>
                </c:pt>
                <c:pt idx="8">
                  <c:v>4241.7638279454368</c:v>
                </c:pt>
                <c:pt idx="9">
                  <c:v>2734.2320641222541</c:v>
                </c:pt>
                <c:pt idx="10">
                  <c:v>2713.8159322571119</c:v>
                </c:pt>
                <c:pt idx="11">
                  <c:v>6876.6419177073112</c:v>
                </c:pt>
                <c:pt idx="12">
                  <c:v>5795.5328040375898</c:v>
                </c:pt>
                <c:pt idx="13">
                  <c:v>5253.5372031103871</c:v>
                </c:pt>
                <c:pt idx="14">
                  <c:v>4704.1434476964459</c:v>
                </c:pt>
                <c:pt idx="15">
                  <c:v>4464.0405107551633</c:v>
                </c:pt>
                <c:pt idx="16">
                  <c:v>5308.0678307989256</c:v>
                </c:pt>
                <c:pt idx="17">
                  <c:v>6419.4475231118158</c:v>
                </c:pt>
                <c:pt idx="18">
                  <c:v>6786.4565002267627</c:v>
                </c:pt>
                <c:pt idx="19">
                  <c:v>6621.1218808485683</c:v>
                </c:pt>
                <c:pt idx="20">
                  <c:v>6464.0834899403526</c:v>
                </c:pt>
                <c:pt idx="21">
                  <c:v>6183.6283031093881</c:v>
                </c:pt>
                <c:pt idx="22">
                  <c:v>5959.9489224339814</c:v>
                </c:pt>
                <c:pt idx="23">
                  <c:v>5638.0507504828383</c:v>
                </c:pt>
                <c:pt idx="24">
                  <c:v>5451.3823360179522</c:v>
                </c:pt>
                <c:pt idx="25">
                  <c:v>5165.4796639653068</c:v>
                </c:pt>
                <c:pt idx="26">
                  <c:v>4959.768898697479</c:v>
                </c:pt>
                <c:pt idx="27">
                  <c:v>4692.0511843004606</c:v>
                </c:pt>
                <c:pt idx="28">
                  <c:v>4462.6522217728452</c:v>
                </c:pt>
              </c:numCache>
            </c:numRef>
          </c:val>
          <c:extLst>
            <c:ext xmlns:c16="http://schemas.microsoft.com/office/drawing/2014/chart" uri="{C3380CC4-5D6E-409C-BE32-E72D297353CC}">
              <c16:uniqueId val="{00000000-DF37-43A1-AC46-5525492B05BF}"/>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Model!$AL$5:$AL$33</c:f>
              <c:numCache>
                <c:formatCode>#,##0</c:formatCode>
                <c:ptCount val="29"/>
                <c:pt idx="0">
                  <c:v>4373.4773485979595</c:v>
                </c:pt>
                <c:pt idx="1">
                  <c:v>5521.5918458227507</c:v>
                </c:pt>
                <c:pt idx="2">
                  <c:v>6644.6509993934487</c:v>
                </c:pt>
                <c:pt idx="3">
                  <c:v>8319.0243126254554</c:v>
                </c:pt>
                <c:pt idx="4">
                  <c:v>10401.914506577756</c:v>
                </c:pt>
                <c:pt idx="5">
                  <c:v>12485.742842104759</c:v>
                </c:pt>
                <c:pt idx="6">
                  <c:v>14152.025165406336</c:v>
                </c:pt>
                <c:pt idx="7">
                  <c:v>15168.876003833966</c:v>
                </c:pt>
                <c:pt idx="8">
                  <c:v>15563.621038300418</c:v>
                </c:pt>
                <c:pt idx="9">
                  <c:v>15728.732200626675</c:v>
                </c:pt>
                <c:pt idx="10">
                  <c:v>15987.299211267309</c:v>
                </c:pt>
                <c:pt idx="11">
                  <c:v>16579.736936540397</c:v>
                </c:pt>
                <c:pt idx="12">
                  <c:v>17364.98017290781</c:v>
                </c:pt>
                <c:pt idx="13">
                  <c:v>17764.058933452201</c:v>
                </c:pt>
                <c:pt idx="14">
                  <c:v>17947.466854155577</c:v>
                </c:pt>
                <c:pt idx="15">
                  <c:v>18192.567325487646</c:v>
                </c:pt>
                <c:pt idx="16">
                  <c:v>17122.154476992677</c:v>
                </c:pt>
                <c:pt idx="17">
                  <c:v>15941.385738360241</c:v>
                </c:pt>
                <c:pt idx="18">
                  <c:v>15236.528255876934</c:v>
                </c:pt>
                <c:pt idx="19">
                  <c:v>15347.520321596416</c:v>
                </c:pt>
                <c:pt idx="20">
                  <c:v>15514.687464231649</c:v>
                </c:pt>
                <c:pt idx="21">
                  <c:v>15660.715826959915</c:v>
                </c:pt>
                <c:pt idx="22">
                  <c:v>15759.155189935722</c:v>
                </c:pt>
                <c:pt idx="23">
                  <c:v>15881.829730245667</c:v>
                </c:pt>
                <c:pt idx="24">
                  <c:v>16015.282058222119</c:v>
                </c:pt>
                <c:pt idx="25">
                  <c:v>16161.700778430386</c:v>
                </c:pt>
                <c:pt idx="26">
                  <c:v>16294.32573361255</c:v>
                </c:pt>
                <c:pt idx="27">
                  <c:v>16437.615463454007</c:v>
                </c:pt>
                <c:pt idx="28">
                  <c:v>16584.731147867849</c:v>
                </c:pt>
              </c:numCache>
            </c:numRef>
          </c:val>
          <c:extLst>
            <c:ext xmlns:c16="http://schemas.microsoft.com/office/drawing/2014/chart" uri="{C3380CC4-5D6E-409C-BE32-E72D297353CC}">
              <c16:uniqueId val="{00000004-F67A-4D2C-8D65-5B521CB5D5FA}"/>
            </c:ext>
          </c:extLst>
        </c:ser>
        <c:ser>
          <c:idx val="13"/>
          <c:order val="11"/>
          <c:tx>
            <c:strRef>
              <c:f>Model!$AW$2</c:f>
              <c:strCache>
                <c:ptCount val="1"/>
                <c:pt idx="0">
                  <c:v>Pay back stockpile</c:v>
                </c:pt>
              </c:strCache>
            </c:strRef>
          </c:tx>
          <c:spPr>
            <a:solidFill>
              <a:schemeClr val="accent2">
                <a:lumMod val="80000"/>
                <a:lumOff val="20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Model!$AW$5:$AW$33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19C7-40B7-8CAC-4D73CDD3FA85}"/>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2369-40AF-9094-26809A045FCD}"/>
                  </c:ext>
                </c:extLst>
              </c15:ser>
            </c15:filteredAreaSeries>
          </c:ext>
        </c:extLst>
      </c:areaChart>
      <c:lineChart>
        <c:grouping val="standard"/>
        <c:varyColors val="0"/>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7-F67A-4D2C-8D65-5B521CB5D5FA}"/>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33518.811855752872</c:v>
                </c:pt>
                <c:pt idx="4">
                  <c:v>32039.037121732359</c:v>
                </c:pt>
                <c:pt idx="5">
                  <c:v>31775.904595526205</c:v>
                </c:pt>
                <c:pt idx="6">
                  <c:v>30049.505432444199</c:v>
                </c:pt>
                <c:pt idx="7">
                  <c:v>29618.14745867642</c:v>
                </c:pt>
                <c:pt idx="8">
                  <c:v>28355.806536382588</c:v>
                </c:pt>
                <c:pt idx="9">
                  <c:v>28040.004956836041</c:v>
                </c:pt>
                <c:pt idx="10">
                  <c:v>27567.613631630895</c:v>
                </c:pt>
                <c:pt idx="11">
                  <c:v>27112.335138373543</c:v>
                </c:pt>
                <c:pt idx="12">
                  <c:v>26705.92705709059</c:v>
                </c:pt>
                <c:pt idx="13">
                  <c:v>26452.468012727139</c:v>
                </c:pt>
                <c:pt idx="14">
                  <c:v>25975.939974035929</c:v>
                </c:pt>
                <c:pt idx="15">
                  <c:v>25870.395304446076</c:v>
                </c:pt>
                <c:pt idx="16">
                  <c:v>25533.467572014226</c:v>
                </c:pt>
                <c:pt idx="17">
                  <c:v>25353.53632171404</c:v>
                </c:pt>
                <c:pt idx="18">
                  <c:v>24905.145612365039</c:v>
                </c:pt>
                <c:pt idx="19">
                  <c:v>24684.989752735364</c:v>
                </c:pt>
                <c:pt idx="20">
                  <c:v>24529.30519849142</c:v>
                </c:pt>
                <c:pt idx="21">
                  <c:v>24229.06506841776</c:v>
                </c:pt>
                <c:pt idx="22">
                  <c:v>23938.0117447472</c:v>
                </c:pt>
                <c:pt idx="23">
                  <c:v>23572.974807135037</c:v>
                </c:pt>
                <c:pt idx="24">
                  <c:v>23353.945414675643</c:v>
                </c:pt>
                <c:pt idx="25">
                  <c:v>23048.648156860301</c:v>
                </c:pt>
                <c:pt idx="26">
                  <c:v>22809.749040803676</c:v>
                </c:pt>
                <c:pt idx="27">
                  <c:v>22519.507750277153</c:v>
                </c:pt>
                <c:pt idx="28">
                  <c:v>22271.411166192418</c:v>
                </c:pt>
              </c:numCache>
            </c:numRef>
          </c:val>
          <c:smooth val="0"/>
          <c:extLst>
            <c:ext xmlns:c16="http://schemas.microsoft.com/office/drawing/2014/chart" uri="{C3380CC4-5D6E-409C-BE32-E72D297353CC}">
              <c16:uniqueId val="{00000008-F67A-4D2C-8D65-5B521CB5D5FA}"/>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0-EEF6-45DF-AA37-2416517A3F22}"/>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7816682734569271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Results!$B$2</c:f>
              <c:strCache>
                <c:ptCount val="1"/>
                <c:pt idx="0">
                  <c:v>No liability</c:v>
                </c:pt>
              </c:strCache>
            </c:strRef>
          </c:tx>
          <c:spPr>
            <a:solidFill>
              <a:schemeClr val="accent1"/>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Results!$B$3:$B$33</c:f>
              <c:numCache>
                <c:formatCode>0.0</c:formatCode>
                <c:ptCount val="31"/>
                <c:pt idx="0">
                  <c:v>3.8497408439486671</c:v>
                </c:pt>
                <c:pt idx="1">
                  <c:v>4.0055967121192673</c:v>
                </c:pt>
                <c:pt idx="2">
                  <c:v>4.3734773485979597</c:v>
                </c:pt>
                <c:pt idx="3">
                  <c:v>5.5215918458227504</c:v>
                </c:pt>
                <c:pt idx="4">
                  <c:v>6.6446509993934484</c:v>
                </c:pt>
                <c:pt idx="5">
                  <c:v>8.3190243126254551</c:v>
                </c:pt>
                <c:pt idx="6">
                  <c:v>10.401914506577755</c:v>
                </c:pt>
                <c:pt idx="7">
                  <c:v>12.485742842104759</c:v>
                </c:pt>
                <c:pt idx="8">
                  <c:v>14.152025165406336</c:v>
                </c:pt>
                <c:pt idx="9">
                  <c:v>15.168876003833965</c:v>
                </c:pt>
                <c:pt idx="10">
                  <c:v>15.563621038300418</c:v>
                </c:pt>
                <c:pt idx="11">
                  <c:v>15.728732200626675</c:v>
                </c:pt>
                <c:pt idx="12">
                  <c:v>15.98729921126731</c:v>
                </c:pt>
                <c:pt idx="13">
                  <c:v>16.579736936540396</c:v>
                </c:pt>
                <c:pt idx="14">
                  <c:v>17.36498017290781</c:v>
                </c:pt>
                <c:pt idx="15">
                  <c:v>17.764058933452201</c:v>
                </c:pt>
                <c:pt idx="16">
                  <c:v>17.947466854155575</c:v>
                </c:pt>
                <c:pt idx="17">
                  <c:v>18.192567325487644</c:v>
                </c:pt>
                <c:pt idx="18">
                  <c:v>17.122154476992677</c:v>
                </c:pt>
                <c:pt idx="19">
                  <c:v>15.941385738360241</c:v>
                </c:pt>
                <c:pt idx="20">
                  <c:v>15.236528255876934</c:v>
                </c:pt>
                <c:pt idx="21">
                  <c:v>15.347520321596416</c:v>
                </c:pt>
                <c:pt idx="22">
                  <c:v>15.514687464231649</c:v>
                </c:pt>
                <c:pt idx="23">
                  <c:v>15.660715826959915</c:v>
                </c:pt>
                <c:pt idx="24">
                  <c:v>15.759155189935722</c:v>
                </c:pt>
                <c:pt idx="25">
                  <c:v>15.881829730245666</c:v>
                </c:pt>
                <c:pt idx="26">
                  <c:v>16.01528205822212</c:v>
                </c:pt>
                <c:pt idx="27">
                  <c:v>16.161700778430387</c:v>
                </c:pt>
                <c:pt idx="28">
                  <c:v>16.294325733612549</c:v>
                </c:pt>
                <c:pt idx="29">
                  <c:v>16.437615463454009</c:v>
                </c:pt>
                <c:pt idx="30">
                  <c:v>16.584731147867849</c:v>
                </c:pt>
              </c:numCache>
            </c:numRef>
          </c:val>
          <c:extLst>
            <c:ext xmlns:c16="http://schemas.microsoft.com/office/drawing/2014/chart" uri="{C3380CC4-5D6E-409C-BE32-E72D297353CC}">
              <c16:uniqueId val="{00000000-A525-4753-8A5C-DDA5472A0875}"/>
            </c:ext>
          </c:extLst>
        </c:ser>
        <c:ser>
          <c:idx val="1"/>
          <c:order val="1"/>
          <c:tx>
            <c:strRef>
              <c:f>Results!$C$2</c:f>
              <c:strCache>
                <c:ptCount val="1"/>
                <c:pt idx="0">
                  <c:v>With harvest liability</c:v>
                </c:pt>
              </c:strCache>
            </c:strRef>
          </c:tx>
          <c:spPr>
            <a:solidFill>
              <a:schemeClr val="accent6"/>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Results!$C$3:$C$33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A525-4753-8A5C-DDA5472A087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Results!$D$2</c:f>
              <c:strCache>
                <c:ptCount val="1"/>
                <c:pt idx="0">
                  <c:v>Surrenders</c:v>
                </c:pt>
              </c:strCache>
            </c:strRef>
          </c:tx>
          <c:spPr>
            <a:solidFill>
              <a:schemeClr val="accent5">
                <a:lumMod val="50000"/>
              </a:schemeClr>
            </a:solidFill>
            <a:ln w="25400">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Results!$D$3:$D$33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2-A525-4753-8A5C-DDA5472A087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4"/>
          <c:order val="0"/>
          <c:tx>
            <c:v>Price</c:v>
          </c:tx>
          <c:spPr>
            <a:ln w="28575" cap="rnd">
              <a:solidFill>
                <a:schemeClr val="accent5"/>
              </a:solidFill>
              <a:round/>
            </a:ln>
            <a:effectLst/>
          </c:spPr>
          <c:marker>
            <c:symbol val="none"/>
          </c:marker>
          <c:val>
            <c:numRef>
              <c:f>Results!$AI$8:$AI$33</c:f>
              <c:numCache>
                <c:formatCode>"$"#,##0</c:formatCode>
                <c:ptCount val="26"/>
                <c:pt idx="0">
                  <c:v>65.037999999999997</c:v>
                </c:pt>
                <c:pt idx="1">
                  <c:v>68.224861999999987</c:v>
                </c:pt>
                <c:pt idx="2">
                  <c:v>71.567880237999987</c:v>
                </c:pt>
                <c:pt idx="3">
                  <c:v>75.074706369661982</c:v>
                </c:pt>
                <c:pt idx="4">
                  <c:v>78.753366981775415</c:v>
                </c:pt>
                <c:pt idx="5">
                  <c:v>82.61228196388241</c:v>
                </c:pt>
                <c:pt idx="6">
                  <c:v>80.588281055767297</c:v>
                </c:pt>
                <c:pt idx="7">
                  <c:v>78.613868169900996</c:v>
                </c:pt>
                <c:pt idx="8">
                  <c:v>76.687828399738422</c:v>
                </c:pt>
                <c:pt idx="9">
                  <c:v>74.808976603944828</c:v>
                </c:pt>
                <c:pt idx="10">
                  <c:v>72.976156677148182</c:v>
                </c:pt>
                <c:pt idx="11">
                  <c:v>71.188240838558059</c:v>
                </c:pt>
                <c:pt idx="12">
                  <c:v>69.444128938013392</c:v>
                </c:pt>
                <c:pt idx="13">
                  <c:v>67.742747779032072</c:v>
                </c:pt>
                <c:pt idx="14">
                  <c:v>66.083050458445783</c:v>
                </c:pt>
                <c:pt idx="15">
                  <c:v>64.464015722213858</c:v>
                </c:pt>
                <c:pt idx="16">
                  <c:v>62.884647337019622</c:v>
                </c:pt>
                <c:pt idx="17">
                  <c:v>61.343973477262644</c:v>
                </c:pt>
                <c:pt idx="18">
                  <c:v>59.84104612706971</c:v>
                </c:pt>
                <c:pt idx="19">
                  <c:v>58.374940496956505</c:v>
                </c:pt>
                <c:pt idx="20">
                  <c:v>56.944754454781069</c:v>
                </c:pt>
                <c:pt idx="21">
                  <c:v>55.549607970638938</c:v>
                </c:pt>
                <c:pt idx="22">
                  <c:v>54.188642575358287</c:v>
                </c:pt>
                <c:pt idx="23">
                  <c:v>52.861020832262014</c:v>
                </c:pt>
                <c:pt idx="24">
                  <c:v>51.565925821871595</c:v>
                </c:pt>
                <c:pt idx="25">
                  <c:v>50.302560639235743</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0-F35D-489F-B534-DE8F5E54AB27}"/>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 ($/NZU)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49632004578086"/>
          <c:y val="2.168910043820210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0-7B52-4A7C-8A99-DE57F42C7941}"/>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5574.404757506999</c:v>
                </c:pt>
                <c:pt idx="2">
                  <c:v>5011.8116588021785</c:v>
                </c:pt>
                <c:pt idx="3">
                  <c:v>5186.1646310647311</c:v>
                </c:pt>
                <c:pt idx="4">
                  <c:v>4593.174890235935</c:v>
                </c:pt>
                <c:pt idx="5">
                  <c:v>4438.3437882456137</c:v>
                </c:pt>
                <c:pt idx="6">
                  <c:v>4098.1251000483962</c:v>
                </c:pt>
                <c:pt idx="7">
                  <c:v>4042.8539980580772</c:v>
                </c:pt>
                <c:pt idx="8">
                  <c:v>3987.5828960677554</c:v>
                </c:pt>
                <c:pt idx="9">
                  <c:v>3877.0406920871146</c:v>
                </c:pt>
                <c:pt idx="10">
                  <c:v>3766.4984881064738</c:v>
                </c:pt>
                <c:pt idx="11">
                  <c:v>3655.9562841258321</c:v>
                </c:pt>
                <c:pt idx="12">
                  <c:v>3545.4140801451908</c:v>
                </c:pt>
                <c:pt idx="13">
                  <c:v>3434.8718761645496</c:v>
                </c:pt>
                <c:pt idx="14">
                  <c:v>3324.3296721839083</c:v>
                </c:pt>
                <c:pt idx="15">
                  <c:v>3213.7874682032671</c:v>
                </c:pt>
                <c:pt idx="16">
                  <c:v>3103.2452642226249</c:v>
                </c:pt>
                <c:pt idx="17">
                  <c:v>2992.7030602419845</c:v>
                </c:pt>
                <c:pt idx="18">
                  <c:v>2882.1608562613428</c:v>
                </c:pt>
                <c:pt idx="19">
                  <c:v>2716.3475502903812</c:v>
                </c:pt>
                <c:pt idx="20">
                  <c:v>2550.5342443194199</c:v>
                </c:pt>
                <c:pt idx="21">
                  <c:v>2384.7209383484578</c:v>
                </c:pt>
                <c:pt idx="22">
                  <c:v>2218.9076323774957</c:v>
                </c:pt>
                <c:pt idx="23">
                  <c:v>2053.0943264065336</c:v>
                </c:pt>
                <c:pt idx="24">
                  <c:v>1887.2810204355719</c:v>
                </c:pt>
                <c:pt idx="25">
                  <c:v>1721.46771446461</c:v>
                </c:pt>
                <c:pt idx="26">
                  <c:v>1555.6544084936475</c:v>
                </c:pt>
                <c:pt idx="27">
                  <c:v>1389.8411025226862</c:v>
                </c:pt>
                <c:pt idx="28">
                  <c:v>1224.0277965517241</c:v>
                </c:pt>
              </c:numCache>
            </c:numRef>
          </c:val>
          <c:extLst>
            <c:ext xmlns:c16="http://schemas.microsoft.com/office/drawing/2014/chart" uri="{C3380CC4-5D6E-409C-BE32-E72D297353CC}">
              <c16:uniqueId val="{00000001-7B52-4A7C-8A99-DE57F42C7941}"/>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7000</c:v>
                </c:pt>
                <c:pt idx="3">
                  <c:v>6000</c:v>
                </c:pt>
                <c:pt idx="4">
                  <c:v>5200</c:v>
                </c:pt>
                <c:pt idx="5">
                  <c:v>4300</c:v>
                </c:pt>
                <c:pt idx="6">
                  <c:v>3300</c:v>
                </c:pt>
                <c:pt idx="7">
                  <c:v>2400</c:v>
                </c:pt>
                <c:pt idx="8">
                  <c:v>1700</c:v>
                </c:pt>
                <c:pt idx="9">
                  <c:v>5700</c:v>
                </c:pt>
                <c:pt idx="10">
                  <c:v>5100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7B52-4A7C-8A99-DE57F42C7941}"/>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7B52-4A7C-8A99-DE57F42C7941}"/>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Model!$AY$5:$AY$33</c:f>
              <c:numCache>
                <c:formatCode>#,##0</c:formatCode>
                <c:ptCount val="29"/>
                <c:pt idx="0">
                  <c:v>0</c:v>
                </c:pt>
                <c:pt idx="1">
                  <c:v>22966.457109178049</c:v>
                </c:pt>
                <c:pt idx="2">
                  <c:v>7.2759576141834259E-12</c:v>
                </c:pt>
                <c:pt idx="3">
                  <c:v>0</c:v>
                </c:pt>
                <c:pt idx="4">
                  <c:v>3.637978807091713E-12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7B52-4A7C-8A99-DE57F42C7941}"/>
            </c:ext>
          </c:extLst>
        </c:ser>
        <c:ser>
          <c:idx val="12"/>
          <c:order val="5"/>
          <c:tx>
            <c:strRef>
              <c:f>Model!$BA$2</c:f>
              <c:strCache>
                <c:ptCount val="1"/>
                <c:pt idx="0">
                  <c:v>Other stockpile use</c:v>
                </c:pt>
              </c:strCache>
            </c:strRef>
          </c:tx>
          <c:spPr>
            <a:solidFill>
              <a:srgbClr val="1F3B72"/>
            </a:solidFill>
            <a:ln>
              <a:noFill/>
            </a:ln>
            <a:effectLst/>
          </c:spPr>
          <c:val>
            <c:numRef>
              <c:f>Model!$BA$5:$BA$33</c:f>
              <c:numCache>
                <c:formatCode>#,##0</c:formatCode>
                <c:ptCount val="29"/>
                <c:pt idx="1">
                  <c:v>0</c:v>
                </c:pt>
                <c:pt idx="2">
                  <c:v>0</c:v>
                </c:pt>
                <c:pt idx="3">
                  <c:v>0</c:v>
                </c:pt>
                <c:pt idx="4">
                  <c:v>0</c:v>
                </c:pt>
                <c:pt idx="5">
                  <c:v>0</c:v>
                </c:pt>
                <c:pt idx="6">
                  <c:v>0</c:v>
                </c:pt>
                <c:pt idx="7">
                  <c:v>0</c:v>
                </c:pt>
                <c:pt idx="8">
                  <c:v>4241.7638279454368</c:v>
                </c:pt>
                <c:pt idx="9">
                  <c:v>2734.2320641222541</c:v>
                </c:pt>
                <c:pt idx="10">
                  <c:v>2713.8159322571119</c:v>
                </c:pt>
                <c:pt idx="11">
                  <c:v>6876.6419177073112</c:v>
                </c:pt>
                <c:pt idx="12">
                  <c:v>5795.5328040375898</c:v>
                </c:pt>
                <c:pt idx="13">
                  <c:v>5253.5372031103871</c:v>
                </c:pt>
                <c:pt idx="14">
                  <c:v>4704.1434476964459</c:v>
                </c:pt>
                <c:pt idx="15">
                  <c:v>4464.0405107551633</c:v>
                </c:pt>
                <c:pt idx="16">
                  <c:v>5308.0678307989256</c:v>
                </c:pt>
                <c:pt idx="17">
                  <c:v>6419.4475231118158</c:v>
                </c:pt>
                <c:pt idx="18">
                  <c:v>6786.4565002267627</c:v>
                </c:pt>
                <c:pt idx="19">
                  <c:v>6621.1218808485683</c:v>
                </c:pt>
                <c:pt idx="20">
                  <c:v>6464.0834899403526</c:v>
                </c:pt>
                <c:pt idx="21">
                  <c:v>6183.6283031093881</c:v>
                </c:pt>
                <c:pt idx="22">
                  <c:v>5959.9489224339814</c:v>
                </c:pt>
                <c:pt idx="23">
                  <c:v>5638.0507504828383</c:v>
                </c:pt>
                <c:pt idx="24">
                  <c:v>5451.3823360179522</c:v>
                </c:pt>
                <c:pt idx="25">
                  <c:v>5165.4796639653068</c:v>
                </c:pt>
                <c:pt idx="26">
                  <c:v>4959.768898697479</c:v>
                </c:pt>
                <c:pt idx="27">
                  <c:v>4692.0511843004606</c:v>
                </c:pt>
                <c:pt idx="28">
                  <c:v>4462.6522217728452</c:v>
                </c:pt>
              </c:numCache>
            </c:numRef>
          </c:val>
          <c:extLst>
            <c:ext xmlns:c16="http://schemas.microsoft.com/office/drawing/2014/chart" uri="{C3380CC4-5D6E-409C-BE32-E72D297353CC}">
              <c16:uniqueId val="{00000005-7B52-4A7C-8A99-DE57F42C7941}"/>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Model!$AK$5:$AK$33</c:f>
              <c:numCache>
                <c:formatCode>#,##0</c:formatCode>
                <c:ptCount val="29"/>
                <c:pt idx="0">
                  <c:v>4373.4773485979595</c:v>
                </c:pt>
                <c:pt idx="1">
                  <c:v>5521.5918458227507</c:v>
                </c:pt>
                <c:pt idx="2">
                  <c:v>6644.6509993934487</c:v>
                </c:pt>
                <c:pt idx="3">
                  <c:v>8319.0243126254554</c:v>
                </c:pt>
                <c:pt idx="4">
                  <c:v>10401.914506577756</c:v>
                </c:pt>
                <c:pt idx="5">
                  <c:v>12485.742842104759</c:v>
                </c:pt>
                <c:pt idx="6">
                  <c:v>14152.025165406336</c:v>
                </c:pt>
                <c:pt idx="7">
                  <c:v>15168.876003833966</c:v>
                </c:pt>
                <c:pt idx="8">
                  <c:v>15563.621038300418</c:v>
                </c:pt>
                <c:pt idx="9">
                  <c:v>15728.732200626675</c:v>
                </c:pt>
                <c:pt idx="10">
                  <c:v>15987.299211267309</c:v>
                </c:pt>
                <c:pt idx="11">
                  <c:v>16579.736936540397</c:v>
                </c:pt>
                <c:pt idx="12">
                  <c:v>17364.98017290781</c:v>
                </c:pt>
                <c:pt idx="13">
                  <c:v>17764.058933452201</c:v>
                </c:pt>
                <c:pt idx="14">
                  <c:v>17947.466854155577</c:v>
                </c:pt>
                <c:pt idx="15">
                  <c:v>18192.567325487646</c:v>
                </c:pt>
                <c:pt idx="16">
                  <c:v>17122.154476992677</c:v>
                </c:pt>
                <c:pt idx="17">
                  <c:v>15941.385738360241</c:v>
                </c:pt>
                <c:pt idx="18">
                  <c:v>15236.528255876934</c:v>
                </c:pt>
                <c:pt idx="19">
                  <c:v>15347.520321596416</c:v>
                </c:pt>
                <c:pt idx="20">
                  <c:v>15514.687464231649</c:v>
                </c:pt>
                <c:pt idx="21">
                  <c:v>15660.715826959915</c:v>
                </c:pt>
                <c:pt idx="22">
                  <c:v>15759.155189935722</c:v>
                </c:pt>
                <c:pt idx="23">
                  <c:v>15881.829730245667</c:v>
                </c:pt>
                <c:pt idx="24">
                  <c:v>16015.282058222119</c:v>
                </c:pt>
                <c:pt idx="25">
                  <c:v>16161.700778430386</c:v>
                </c:pt>
                <c:pt idx="26">
                  <c:v>16294.32573361255</c:v>
                </c:pt>
                <c:pt idx="27">
                  <c:v>16437.615463454007</c:v>
                </c:pt>
                <c:pt idx="28">
                  <c:v>16584.731147867849</c:v>
                </c:pt>
              </c:numCache>
            </c:numRef>
          </c:val>
          <c:extLst>
            <c:ext xmlns:c16="http://schemas.microsoft.com/office/drawing/2014/chart" uri="{C3380CC4-5D6E-409C-BE32-E72D297353CC}">
              <c16:uniqueId val="{00000006-7B52-4A7C-8A99-DE57F42C7941}"/>
            </c:ext>
          </c:extLst>
        </c:ser>
        <c:ser>
          <c:idx val="11"/>
          <c:order val="10"/>
          <c:tx>
            <c:v>External forestry purchase</c:v>
          </c:tx>
          <c:spPr>
            <a:solidFill>
              <a:schemeClr val="accent4">
                <a:lumMod val="20000"/>
                <a:lumOff val="80000"/>
              </a:schemeClr>
            </a:solidFill>
            <a:ln>
              <a:noFill/>
            </a:ln>
            <a:effectLst/>
          </c:spPr>
          <c:val>
            <c:numRef>
              <c:f>Model!$AN$5:$AN$33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7B52-4A7C-8A99-DE57F42C7941}"/>
            </c:ext>
          </c:extLst>
        </c:ser>
        <c:dLbls>
          <c:showLegendKey val="0"/>
          <c:showVal val="0"/>
          <c:showCatName val="0"/>
          <c:showSerName val="0"/>
          <c:showPercent val="0"/>
          <c:showBubbleSize val="0"/>
        </c:dLbls>
        <c:axId val="1596047279"/>
        <c:axId val="1596047695"/>
        <c:extLst/>
      </c:areaChart>
      <c:lineChart>
        <c:grouping val="standard"/>
        <c:varyColors val="0"/>
        <c:ser>
          <c:idx val="9"/>
          <c:order val="7"/>
          <c:tx>
            <c:v>Current policy reference zero price</c:v>
          </c:tx>
          <c:spPr>
            <a:ln w="31750"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Model!$L$5:$L$33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8-7B52-4A7C-8A99-DE57F42C7941}"/>
            </c:ext>
          </c:extLst>
        </c:ser>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9-7B52-4A7C-8A99-DE57F42C7941}"/>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33518.811855752872</c:v>
                </c:pt>
                <c:pt idx="4">
                  <c:v>32039.037121732359</c:v>
                </c:pt>
                <c:pt idx="5">
                  <c:v>31775.904595526205</c:v>
                </c:pt>
                <c:pt idx="6">
                  <c:v>30049.505432444199</c:v>
                </c:pt>
                <c:pt idx="7">
                  <c:v>29618.14745867642</c:v>
                </c:pt>
                <c:pt idx="8">
                  <c:v>28355.806536382588</c:v>
                </c:pt>
                <c:pt idx="9">
                  <c:v>28040.004956836041</c:v>
                </c:pt>
                <c:pt idx="10">
                  <c:v>27567.613631630895</c:v>
                </c:pt>
                <c:pt idx="11">
                  <c:v>27112.335138373543</c:v>
                </c:pt>
                <c:pt idx="12">
                  <c:v>26705.92705709059</c:v>
                </c:pt>
                <c:pt idx="13">
                  <c:v>26452.468012727139</c:v>
                </c:pt>
                <c:pt idx="14">
                  <c:v>25975.939974035929</c:v>
                </c:pt>
                <c:pt idx="15">
                  <c:v>25870.395304446076</c:v>
                </c:pt>
                <c:pt idx="16">
                  <c:v>25533.467572014226</c:v>
                </c:pt>
                <c:pt idx="17">
                  <c:v>25353.53632171404</c:v>
                </c:pt>
                <c:pt idx="18">
                  <c:v>24905.145612365039</c:v>
                </c:pt>
                <c:pt idx="19">
                  <c:v>24684.989752735364</c:v>
                </c:pt>
                <c:pt idx="20">
                  <c:v>24529.30519849142</c:v>
                </c:pt>
                <c:pt idx="21">
                  <c:v>24229.06506841776</c:v>
                </c:pt>
                <c:pt idx="22">
                  <c:v>23938.0117447472</c:v>
                </c:pt>
                <c:pt idx="23">
                  <c:v>23572.974807135037</c:v>
                </c:pt>
                <c:pt idx="24">
                  <c:v>23353.945414675643</c:v>
                </c:pt>
                <c:pt idx="25">
                  <c:v>23048.648156860301</c:v>
                </c:pt>
                <c:pt idx="26">
                  <c:v>22809.749040803676</c:v>
                </c:pt>
                <c:pt idx="27">
                  <c:v>22519.507750277153</c:v>
                </c:pt>
                <c:pt idx="28">
                  <c:v>22271.411166192418</c:v>
                </c:pt>
              </c:numCache>
            </c:numRef>
          </c:val>
          <c:smooth val="0"/>
          <c:extLst>
            <c:ext xmlns:c16="http://schemas.microsoft.com/office/drawing/2014/chart" uri="{C3380CC4-5D6E-409C-BE32-E72D297353CC}">
              <c16:uniqueId val="{0000000A-7B52-4A7C-8A99-DE57F42C7941}"/>
            </c:ext>
          </c:extLst>
        </c:ser>
        <c:dLbls>
          <c:showLegendKey val="0"/>
          <c:showVal val="0"/>
          <c:showCatName val="0"/>
          <c:showSerName val="0"/>
          <c:showPercent val="0"/>
          <c:showBubbleSize val="0"/>
        </c:dLbls>
        <c:marker val="1"/>
        <c:smooth val="0"/>
        <c:axId val="1596047279"/>
        <c:axId val="1596047695"/>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80132402302550532"/>
          <c:w val="0.99783967859237865"/>
          <c:h val="0.1986759939631033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rgbClr val="92D050"/>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AA50-4B95-BB81-6FA8ADC9DACD}"/>
            </c:ext>
          </c:extLst>
        </c:ser>
        <c:ser>
          <c:idx val="2"/>
          <c:order val="1"/>
          <c:tx>
            <c:strRef>
              <c:f>Prices!$BC$2</c:f>
              <c:strCache>
                <c:ptCount val="1"/>
                <c:pt idx="0">
                  <c:v>CPR</c:v>
                </c:pt>
              </c:strCache>
            </c:strRef>
          </c:tx>
          <c:spPr>
            <a:ln w="28575" cap="rnd">
              <a:solidFill>
                <a:schemeClr val="accent6">
                  <a:lumMod val="50000"/>
                </a:schemeClr>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Prices!$BC$5:$BC$35</c:f>
              <c:numCache>
                <c:formatCode>#,##0</c:formatCode>
                <c:ptCount val="31"/>
                <c:pt idx="0">
                  <c:v>36911.614290734949</c:v>
                </c:pt>
                <c:pt idx="1">
                  <c:v>38622.246872743861</c:v>
                </c:pt>
                <c:pt idx="2">
                  <c:v>38220.161284166548</c:v>
                </c:pt>
                <c:pt idx="3">
                  <c:v>37837.482205111344</c:v>
                </c:pt>
                <c:pt idx="4">
                  <c:v>37349.398660800616</c:v>
                </c:pt>
                <c:pt idx="5">
                  <c:v>36961.408894031556</c:v>
                </c:pt>
                <c:pt idx="6">
                  <c:v>36827.161947439978</c:v>
                </c:pt>
                <c:pt idx="7">
                  <c:v>36673.182150351182</c:v>
                </c:pt>
                <c:pt idx="8">
                  <c:v>36510.639480378573</c:v>
                </c:pt>
                <c:pt idx="9">
                  <c:v>36570.205651459662</c:v>
                </c:pt>
                <c:pt idx="10">
                  <c:v>35786.405654674054</c:v>
                </c:pt>
                <c:pt idx="11">
                  <c:v>35778.513686598715</c:v>
                </c:pt>
                <c:pt idx="12">
                  <c:v>35104.026931153363</c:v>
                </c:pt>
                <c:pt idx="13">
                  <c:v>34806.179754795972</c:v>
                </c:pt>
                <c:pt idx="14">
                  <c:v>34459.432712152338</c:v>
                </c:pt>
                <c:pt idx="15">
                  <c:v>34096.244055878749</c:v>
                </c:pt>
                <c:pt idx="16">
                  <c:v>33644.49720272635</c:v>
                </c:pt>
                <c:pt idx="17">
                  <c:v>33230.180251030353</c:v>
                </c:pt>
                <c:pt idx="18">
                  <c:v>32722.350324317027</c:v>
                </c:pt>
                <c:pt idx="19">
                  <c:v>32213.96899255387</c:v>
                </c:pt>
                <c:pt idx="20">
                  <c:v>30842.559399565223</c:v>
                </c:pt>
                <c:pt idx="21">
                  <c:v>30248.897027781368</c:v>
                </c:pt>
                <c:pt idx="22">
                  <c:v>29656.68630548074</c:v>
                </c:pt>
                <c:pt idx="23">
                  <c:v>28995.164604489208</c:v>
                </c:pt>
                <c:pt idx="24">
                  <c:v>28409.632385723533</c:v>
                </c:pt>
                <c:pt idx="25">
                  <c:v>27756.136834920737</c:v>
                </c:pt>
                <c:pt idx="26">
                  <c:v>27015.177520324236</c:v>
                </c:pt>
                <c:pt idx="27">
                  <c:v>26270.218573061793</c:v>
                </c:pt>
                <c:pt idx="28">
                  <c:v>25523.541235011537</c:v>
                </c:pt>
                <c:pt idx="29">
                  <c:v>24725.371579114108</c:v>
                </c:pt>
                <c:pt idx="30">
                  <c:v>24058.122866562899</c:v>
                </c:pt>
              </c:numCache>
            </c:numRef>
          </c:val>
          <c:smooth val="0"/>
          <c:extLst>
            <c:ext xmlns:c16="http://schemas.microsoft.com/office/drawing/2014/chart" uri="{C3380CC4-5D6E-409C-BE32-E72D297353CC}">
              <c16:uniqueId val="{00000002-2437-4D81-B441-C664E84AFFC6}"/>
            </c:ext>
          </c:extLst>
        </c:ser>
        <c:ser>
          <c:idx val="0"/>
          <c:order val="2"/>
          <c:tx>
            <c:strRef>
              <c:f>Prices!$BN$2</c:f>
              <c:strCache>
                <c:ptCount val="1"/>
                <c:pt idx="0">
                  <c:v>Demo path - no C price</c:v>
                </c:pt>
              </c:strCache>
            </c:strRef>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0-2437-4D81-B441-C664E84AFFC6}"/>
            </c:ext>
          </c:extLst>
        </c:ser>
        <c:ser>
          <c:idx val="1"/>
          <c:order val="3"/>
          <c:tx>
            <c:strRef>
              <c:f>Prices!$BM$2</c:f>
              <c:strCache>
                <c:ptCount val="1"/>
                <c:pt idx="0">
                  <c:v>2022 Demo path</c:v>
                </c:pt>
              </c:strCache>
            </c:strRef>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1-2437-4D81-B441-C664E84AFFC6}"/>
            </c:ext>
          </c:extLst>
        </c:ser>
        <c:ser>
          <c:idx val="4"/>
          <c:order val="4"/>
          <c:tx>
            <c:v>Demo path reductions</c:v>
          </c:tx>
          <c:spPr>
            <a:ln w="28575" cap="rnd">
              <a:solidFill>
                <a:srgbClr val="FF0000"/>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Prices!$CX$5:$CX$35</c:f>
              <c:numCache>
                <c:formatCode>#,##0</c:formatCode>
                <c:ptCount val="31"/>
                <c:pt idx="0">
                  <c:v>0</c:v>
                </c:pt>
                <c:pt idx="1">
                  <c:v>55.522732167039067</c:v>
                </c:pt>
                <c:pt idx="2">
                  <c:v>170.85291231462907</c:v>
                </c:pt>
                <c:pt idx="3">
                  <c:v>522.32376226930501</c:v>
                </c:pt>
                <c:pt idx="4">
                  <c:v>769.56076476989983</c:v>
                </c:pt>
                <c:pt idx="5">
                  <c:v>1551.0945423445664</c:v>
                </c:pt>
                <c:pt idx="6">
                  <c:v>2012.2302136161961</c:v>
                </c:pt>
                <c:pt idx="7">
                  <c:v>2541.5555972761722</c:v>
                </c:pt>
                <c:pt idx="8">
                  <c:v>3032.4601986703055</c:v>
                </c:pt>
                <c:pt idx="9">
                  <c:v>3537.2723785581584</c:v>
                </c:pt>
                <c:pt idx="10">
                  <c:v>4085.2668055951399</c:v>
                </c:pt>
                <c:pt idx="11">
                  <c:v>4079.1225473527084</c:v>
                </c:pt>
                <c:pt idx="12">
                  <c:v>4106.8246615189746</c:v>
                </c:pt>
                <c:pt idx="13">
                  <c:v>4062.9415020026536</c:v>
                </c:pt>
                <c:pt idx="14">
                  <c:v>4009.6970524262761</c:v>
                </c:pt>
                <c:pt idx="15">
                  <c:v>4053.4975956828275</c:v>
                </c:pt>
                <c:pt idx="16">
                  <c:v>4140.9379705815627</c:v>
                </c:pt>
                <c:pt idx="17">
                  <c:v>4536.1414489719427</c:v>
                </c:pt>
                <c:pt idx="18">
                  <c:v>4800.5771573333259</c:v>
                </c:pt>
                <c:pt idx="19">
                  <c:v>4926.1817093528989</c:v>
                </c:pt>
                <c:pt idx="20">
                  <c:v>5005.3986729851131</c:v>
                </c:pt>
                <c:pt idx="21">
                  <c:v>5093.3805508524747</c:v>
                </c:pt>
                <c:pt idx="22">
                  <c:v>5217.3716591146022</c:v>
                </c:pt>
                <c:pt idx="23">
                  <c:v>5251.220975469625</c:v>
                </c:pt>
                <c:pt idx="24">
                  <c:v>5274.0948283615708</c:v>
                </c:pt>
                <c:pt idx="25">
                  <c:v>5321.6796693239849</c:v>
                </c:pt>
                <c:pt idx="26">
                  <c:v>5291.3759597160788</c:v>
                </c:pt>
                <c:pt idx="27">
                  <c:v>5191.6984368684789</c:v>
                </c:pt>
                <c:pt idx="28">
                  <c:v>5139.0815475826821</c:v>
                </c:pt>
                <c:pt idx="29">
                  <c:v>5214.0596150901783</c:v>
                </c:pt>
                <c:pt idx="30">
                  <c:v>5241.263275278503</c:v>
                </c:pt>
              </c:numCache>
            </c:numRef>
          </c:val>
          <c:smooth val="0"/>
          <c:extLst>
            <c:ext xmlns:c16="http://schemas.microsoft.com/office/drawing/2014/chart" uri="{C3380CC4-5D6E-409C-BE32-E72D297353CC}">
              <c16:uniqueId val="{00000002-AA50-4B95-BB81-6FA8ADC9DACD}"/>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947864655066941E-2"/>
          <c:y val="0.11873793594730561"/>
          <c:w val="0.88911595513719244"/>
          <c:h val="0.82567831661942459"/>
        </c:manualLayout>
      </c:layout>
      <c:scatterChart>
        <c:scatterStyle val="smoothMarker"/>
        <c:varyColors val="0"/>
        <c:ser>
          <c:idx val="7"/>
          <c:order val="0"/>
          <c:tx>
            <c:strRef>
              <c:f>Prices!$DS$3</c:f>
              <c:strCache>
                <c:ptCount val="1"/>
                <c:pt idx="0">
                  <c:v>2030</c:v>
                </c:pt>
              </c:strCache>
            </c:strRef>
          </c:tx>
          <c:spPr>
            <a:ln w="19050" cap="rnd">
              <a:solidFill>
                <a:schemeClr val="accent2">
                  <a:lumMod val="60000"/>
                </a:schemeClr>
              </a:solidFill>
              <a:prstDash val="sysDash"/>
              <a:round/>
            </a:ln>
            <a:effectLst/>
          </c:spPr>
          <c:marker>
            <c:symbol val="none"/>
          </c:marker>
          <c:xVal>
            <c:numRef>
              <c:f>Prices!$DS$5:$DS$11</c:f>
              <c:numCache>
                <c:formatCode>"$"#,##0</c:formatCode>
                <c:ptCount val="7"/>
                <c:pt idx="0">
                  <c:v>73.001284994517135</c:v>
                </c:pt>
                <c:pt idx="1">
                  <c:v>146.00256998903427</c:v>
                </c:pt>
                <c:pt idx="2">
                  <c:v>170.89477371903351</c:v>
                </c:pt>
                <c:pt idx="3">
                  <c:v>219.00385498355143</c:v>
                </c:pt>
                <c:pt idx="4">
                  <c:v>292.00513997806854</c:v>
                </c:pt>
                <c:pt idx="5">
                  <c:v>365.00642497258576</c:v>
                </c:pt>
                <c:pt idx="6">
                  <c:v>438.00770996710287</c:v>
                </c:pt>
              </c:numCache>
            </c:numRef>
          </c:xVal>
          <c:yVal>
            <c:numRef>
              <c:f>Prices!$DT$5:$DT$11</c:f>
              <c:numCache>
                <c:formatCode>#,##0</c:formatCode>
                <c:ptCount val="7"/>
                <c:pt idx="0">
                  <c:v>2295.2378669115387</c:v>
                </c:pt>
                <c:pt idx="1">
                  <c:v>3712.1132365735393</c:v>
                </c:pt>
                <c:pt idx="2">
                  <c:v>4085.2668055951399</c:v>
                </c:pt>
                <c:pt idx="3">
                  <c:v>5215.6782353470262</c:v>
                </c:pt>
                <c:pt idx="4">
                  <c:v>6391.0408467528141</c:v>
                </c:pt>
                <c:pt idx="5">
                  <c:v>7147.0074387769309</c:v>
                </c:pt>
                <c:pt idx="6">
                  <c:v>8133.9932224931908</c:v>
                </c:pt>
              </c:numCache>
            </c:numRef>
          </c:yVal>
          <c:smooth val="1"/>
          <c:extLst>
            <c:ext xmlns:c16="http://schemas.microsoft.com/office/drawing/2014/chart" uri="{C3380CC4-5D6E-409C-BE32-E72D297353CC}">
              <c16:uniqueId val="{00000007-49A7-4348-BD22-CD367A51C53C}"/>
            </c:ext>
          </c:extLst>
        </c:ser>
        <c:ser>
          <c:idx val="8"/>
          <c:order val="1"/>
          <c:tx>
            <c:strRef>
              <c:f>Prices!$DU$3</c:f>
              <c:strCache>
                <c:ptCount val="1"/>
                <c:pt idx="0">
                  <c:v>2035</c:v>
                </c:pt>
              </c:strCache>
            </c:strRef>
          </c:tx>
          <c:spPr>
            <a:ln w="19050" cap="rnd">
              <a:solidFill>
                <a:schemeClr val="accent3">
                  <a:lumMod val="60000"/>
                </a:schemeClr>
              </a:solidFill>
              <a:prstDash val="sysDash"/>
              <a:round/>
            </a:ln>
            <a:effectLst/>
          </c:spPr>
          <c:marker>
            <c:symbol val="none"/>
          </c:marker>
          <c:xVal>
            <c:numRef>
              <c:f>Prices!$DU$5:$DU$11</c:f>
              <c:numCache>
                <c:formatCode>"$"#,##0</c:formatCode>
                <c:ptCount val="7"/>
                <c:pt idx="0">
                  <c:v>84.628497084729347</c:v>
                </c:pt>
                <c:pt idx="1">
                  <c:v>169.25699416945869</c:v>
                </c:pt>
                <c:pt idx="2">
                  <c:v>198.11388060584056</c:v>
                </c:pt>
                <c:pt idx="3">
                  <c:v>253.88549125418805</c:v>
                </c:pt>
                <c:pt idx="4">
                  <c:v>338.51398833891739</c:v>
                </c:pt>
                <c:pt idx="5">
                  <c:v>423.1424854236468</c:v>
                </c:pt>
                <c:pt idx="6">
                  <c:v>507.77098250837611</c:v>
                </c:pt>
              </c:numCache>
            </c:numRef>
          </c:xVal>
          <c:yVal>
            <c:numRef>
              <c:f>Prices!$DV$5:$DV$11</c:f>
              <c:numCache>
                <c:formatCode>#,##0</c:formatCode>
                <c:ptCount val="7"/>
                <c:pt idx="0">
                  <c:v>1423.274319530723</c:v>
                </c:pt>
                <c:pt idx="1">
                  <c:v>3321.3593459939366</c:v>
                </c:pt>
                <c:pt idx="2">
                  <c:v>4053.4975956828275</c:v>
                </c:pt>
                <c:pt idx="3">
                  <c:v>5174.1794277371955</c:v>
                </c:pt>
                <c:pt idx="4">
                  <c:v>6489.8995507785257</c:v>
                </c:pt>
                <c:pt idx="5">
                  <c:v>7527.2104315758443</c:v>
                </c:pt>
                <c:pt idx="6">
                  <c:v>8106.883327128613</c:v>
                </c:pt>
              </c:numCache>
            </c:numRef>
          </c:yVal>
          <c:smooth val="1"/>
          <c:extLst>
            <c:ext xmlns:c16="http://schemas.microsoft.com/office/drawing/2014/chart" uri="{C3380CC4-5D6E-409C-BE32-E72D297353CC}">
              <c16:uniqueId val="{00000008-49A7-4348-BD22-CD367A51C53C}"/>
            </c:ext>
          </c:extLst>
        </c:ser>
        <c:ser>
          <c:idx val="9"/>
          <c:order val="2"/>
          <c:tx>
            <c:strRef>
              <c:f>Prices!$DW$3</c:f>
              <c:strCache>
                <c:ptCount val="1"/>
                <c:pt idx="0">
                  <c:v>2050</c:v>
                </c:pt>
              </c:strCache>
            </c:strRef>
          </c:tx>
          <c:spPr>
            <a:ln w="19050" cap="rnd">
              <a:solidFill>
                <a:schemeClr val="accent4">
                  <a:lumMod val="60000"/>
                </a:schemeClr>
              </a:solidFill>
              <a:prstDash val="sysDash"/>
              <a:round/>
            </a:ln>
            <a:effectLst/>
          </c:spPr>
          <c:marker>
            <c:symbol val="none"/>
          </c:marker>
          <c:xVal>
            <c:numRef>
              <c:f>Prices!$DW$5:$DW$11</c:f>
              <c:numCache>
                <c:formatCode>"$"#,##0</c:formatCode>
                <c:ptCount val="7"/>
                <c:pt idx="0">
                  <c:v>131.84844097390118</c:v>
                </c:pt>
                <c:pt idx="1">
                  <c:v>23.972443813436573</c:v>
                </c:pt>
                <c:pt idx="2">
                  <c:v>308.65497076023405</c:v>
                </c:pt>
                <c:pt idx="3">
                  <c:v>395.54532292170347</c:v>
                </c:pt>
                <c:pt idx="4">
                  <c:v>527.39376389560471</c:v>
                </c:pt>
                <c:pt idx="5">
                  <c:v>659.24220486950583</c:v>
                </c:pt>
                <c:pt idx="6">
                  <c:v>791.09064584340695</c:v>
                </c:pt>
              </c:numCache>
            </c:numRef>
          </c:xVal>
          <c:yVal>
            <c:numRef>
              <c:f>Prices!$DX$5:$DX$11</c:f>
              <c:numCache>
                <c:formatCode>#,##0</c:formatCode>
                <c:ptCount val="7"/>
                <c:pt idx="0">
                  <c:v>2974.2450417017317</c:v>
                </c:pt>
                <c:pt idx="1">
                  <c:v>4773.4709044757619</c:v>
                </c:pt>
                <c:pt idx="2">
                  <c:v>5241.263275278503</c:v>
                </c:pt>
                <c:pt idx="3">
                  <c:v>5843.4569974139758</c:v>
                </c:pt>
                <c:pt idx="4">
                  <c:v>6341.2282011830675</c:v>
                </c:pt>
                <c:pt idx="5">
                  <c:v>6530.0093205987114</c:v>
                </c:pt>
                <c:pt idx="6">
                  <c:v>6690.7569470741464</c:v>
                </c:pt>
              </c:numCache>
            </c:numRef>
          </c:yVal>
          <c:smooth val="1"/>
          <c:extLst>
            <c:ext xmlns:c16="http://schemas.microsoft.com/office/drawing/2014/chart" uri="{C3380CC4-5D6E-409C-BE32-E72D297353CC}">
              <c16:uniqueId val="{00000009-49A7-4348-BD22-CD367A51C53C}"/>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8397936413689"/>
          <c:y val="5.7999871938406264E-2"/>
          <c:w val="0.73660804858154605"/>
          <c:h val="0.85032667958520536"/>
        </c:manualLayout>
      </c:layout>
      <c:lineChart>
        <c:grouping val="standard"/>
        <c:varyColors val="0"/>
        <c:ser>
          <c:idx val="0"/>
          <c:order val="0"/>
          <c:tx>
            <c:v>Demo path</c:v>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Prices!$N$5:$N$35</c:f>
              <c:numCache>
                <c:formatCode>"$"#,##0</c:formatCode>
                <c:ptCount val="31"/>
                <c:pt idx="0">
                  <c:v>35.614035087719301</c:v>
                </c:pt>
                <c:pt idx="1">
                  <c:v>54.971026696703426</c:v>
                </c:pt>
                <c:pt idx="2">
                  <c:v>82.739190397305777</c:v>
                </c:pt>
                <c:pt idx="3">
                  <c:v>93.75863831252174</c:v>
                </c:pt>
                <c:pt idx="4">
                  <c:v>104.77808622773772</c:v>
                </c:pt>
                <c:pt idx="5">
                  <c:v>115.79753414295368</c:v>
                </c:pt>
                <c:pt idx="6">
                  <c:v>126.81698205816964</c:v>
                </c:pt>
                <c:pt idx="7">
                  <c:v>137.83642997338561</c:v>
                </c:pt>
                <c:pt idx="8">
                  <c:v>148.85587788860158</c:v>
                </c:pt>
                <c:pt idx="9">
                  <c:v>159.87532580381753</c:v>
                </c:pt>
                <c:pt idx="10">
                  <c:v>170.89477371903348</c:v>
                </c:pt>
                <c:pt idx="11">
                  <c:v>176.02161693060449</c:v>
                </c:pt>
                <c:pt idx="12">
                  <c:v>181.30226543852265</c:v>
                </c:pt>
                <c:pt idx="13">
                  <c:v>186.74133340167833</c:v>
                </c:pt>
                <c:pt idx="14">
                  <c:v>192.34357340372867</c:v>
                </c:pt>
                <c:pt idx="15">
                  <c:v>198.11388060584056</c:v>
                </c:pt>
                <c:pt idx="16">
                  <c:v>204.05729702401578</c:v>
                </c:pt>
                <c:pt idx="17">
                  <c:v>210.17901593473627</c:v>
                </c:pt>
                <c:pt idx="18">
                  <c:v>216.48438641277835</c:v>
                </c:pt>
                <c:pt idx="19">
                  <c:v>222.97891800516172</c:v>
                </c:pt>
                <c:pt idx="20">
                  <c:v>229.66828554531656</c:v>
                </c:pt>
                <c:pt idx="21">
                  <c:v>236.55833411167606</c:v>
                </c:pt>
                <c:pt idx="22">
                  <c:v>243.65508413502639</c:v>
                </c:pt>
                <c:pt idx="23">
                  <c:v>250.96473665907718</c:v>
                </c:pt>
                <c:pt idx="24">
                  <c:v>258.49367875884951</c:v>
                </c:pt>
                <c:pt idx="25">
                  <c:v>266.24848912161502</c:v>
                </c:pt>
                <c:pt idx="26">
                  <c:v>274.23594379526349</c:v>
                </c:pt>
                <c:pt idx="27">
                  <c:v>282.46302210912143</c:v>
                </c:pt>
                <c:pt idx="28">
                  <c:v>290.93691277239503</c:v>
                </c:pt>
                <c:pt idx="29">
                  <c:v>299.66502015556688</c:v>
                </c:pt>
                <c:pt idx="30">
                  <c:v>308.65497076023394</c:v>
                </c:pt>
              </c:numCache>
            </c:numRef>
          </c:val>
          <c:smooth val="0"/>
          <c:extLst>
            <c:ext xmlns:c16="http://schemas.microsoft.com/office/drawing/2014/chart" uri="{C3380CC4-5D6E-409C-BE32-E72D297353CC}">
              <c16:uniqueId val="{00000000-1B1E-4DDB-9D29-3A9E85148CA4}"/>
            </c:ext>
          </c:extLst>
        </c:ser>
        <c:ser>
          <c:idx val="1"/>
          <c:order val="1"/>
          <c:tx>
            <c:v>$300</c:v>
          </c:tx>
          <c:spPr>
            <a:ln w="28575" cap="rnd">
              <a:solidFill>
                <a:schemeClr val="accent3"/>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Prices!$L$5:$L$35</c:f>
              <c:numCache>
                <c:formatCode>"$"#,##0</c:formatCode>
                <c:ptCount val="31"/>
                <c:pt idx="0">
                  <c:v>35.614035087719301</c:v>
                </c:pt>
                <c:pt idx="1">
                  <c:v>54.971026696703426</c:v>
                </c:pt>
                <c:pt idx="2">
                  <c:v>82.739190397305777</c:v>
                </c:pt>
                <c:pt idx="3">
                  <c:v>356.14035087719299</c:v>
                </c:pt>
                <c:pt idx="4">
                  <c:v>366.82456140350877</c:v>
                </c:pt>
                <c:pt idx="5">
                  <c:v>377.82929824561398</c:v>
                </c:pt>
                <c:pt idx="6">
                  <c:v>389.16417719298249</c:v>
                </c:pt>
                <c:pt idx="7">
                  <c:v>400.83910250877193</c:v>
                </c:pt>
                <c:pt idx="8">
                  <c:v>412.86427558403506</c:v>
                </c:pt>
                <c:pt idx="9">
                  <c:v>425.25020385155614</c:v>
                </c:pt>
                <c:pt idx="10">
                  <c:v>438.00770996710281</c:v>
                </c:pt>
                <c:pt idx="11">
                  <c:v>451.14794126611588</c:v>
                </c:pt>
                <c:pt idx="12">
                  <c:v>464.6823795040994</c:v>
                </c:pt>
                <c:pt idx="13">
                  <c:v>478.62285088922243</c:v>
                </c:pt>
                <c:pt idx="14">
                  <c:v>492.98153641589909</c:v>
                </c:pt>
                <c:pt idx="15">
                  <c:v>507.77098250837611</c:v>
                </c:pt>
                <c:pt idx="16">
                  <c:v>523.00411198362735</c:v>
                </c:pt>
                <c:pt idx="17">
                  <c:v>538.69423534313626</c:v>
                </c:pt>
                <c:pt idx="18">
                  <c:v>554.85506240343022</c:v>
                </c:pt>
                <c:pt idx="19">
                  <c:v>571.50071427553326</c:v>
                </c:pt>
                <c:pt idx="20">
                  <c:v>588.64573570379923</c:v>
                </c:pt>
                <c:pt idx="21">
                  <c:v>606.30510777491315</c:v>
                </c:pt>
                <c:pt idx="22">
                  <c:v>624.49426100816061</c:v>
                </c:pt>
                <c:pt idx="23">
                  <c:v>643.22908883840546</c:v>
                </c:pt>
                <c:pt idx="24">
                  <c:v>662.5259615035576</c:v>
                </c:pt>
                <c:pt idx="25">
                  <c:v>682.40174034866436</c:v>
                </c:pt>
                <c:pt idx="26">
                  <c:v>702.87379255912435</c:v>
                </c:pt>
                <c:pt idx="27">
                  <c:v>723.96000633589802</c:v>
                </c:pt>
                <c:pt idx="28">
                  <c:v>745.67880652597489</c:v>
                </c:pt>
                <c:pt idx="29">
                  <c:v>768.04917072175419</c:v>
                </c:pt>
                <c:pt idx="30">
                  <c:v>791.09064584340683</c:v>
                </c:pt>
              </c:numCache>
            </c:numRef>
          </c:val>
          <c:smooth val="0"/>
          <c:extLst>
            <c:ext xmlns:c16="http://schemas.microsoft.com/office/drawing/2014/chart" uri="{C3380CC4-5D6E-409C-BE32-E72D297353CC}">
              <c16:uniqueId val="{00000001-1B1E-4DDB-9D29-3A9E85148CA4}"/>
            </c:ext>
          </c:extLst>
        </c:ser>
        <c:ser>
          <c:idx val="2"/>
          <c:order val="2"/>
          <c:tx>
            <c:v>$50</c:v>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Prices!$M$5:$M$35</c:f>
              <c:numCache>
                <c:formatCode>"$"#,##0</c:formatCode>
                <c:ptCount val="31"/>
                <c:pt idx="0">
                  <c:v>35.614035087719301</c:v>
                </c:pt>
                <c:pt idx="1">
                  <c:v>54.971026696703426</c:v>
                </c:pt>
                <c:pt idx="2">
                  <c:v>82.739190397305777</c:v>
                </c:pt>
                <c:pt idx="3">
                  <c:v>59.356725146198826</c:v>
                </c:pt>
                <c:pt idx="4">
                  <c:v>61.137426900584792</c:v>
                </c:pt>
                <c:pt idx="5">
                  <c:v>62.971549707602342</c:v>
                </c:pt>
                <c:pt idx="6">
                  <c:v>64.860696198830411</c:v>
                </c:pt>
                <c:pt idx="7">
                  <c:v>66.806517084795317</c:v>
                </c:pt>
                <c:pt idx="8">
                  <c:v>68.810712597339176</c:v>
                </c:pt>
                <c:pt idx="9">
                  <c:v>70.875033975259356</c:v>
                </c:pt>
                <c:pt idx="10">
                  <c:v>73.001284994517135</c:v>
                </c:pt>
                <c:pt idx="11">
                  <c:v>75.191323544352656</c:v>
                </c:pt>
                <c:pt idx="12">
                  <c:v>77.447063250683229</c:v>
                </c:pt>
                <c:pt idx="13">
                  <c:v>79.770475148203744</c:v>
                </c:pt>
                <c:pt idx="14">
                  <c:v>82.163589402649862</c:v>
                </c:pt>
                <c:pt idx="15">
                  <c:v>84.628497084729361</c:v>
                </c:pt>
                <c:pt idx="16">
                  <c:v>87.167351997271226</c:v>
                </c:pt>
                <c:pt idx="17">
                  <c:v>89.782372557189362</c:v>
                </c:pt>
                <c:pt idx="18">
                  <c:v>92.475843733905052</c:v>
                </c:pt>
                <c:pt idx="19">
                  <c:v>95.250119045922204</c:v>
                </c:pt>
                <c:pt idx="20">
                  <c:v>98.107622617299867</c:v>
                </c:pt>
                <c:pt idx="21">
                  <c:v>101.05085129581887</c:v>
                </c:pt>
                <c:pt idx="22">
                  <c:v>104.08237683469343</c:v>
                </c:pt>
                <c:pt idx="23">
                  <c:v>107.20484813973424</c:v>
                </c:pt>
                <c:pt idx="24">
                  <c:v>110.42099358392626</c:v>
                </c:pt>
                <c:pt idx="25">
                  <c:v>113.73362339144404</c:v>
                </c:pt>
                <c:pt idx="26">
                  <c:v>117.14563209318737</c:v>
                </c:pt>
                <c:pt idx="27">
                  <c:v>120.660001055983</c:v>
                </c:pt>
                <c:pt idx="28">
                  <c:v>124.27980108766249</c:v>
                </c:pt>
                <c:pt idx="29">
                  <c:v>128.00819512029238</c:v>
                </c:pt>
                <c:pt idx="30">
                  <c:v>131.84844097390115</c:v>
                </c:pt>
              </c:numCache>
            </c:numRef>
          </c:val>
          <c:smooth val="0"/>
          <c:extLst>
            <c:ext xmlns:c16="http://schemas.microsoft.com/office/drawing/2014/chart" uri="{C3380CC4-5D6E-409C-BE32-E72D297353CC}">
              <c16:uniqueId val="{00000002-1B1E-4DDB-9D29-3A9E85148CA4}"/>
            </c:ext>
          </c:extLst>
        </c:ser>
        <c:dLbls>
          <c:showLegendKey val="0"/>
          <c:showVal val="0"/>
          <c:showCatName val="0"/>
          <c:showSerName val="0"/>
          <c:showPercent val="0"/>
          <c:showBubbleSize val="0"/>
        </c:dLbls>
        <c:marker val="1"/>
        <c:smooth val="0"/>
        <c:axId val="514208639"/>
        <c:axId val="514196991"/>
      </c:lineChart>
      <c:lineChart>
        <c:grouping val="standard"/>
        <c:varyColors val="0"/>
        <c:ser>
          <c:idx val="3"/>
          <c:order val="3"/>
          <c:spPr>
            <a:ln w="28575" cap="rnd">
              <a:solidFill>
                <a:schemeClr val="accent2"/>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3-1B1E-4DDB-9D29-3A9E85148CA4}"/>
            </c:ext>
          </c:extLst>
        </c:ser>
        <c:ser>
          <c:idx val="4"/>
          <c:order val="4"/>
          <c:spPr>
            <a:ln w="28575" cap="rnd">
              <a:solidFill>
                <a:schemeClr val="accent3"/>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Prices!$BK$5:$BK$35</c:f>
              <c:numCache>
                <c:formatCode>#,##0</c:formatCode>
                <c:ptCount val="31"/>
                <c:pt idx="0">
                  <c:v>36911.614290734949</c:v>
                </c:pt>
                <c:pt idx="1">
                  <c:v>38466.436975017779</c:v>
                </c:pt>
                <c:pt idx="2">
                  <c:v>37675.879576072766</c:v>
                </c:pt>
                <c:pt idx="3">
                  <c:v>36251.285191763469</c:v>
                </c:pt>
                <c:pt idx="4">
                  <c:v>33475.924942439015</c:v>
                </c:pt>
                <c:pt idx="5">
                  <c:v>32216.995648548684</c:v>
                </c:pt>
                <c:pt idx="6">
                  <c:v>31306.955900772686</c:v>
                </c:pt>
                <c:pt idx="7">
                  <c:v>30461.515125539863</c:v>
                </c:pt>
                <c:pt idx="8">
                  <c:v>29235.872007702867</c:v>
                </c:pt>
                <c:pt idx="9">
                  <c:v>28045.288353242715</c:v>
                </c:pt>
                <c:pt idx="10">
                  <c:v>25638.262778598968</c:v>
                </c:pt>
                <c:pt idx="11">
                  <c:v>24214.324672287879</c:v>
                </c:pt>
                <c:pt idx="12">
                  <c:v>22946.710289119012</c:v>
                </c:pt>
                <c:pt idx="13">
                  <c:v>21793.317239922038</c:v>
                </c:pt>
                <c:pt idx="14">
                  <c:v>20655.414746580675</c:v>
                </c:pt>
                <c:pt idx="15">
                  <c:v>19528.346245701767</c:v>
                </c:pt>
                <c:pt idx="16">
                  <c:v>18371.513535785478</c:v>
                </c:pt>
                <c:pt idx="17">
                  <c:v>17352.23843482411</c:v>
                </c:pt>
                <c:pt idx="18">
                  <c:v>16409.495249380365</c:v>
                </c:pt>
                <c:pt idx="19">
                  <c:v>15458.292731377856</c:v>
                </c:pt>
                <c:pt idx="20">
                  <c:v>13691.179291679502</c:v>
                </c:pt>
                <c:pt idx="21">
                  <c:v>12887.32715545773</c:v>
                </c:pt>
                <c:pt idx="22">
                  <c:v>12194.629153327802</c:v>
                </c:pt>
                <c:pt idx="23">
                  <c:v>11241.1982581969</c:v>
                </c:pt>
                <c:pt idx="24">
                  <c:v>10536.796484580542</c:v>
                </c:pt>
                <c:pt idx="25">
                  <c:v>9982.7614196315099</c:v>
                </c:pt>
                <c:pt idx="26">
                  <c:v>9437.1247957458017</c:v>
                </c:pt>
                <c:pt idx="27">
                  <c:v>8995.2431705045383</c:v>
                </c:pt>
                <c:pt idx="28">
                  <c:v>8571.367068358506</c:v>
                </c:pt>
                <c:pt idx="29">
                  <c:v>8149.6310404626247</c:v>
                </c:pt>
                <c:pt idx="30">
                  <c:v>7786.694520079237</c:v>
                </c:pt>
              </c:numCache>
            </c:numRef>
          </c:val>
          <c:smooth val="0"/>
          <c:extLst>
            <c:ext xmlns:c16="http://schemas.microsoft.com/office/drawing/2014/chart" uri="{C3380CC4-5D6E-409C-BE32-E72D297353CC}">
              <c16:uniqueId val="{00000004-1B1E-4DDB-9D29-3A9E85148CA4}"/>
            </c:ext>
          </c:extLst>
        </c:ser>
        <c:ser>
          <c:idx val="5"/>
          <c:order val="5"/>
          <c:spPr>
            <a:ln w="28575" cap="rnd">
              <a:solidFill>
                <a:schemeClr val="accent1"/>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Prices!$BL$5:$BL$35</c:f>
              <c:numCache>
                <c:formatCode>#,##0</c:formatCode>
                <c:ptCount val="31"/>
                <c:pt idx="0">
                  <c:v>36911.614290734949</c:v>
                </c:pt>
                <c:pt idx="1">
                  <c:v>38466.436975017779</c:v>
                </c:pt>
                <c:pt idx="2">
                  <c:v>37813.476466651198</c:v>
                </c:pt>
                <c:pt idx="3">
                  <c:v>37091.146011130593</c:v>
                </c:pt>
                <c:pt idx="4">
                  <c:v>36198.691736115929</c:v>
                </c:pt>
                <c:pt idx="5">
                  <c:v>35449.977426677535</c:v>
                </c:pt>
                <c:pt idx="6">
                  <c:v>34946.346248030473</c:v>
                </c:pt>
                <c:pt idx="7">
                  <c:v>34388.351526823491</c:v>
                </c:pt>
                <c:pt idx="8">
                  <c:v>33764.147321780722</c:v>
                </c:pt>
                <c:pt idx="9">
                  <c:v>33196.401973163898</c:v>
                </c:pt>
                <c:pt idx="10">
                  <c:v>31477.01813418062</c:v>
                </c:pt>
                <c:pt idx="11">
                  <c:v>30481.781957002353</c:v>
                </c:pt>
                <c:pt idx="12">
                  <c:v>29302.50087034209</c:v>
                </c:pt>
                <c:pt idx="13">
                  <c:v>28309.317281758387</c:v>
                </c:pt>
                <c:pt idx="14">
                  <c:v>27265.500341524803</c:v>
                </c:pt>
                <c:pt idx="15">
                  <c:v>26211.955253299657</c:v>
                </c:pt>
                <c:pt idx="16">
                  <c:v>25127.868184721134</c:v>
                </c:pt>
                <c:pt idx="17">
                  <c:v>24148.710192370861</c:v>
                </c:pt>
                <c:pt idx="18">
                  <c:v>23131.791090139421</c:v>
                </c:pt>
                <c:pt idx="19">
                  <c:v>21983.941009502036</c:v>
                </c:pt>
                <c:pt idx="20">
                  <c:v>20121.886982337306</c:v>
                </c:pt>
                <c:pt idx="21">
                  <c:v>19084.77936974962</c:v>
                </c:pt>
                <c:pt idx="22">
                  <c:v>17948.002254739178</c:v>
                </c:pt>
                <c:pt idx="23">
                  <c:v>17033.411812301281</c:v>
                </c:pt>
                <c:pt idx="24">
                  <c:v>16135.623423670379</c:v>
                </c:pt>
                <c:pt idx="25">
                  <c:v>15201.525490239124</c:v>
                </c:pt>
                <c:pt idx="26">
                  <c:v>14332.513058434515</c:v>
                </c:pt>
                <c:pt idx="27">
                  <c:v>13562.578319513677</c:v>
                </c:pt>
                <c:pt idx="28">
                  <c:v>12878.517972759888</c:v>
                </c:pt>
                <c:pt idx="29">
                  <c:v>12130.728982678997</c:v>
                </c:pt>
                <c:pt idx="30">
                  <c:v>11503.206425451652</c:v>
                </c:pt>
              </c:numCache>
            </c:numRef>
          </c:val>
          <c:smooth val="0"/>
          <c:extLst>
            <c:ext xmlns:c16="http://schemas.microsoft.com/office/drawing/2014/chart" uri="{C3380CC4-5D6E-409C-BE32-E72D297353CC}">
              <c16:uniqueId val="{00000005-1B1E-4DDB-9D29-3A9E85148CA4}"/>
            </c:ext>
          </c:extLst>
        </c:ser>
        <c:dLbls>
          <c:showLegendKey val="0"/>
          <c:showVal val="0"/>
          <c:showCatName val="0"/>
          <c:showSerName val="0"/>
          <c:showPercent val="0"/>
          <c:showBubbleSize val="0"/>
        </c:dLbls>
        <c:marker val="1"/>
        <c:smooth val="0"/>
        <c:axId val="636766751"/>
        <c:axId val="636745951"/>
      </c:lineChart>
      <c:catAx>
        <c:axId val="51420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96991"/>
        <c:crosses val="autoZero"/>
        <c:auto val="1"/>
        <c:lblAlgn val="ctr"/>
        <c:lblOffset val="100"/>
        <c:tickLblSkip val="5"/>
        <c:noMultiLvlLbl val="0"/>
      </c:catAx>
      <c:valAx>
        <c:axId val="514196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($/NZU)</a:t>
                </a:r>
              </a:p>
            </c:rich>
          </c:tx>
          <c:layout>
            <c:manualLayout>
              <c:xMode val="edge"/>
              <c:yMode val="edge"/>
              <c:x val="7.4973950979630105E-3"/>
              <c:y val="0.339917353976344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208639"/>
        <c:crosses val="autoZero"/>
        <c:crossBetween val="midCat"/>
      </c:valAx>
      <c:valAx>
        <c:axId val="6367459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(kt)</a:t>
                </a:r>
              </a:p>
            </c:rich>
          </c:tx>
          <c:layout>
            <c:manualLayout>
              <c:xMode val="edge"/>
              <c:yMode val="edge"/>
              <c:x val="0.94950494562420729"/>
              <c:y val="0.337761775300824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66751"/>
        <c:crosses val="max"/>
        <c:crossBetween val="between"/>
      </c:valAx>
      <c:catAx>
        <c:axId val="636766751"/>
        <c:scaling>
          <c:orientation val="minMax"/>
        </c:scaling>
        <c:delete val="1"/>
        <c:axPos val="b"/>
        <c:numFmt formatCode="General" sourceLinked="1"/>
        <c:majorTickMark val="out"/>
        <c:minorTickMark val="none"/>
        <c:tickLblPos val="nextTo"/>
        <c:crossAx val="636745951"/>
        <c:crosses val="autoZero"/>
        <c:auto val="1"/>
        <c:lblAlgn val="ctr"/>
        <c:lblOffset val="100"/>
        <c:noMultiLvlLbl val="0"/>
      </c:catAx>
      <c:spPr>
        <a:noFill/>
        <a:ln>
          <a:noFill/>
        </a:ln>
        <a:effectLst/>
      </c:spPr>
    </c:plotArea>
    <c:legend>
      <c:legendPos val="t"/>
      <c:legendEntry>
        <c:idx val="3"/>
        <c:delete val="1"/>
      </c:legendEntry>
      <c:legendEntry>
        <c:idx val="4"/>
        <c:delete val="1"/>
      </c:legendEntry>
      <c:legendEntry>
        <c:idx val="5"/>
        <c:delete val="1"/>
      </c:legendEntry>
      <c:layout>
        <c:manualLayout>
          <c:xMode val="edge"/>
          <c:yMode val="edge"/>
          <c:x val="0.14746608707801326"/>
          <c:y val="7.4402787537136778E-2"/>
          <c:w val="0.43033477690419331"/>
          <c:h val="7.5649642549667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20E8-4484-8791-5FEFDC2B0E2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2-20E8-4484-8791-5FEFDC2B0E2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A-20E8-4484-8791-5FEFDC2B0E2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6-20E8-4484-8791-5FEFDC2B0E20}"/>
            </c:ext>
          </c:extLst>
        </c:ser>
        <c:ser>
          <c:idx val="0"/>
          <c:order val="4"/>
          <c:tx>
            <c:v>Demo [1]</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Prices!$DM$173:$DM$200</c:f>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7-20E8-4484-8791-5FEFDC2B0E20}"/>
            </c:ext>
          </c:extLst>
        </c:ser>
        <c:ser>
          <c:idx val="1"/>
          <c:order val="5"/>
          <c:tx>
            <c:v>$50 [1]</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Prices!$DM$145:$DM$172</c:f>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c:ext xmlns:c16="http://schemas.microsoft.com/office/drawing/2014/chart" uri="{C3380CC4-5D6E-409C-BE32-E72D297353CC}">
              <c16:uniqueId val="{00000008-20E8-4484-8791-5FEFDC2B0E20}"/>
            </c:ext>
          </c:extLst>
        </c:ser>
        <c:ser>
          <c:idx val="7"/>
          <c:order val="6"/>
          <c:tx>
            <c:v>$200 [1]</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Prices!$DM$61:$DM$88</c:f>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c:ext xmlns:c16="http://schemas.microsoft.com/office/drawing/2014/chart" uri="{C3380CC4-5D6E-409C-BE32-E72D297353CC}">
              <c16:uniqueId val="{0000000B-20E8-4484-8791-5FEFDC2B0E20}"/>
            </c:ext>
          </c:extLst>
        </c:ser>
        <c:ser>
          <c:idx val="2"/>
          <c:order val="7"/>
          <c:tx>
            <c:v>$300 [1]</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Prices!$DM$117:$DM$144</c:f>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c:ext xmlns:c16="http://schemas.microsoft.com/office/drawing/2014/chart" uri="{C3380CC4-5D6E-409C-BE32-E72D297353CC}">
              <c16:uniqueId val="{00000009-20E8-4484-8791-5FEFDC2B0E20}"/>
            </c:ext>
          </c:extLst>
        </c:ser>
        <c:ser>
          <c:idx val="8"/>
          <c:order val="8"/>
          <c:tx>
            <c:v>$50 [2]</c:v>
          </c:tx>
          <c:spPr>
            <a:ln w="19050" cap="rnd">
              <a:solidFill>
                <a:schemeClr val="accent5"/>
              </a:solidFill>
              <a:prstDash val="lgDash"/>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Prices!$DN$145:$DN$172</c:f>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c:ext xmlns:c16="http://schemas.microsoft.com/office/drawing/2014/chart" uri="{C3380CC4-5D6E-409C-BE32-E72D297353CC}">
              <c16:uniqueId val="{00000000-59E6-47C1-A908-80F8BC8970D7}"/>
            </c:ext>
          </c:extLst>
        </c:ser>
        <c:ser>
          <c:idx val="10"/>
          <c:order val="9"/>
          <c:tx>
            <c:v>Demo [2]</c:v>
          </c:tx>
          <c:spPr>
            <a:ln w="19050" cap="rnd">
              <a:solidFill>
                <a:schemeClr val="accent3"/>
              </a:solidFill>
              <a:prstDash val="lgDash"/>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Prices!$DN$173:$DN$200</c:f>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c:ext xmlns:c16="http://schemas.microsoft.com/office/drawing/2014/chart" uri="{C3380CC4-5D6E-409C-BE32-E72D297353CC}">
              <c16:uniqueId val="{00000000-B31A-4F34-AD86-37D1476B530B}"/>
            </c:ext>
          </c:extLst>
        </c:ser>
        <c:ser>
          <c:idx val="11"/>
          <c:order val="10"/>
          <c:tx>
            <c:v>$200 [2]</c:v>
          </c:tx>
          <c:spPr>
            <a:ln w="19050" cap="rnd">
              <a:solidFill>
                <a:srgbClr val="00B050"/>
              </a:solidFill>
              <a:prstDash val="lgDash"/>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Prices!$DN$61:$DN$88</c:f>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c:ext xmlns:c16="http://schemas.microsoft.com/office/drawing/2014/chart" uri="{C3380CC4-5D6E-409C-BE32-E72D297353CC}">
              <c16:uniqueId val="{00000001-B31A-4F34-AD86-37D1476B530B}"/>
            </c:ext>
          </c:extLst>
        </c:ser>
        <c:ser>
          <c:idx val="9"/>
          <c:order val="11"/>
          <c:tx>
            <c:v>$300 [2]</c:v>
          </c:tx>
          <c:spPr>
            <a:ln w="19050" cap="rnd">
              <a:solidFill>
                <a:schemeClr val="accent4">
                  <a:lumMod val="60000"/>
                </a:schemeClr>
              </a:solidFill>
              <a:prstDash val="lgDash"/>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Prices!$DN$117:$DN$144</c:f>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c:ext xmlns:c16="http://schemas.microsoft.com/office/drawing/2014/chart" uri="{C3380CC4-5D6E-409C-BE32-E72D297353CC}">
              <c16:uniqueId val="{00000001-59E6-47C1-A908-80F8BC8970D7}"/>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8433808403173355"/>
          <c:y val="4.2155498335989507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Prices!$DE$5:$DE$32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AF22-4F42-8A9F-1C29DA9E0F34}"/>
            </c:ext>
          </c:extLst>
        </c:ser>
        <c:ser>
          <c:idx val="1"/>
          <c:order val="1"/>
          <c:spPr>
            <a:ln w="28575" cap="rnd">
              <a:solidFill>
                <a:schemeClr val="accent2"/>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Prices!$DF$173:$DF$200</c:f>
              <c:numCache>
                <c:formatCode>#,##0</c:formatCode>
                <c:ptCount val="28"/>
                <c:pt idx="0">
                  <c:v>36832.278310175461</c:v>
                </c:pt>
                <c:pt idx="1">
                  <c:v>35750.689873770811</c:v>
                </c:pt>
                <c:pt idx="2">
                  <c:v>34568.220278447727</c:v>
                </c:pt>
                <c:pt idx="3">
                  <c:v>33977.421765005165</c:v>
                </c:pt>
                <c:pt idx="4">
                  <c:v>33251.697154477297</c:v>
                </c:pt>
                <c:pt idx="5">
                  <c:v>32478.728971611461</c:v>
                </c:pt>
                <c:pt idx="6">
                  <c:v>31640.569515247476</c:v>
                </c:pt>
                <c:pt idx="7">
                  <c:v>29686.989195497019</c:v>
                </c:pt>
                <c:pt idx="8">
                  <c:v>28465.728168087095</c:v>
                </c:pt>
                <c:pt idx="9">
                  <c:v>27210.620768268473</c:v>
                </c:pt>
                <c:pt idx="10">
                  <c:v>26027.098642132438</c:v>
                </c:pt>
                <c:pt idx="11">
                  <c:v>24852.93780605646</c:v>
                </c:pt>
                <c:pt idx="12">
                  <c:v>23581.731977147552</c:v>
                </c:pt>
                <c:pt idx="13">
                  <c:v>22266.886316596469</c:v>
                </c:pt>
                <c:pt idx="14">
                  <c:v>20954.476226696865</c:v>
                </c:pt>
                <c:pt idx="15">
                  <c:v>19770.302500133668</c:v>
                </c:pt>
                <c:pt idx="16">
                  <c:v>18707.495476896602</c:v>
                </c:pt>
                <c:pt idx="17">
                  <c:v>16827.230325610708</c:v>
                </c:pt>
                <c:pt idx="18">
                  <c:v>15927.485361404346</c:v>
                </c:pt>
                <c:pt idx="19">
                  <c:v>14961.00926081207</c:v>
                </c:pt>
                <c:pt idx="20">
                  <c:v>14069.097389729674</c:v>
                </c:pt>
                <c:pt idx="21">
                  <c:v>13198.630879034556</c:v>
                </c:pt>
                <c:pt idx="22">
                  <c:v>12355.810020873127</c:v>
                </c:pt>
                <c:pt idx="23">
                  <c:v>11657.836018299648</c:v>
                </c:pt>
                <c:pt idx="24">
                  <c:v>11054.082482337943</c:v>
                </c:pt>
                <c:pt idx="25">
                  <c:v>10442.789293732092</c:v>
                </c:pt>
                <c:pt idx="26">
                  <c:v>9798.9332727505025</c:v>
                </c:pt>
                <c:pt idx="27">
                  <c:v>9236.1881918748804</c:v>
                </c:pt>
              </c:numCache>
            </c:numRef>
          </c:val>
          <c:smooth val="0"/>
          <c:extLst>
            <c:ext xmlns:c16="http://schemas.microsoft.com/office/drawing/2014/chart" uri="{C3380CC4-5D6E-409C-BE32-E72D297353CC}">
              <c16:uniqueId val="{00000001-AF22-4F42-8A9F-1C29DA9E0F34}"/>
            </c:ext>
          </c:extLst>
        </c:ser>
        <c:ser>
          <c:idx val="2"/>
          <c:order val="2"/>
          <c:spPr>
            <a:ln w="28575" cap="rnd">
              <a:solidFill>
                <a:schemeClr val="accent3"/>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Prices!$DF$33:$DF$60</c:f>
              <c:numCache>
                <c:formatCode>#,##0</c:formatCode>
                <c:ptCount val="28"/>
                <c:pt idx="0">
                  <c:v>36627.395768995069</c:v>
                </c:pt>
                <c:pt idx="1">
                  <c:v>35161.34183969038</c:v>
                </c:pt>
                <c:pt idx="2">
                  <c:v>33913.273544402873</c:v>
                </c:pt>
                <c:pt idx="3">
                  <c:v>33238.920180471185</c:v>
                </c:pt>
                <c:pt idx="4">
                  <c:v>32381.413097332021</c:v>
                </c:pt>
                <c:pt idx="5">
                  <c:v>31451.054756769954</c:v>
                </c:pt>
                <c:pt idx="6">
                  <c:v>30506.410255687915</c:v>
                </c:pt>
                <c:pt idx="7">
                  <c:v>28556.577765745133</c:v>
                </c:pt>
                <c:pt idx="8">
                  <c:v>27371.747361113568</c:v>
                </c:pt>
                <c:pt idx="9">
                  <c:v>26110.915672621722</c:v>
                </c:pt>
                <c:pt idx="10">
                  <c:v>24879.907035559325</c:v>
                </c:pt>
                <c:pt idx="11">
                  <c:v>23629.915780703053</c:v>
                </c:pt>
                <c:pt idx="12">
                  <c:v>22461.050145093184</c:v>
                </c:pt>
                <c:pt idx="13">
                  <c:v>21268.460655984494</c:v>
                </c:pt>
                <c:pt idx="14">
                  <c:v>20055.126164002941</c:v>
                </c:pt>
                <c:pt idx="15">
                  <c:v>19029.113827849309</c:v>
                </c:pt>
                <c:pt idx="16">
                  <c:v>17868.031631273087</c:v>
                </c:pt>
                <c:pt idx="17">
                  <c:v>16013.68072781664</c:v>
                </c:pt>
                <c:pt idx="18">
                  <c:v>15081.953238564503</c:v>
                </c:pt>
                <c:pt idx="19">
                  <c:v>14220.398835839931</c:v>
                </c:pt>
                <c:pt idx="20">
                  <c:v>13424.78057080116</c:v>
                </c:pt>
                <c:pt idx="21">
                  <c:v>12617.583621999218</c:v>
                </c:pt>
                <c:pt idx="22">
                  <c:v>11786.55965267783</c:v>
                </c:pt>
                <c:pt idx="23">
                  <c:v>10995.536684976492</c:v>
                </c:pt>
                <c:pt idx="24">
                  <c:v>10295.84222182116</c:v>
                </c:pt>
                <c:pt idx="25">
                  <c:v>9606.3565726863617</c:v>
                </c:pt>
                <c:pt idx="26">
                  <c:v>9054.8832303973377</c:v>
                </c:pt>
                <c:pt idx="27">
                  <c:v>8633.9944697394076</c:v>
                </c:pt>
              </c:numCache>
            </c:numRef>
          </c:val>
          <c:smooth val="0"/>
          <c:extLst>
            <c:ext xmlns:c16="http://schemas.microsoft.com/office/drawing/2014/chart" uri="{C3380CC4-5D6E-409C-BE32-E72D297353CC}">
              <c16:uniqueId val="{00000003-AF22-4F42-8A9F-1C29DA9E0F34}"/>
            </c:ext>
          </c:extLst>
        </c:ser>
        <c:dLbls>
          <c:showLegendKey val="0"/>
          <c:showVal val="0"/>
          <c:showCatName val="0"/>
          <c:showSerName val="0"/>
          <c:showPercent val="0"/>
          <c:showBubbleSize val="0"/>
        </c:dLbls>
        <c:smooth val="0"/>
        <c:axId val="2056839295"/>
        <c:axId val="2056853023"/>
      </c:lineChart>
      <c:catAx>
        <c:axId val="20568392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53023"/>
        <c:crosses val="autoZero"/>
        <c:auto val="1"/>
        <c:lblAlgn val="ctr"/>
        <c:lblOffset val="100"/>
        <c:noMultiLvlLbl val="0"/>
      </c:catAx>
      <c:valAx>
        <c:axId val="205685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3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9683611846494725"/>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862-4847-BA16-4BEC9635D1D3}"/>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862-4847-BA16-4BEC9635D1D3}"/>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862-4847-BA16-4BEC9635D1D3}"/>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862-4847-BA16-4BEC9635D1D3}"/>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862-4847-BA16-4BEC9635D1D3}"/>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862-4847-BA16-4BEC9635D1D3}"/>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862-4847-BA16-4BEC9635D1D3}"/>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862-4847-BA16-4BEC9635D1D3}"/>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862-4847-BA16-4BEC9635D1D3}"/>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862-4847-BA16-4BEC9635D1D3}"/>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862-4847-BA16-4BEC9635D1D3}"/>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862-4847-BA16-4BEC9635D1D3}"/>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5051730804072291"/>
          <c:y val="0.1157730292599409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13D-44B6-95FA-1E6F0967F0E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13D-44B6-95FA-1E6F0967F0E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13D-44B6-95FA-1E6F0967F0E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13D-44B6-95FA-1E6F0967F0E0}"/>
            </c:ext>
          </c:extLst>
        </c:ser>
        <c:ser>
          <c:idx val="0"/>
          <c:order val="4"/>
          <c:tx>
            <c:v>Demo (ave)</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Prices!$DO$173:$DO$200</c:f>
              <c:numCache>
                <c:formatCode>#,##0</c:formatCode>
                <c:ptCount val="28"/>
                <c:pt idx="0">
                  <c:v>442.45477748591009</c:v>
                </c:pt>
                <c:pt idx="1">
                  <c:v>817.66264162862353</c:v>
                </c:pt>
                <c:pt idx="2">
                  <c:v>1229.1054444086487</c:v>
                </c:pt>
                <c:pt idx="3">
                  <c:v>1616.2801149720237</c:v>
                </c:pt>
                <c:pt idx="4">
                  <c:v>1951.3691416940958</c:v>
                </c:pt>
                <c:pt idx="5">
                  <c:v>2231.6246816085095</c:v>
                </c:pt>
                <c:pt idx="6">
                  <c:v>2465.4678775290495</c:v>
                </c:pt>
                <c:pt idx="7">
                  <c:v>2663.6138705978924</c:v>
                </c:pt>
                <c:pt idx="8">
                  <c:v>2835.3439563142065</c:v>
                </c:pt>
                <c:pt idx="9">
                  <c:v>2989.7487085376638</c:v>
                </c:pt>
                <c:pt idx="10">
                  <c:v>3133.1395322011231</c:v>
                </c:pt>
                <c:pt idx="11">
                  <c:v>3269.7424169071592</c:v>
                </c:pt>
                <c:pt idx="12">
                  <c:v>3402.3423113876597</c:v>
                </c:pt>
                <c:pt idx="13">
                  <c:v>3532.7703868022577</c:v>
                </c:pt>
                <c:pt idx="14">
                  <c:v>3662.2413569290784</c:v>
                </c:pt>
                <c:pt idx="15">
                  <c:v>3791.5766970282402</c:v>
                </c:pt>
                <c:pt idx="16">
                  <c:v>3921.348740810311</c:v>
                </c:pt>
                <c:pt idx="17">
                  <c:v>4051.9724097102103</c:v>
                </c:pt>
                <c:pt idx="18">
                  <c:v>4183.7631547300316</c:v>
                </c:pt>
                <c:pt idx="19">
                  <c:v>4316.973413942691</c:v>
                </c:pt>
                <c:pt idx="20">
                  <c:v>4451.8155240797769</c:v>
                </c:pt>
                <c:pt idx="21">
                  <c:v>4588.4761333530041</c:v>
                </c:pt>
                <c:pt idx="22">
                  <c:v>4727.1252968654589</c:v>
                </c:pt>
                <c:pt idx="23">
                  <c:v>4867.9222497123428</c:v>
                </c:pt>
                <c:pt idx="24">
                  <c:v>5011.0191051873553</c:v>
                </c:pt>
                <c:pt idx="25">
                  <c:v>5156.5632566809909</c:v>
                </c:pt>
                <c:pt idx="26">
                  <c:v>5304.6989687863297</c:v>
                </c:pt>
                <c:pt idx="27">
                  <c:v>5455.5684602641541</c:v>
                </c:pt>
              </c:numCache>
            </c:numRef>
          </c:yVal>
          <c:smooth val="1"/>
          <c:extLst>
            <c:ext xmlns:c16="http://schemas.microsoft.com/office/drawing/2014/chart" uri="{C3380CC4-5D6E-409C-BE32-E72D297353CC}">
              <c16:uniqueId val="{00000004-513D-44B6-95FA-1E6F0967F0E0}"/>
            </c:ext>
          </c:extLst>
        </c:ser>
        <c:ser>
          <c:idx val="1"/>
          <c:order val="5"/>
          <c:tx>
            <c:v>$50 (ave)</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Prices!$DO$145:$DO$172</c:f>
              <c:numCache>
                <c:formatCode>#,##0</c:formatCode>
                <c:ptCount val="28"/>
                <c:pt idx="0">
                  <c:v>249.75995934020821</c:v>
                </c:pt>
                <c:pt idx="1">
                  <c:v>457.16962007734605</c:v>
                </c:pt>
                <c:pt idx="2">
                  <c:v>679.9694770774322</c:v>
                </c:pt>
                <c:pt idx="3">
                  <c:v>883.00077093413313</c:v>
                </c:pt>
                <c:pt idx="4">
                  <c:v>1052.2796929182703</c:v>
                </c:pt>
                <c:pt idx="5">
                  <c:v>1188.7521019047572</c:v>
                </c:pt>
                <c:pt idx="6">
                  <c:v>1299.2512526895362</c:v>
                </c:pt>
                <c:pt idx="7">
                  <c:v>1391.218360180872</c:v>
                </c:pt>
                <c:pt idx="8">
                  <c:v>1470.7333635688351</c:v>
                </c:pt>
                <c:pt idx="9">
                  <c:v>1542.2042578841954</c:v>
                </c:pt>
                <c:pt idx="10">
                  <c:v>1608.6424790941815</c:v>
                </c:pt>
                <c:pt idx="11">
                  <c:v>1672.0443381655484</c:v>
                </c:pt>
                <c:pt idx="12">
                  <c:v>1733.7161390476538</c:v>
                </c:pt>
                <c:pt idx="13">
                  <c:v>1794.5117413819503</c:v>
                </c:pt>
                <c:pt idx="14">
                  <c:v>1854.9942399600041</c:v>
                </c:pt>
                <c:pt idx="15">
                  <c:v>1915.5419592117387</c:v>
                </c:pt>
                <c:pt idx="16">
                  <c:v>1976.4165065299508</c:v>
                </c:pt>
                <c:pt idx="17">
                  <c:v>2037.8059504961793</c:v>
                </c:pt>
                <c:pt idx="18">
                  <c:v>2099.8520361302794</c:v>
                </c:pt>
                <c:pt idx="19">
                  <c:v>2162.6672820305184</c:v>
                </c:pt>
                <c:pt idx="20">
                  <c:v>2226.3457103378446</c:v>
                </c:pt>
                <c:pt idx="21">
                  <c:v>2290.9695867812839</c:v>
                </c:pt>
                <c:pt idx="22">
                  <c:v>2356.6136664268724</c:v>
                </c:pt>
                <c:pt idx="23">
                  <c:v>2423.3478819922088</c:v>
                </c:pt>
                <c:pt idx="24">
                  <c:v>2491.2390600708054</c:v>
                </c:pt>
                <c:pt idx="25">
                  <c:v>2560.3520304426538</c:v>
                </c:pt>
                <c:pt idx="26">
                  <c:v>2630.7503561127169</c:v>
                </c:pt>
                <c:pt idx="27">
                  <c:v>2702.496825939591</c:v>
                </c:pt>
              </c:numCache>
            </c:numRef>
          </c:yVal>
          <c:smooth val="1"/>
          <c:extLst>
            <c:ext xmlns:c16="http://schemas.microsoft.com/office/drawing/2014/chart" uri="{C3380CC4-5D6E-409C-BE32-E72D297353CC}">
              <c16:uniqueId val="{00000005-513D-44B6-95FA-1E6F0967F0E0}"/>
            </c:ext>
          </c:extLst>
        </c:ser>
        <c:ser>
          <c:idx val="7"/>
          <c:order val="6"/>
          <c:tx>
            <c:v>$200 (ave)</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Prices!$DO$61:$DO$88</c:f>
              <c:numCache>
                <c:formatCode>#,##0</c:formatCode>
                <c:ptCount val="28"/>
                <c:pt idx="0">
                  <c:v>682.96993510444736</c:v>
                </c:pt>
                <c:pt idx="1">
                  <c:v>1287.0557663748696</c:v>
                </c:pt>
                <c:pt idx="2">
                  <c:v>1940.3016407168393</c:v>
                </c:pt>
                <c:pt idx="3">
                  <c:v>2544.418223159405</c:v>
                </c:pt>
                <c:pt idx="4">
                  <c:v>3057.710272002118</c:v>
                </c:pt>
                <c:pt idx="5">
                  <c:v>3480.6545478351936</c:v>
                </c:pt>
                <c:pt idx="6">
                  <c:v>3831.15258544176</c:v>
                </c:pt>
                <c:pt idx="7">
                  <c:v>4129.4720126431939</c:v>
                </c:pt>
                <c:pt idx="8">
                  <c:v>4392.4216442720553</c:v>
                </c:pt>
                <c:pt idx="9">
                  <c:v>4632.2949049347317</c:v>
                </c:pt>
                <c:pt idx="10">
                  <c:v>4857.5486413598346</c:v>
                </c:pt>
                <c:pt idx="11">
                  <c:v>5073.829079229251</c:v>
                </c:pt>
                <c:pt idx="12">
                  <c:v>5284.8635119753653</c:v>
                </c:pt>
                <c:pt idx="13">
                  <c:v>5493.1172005588996</c:v>
                </c:pt>
                <c:pt idx="14">
                  <c:v>5700.2423402924251</c:v>
                </c:pt>
                <c:pt idx="15">
                  <c:v>5907.3731318259897</c:v>
                </c:pt>
                <c:pt idx="16">
                  <c:v>6115.3155499004952</c:v>
                </c:pt>
                <c:pt idx="17">
                  <c:v>6324.6679123750255</c:v>
                </c:pt>
                <c:pt idx="18">
                  <c:v>6535.896980674519</c:v>
                </c:pt>
                <c:pt idx="19">
                  <c:v>6749.385848916716</c:v>
                </c:pt>
                <c:pt idx="20">
                  <c:v>6965.4640686958173</c:v>
                </c:pt>
                <c:pt idx="21">
                  <c:v>7184.4266358708646</c:v>
                </c:pt>
                <c:pt idx="22">
                  <c:v>7406.5460103516161</c:v>
                </c:pt>
                <c:pt idx="23">
                  <c:v>7632.0797825162608</c:v>
                </c:pt>
                <c:pt idx="24">
                  <c:v>7861.2756196977934</c:v>
                </c:pt>
                <c:pt idx="25">
                  <c:v>8094.3745120657441</c:v>
                </c:pt>
                <c:pt idx="26">
                  <c:v>8331.6129535337568</c:v>
                </c:pt>
                <c:pt idx="27">
                  <c:v>8573.2244539814674</c:v>
                </c:pt>
              </c:numCache>
            </c:numRef>
          </c:yVal>
          <c:smooth val="1"/>
          <c:extLst>
            <c:ext xmlns:c16="http://schemas.microsoft.com/office/drawing/2014/chart" uri="{C3380CC4-5D6E-409C-BE32-E72D297353CC}">
              <c16:uniqueId val="{00000006-513D-44B6-95FA-1E6F0967F0E0}"/>
            </c:ext>
          </c:extLst>
        </c:ser>
        <c:ser>
          <c:idx val="2"/>
          <c:order val="7"/>
          <c:tx>
            <c:v>$300 (ave)</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Prices!$DO$117:$DO$144</c:f>
              <c:numCache>
                <c:formatCode>#,##0</c:formatCode>
                <c:ptCount val="28"/>
                <c:pt idx="0">
                  <c:v>815.6452140068169</c:v>
                </c:pt>
                <c:pt idx="1">
                  <c:v>1622.998720367757</c:v>
                </c:pt>
                <c:pt idx="2">
                  <c:v>2524.9824662064239</c:v>
                </c:pt>
                <c:pt idx="3">
                  <c:v>3379.2024873342057</c:v>
                </c:pt>
                <c:pt idx="4">
                  <c:v>4116.064093958712</c:v>
                </c:pt>
                <c:pt idx="5">
                  <c:v>4728.5936008013705</c:v>
                </c:pt>
                <c:pt idx="6">
                  <c:v>5238.5200234776148</c:v>
                </c:pt>
                <c:pt idx="7">
                  <c:v>5673.3430351743591</c:v>
                </c:pt>
                <c:pt idx="8">
                  <c:v>6056.7157484811551</c:v>
                </c:pt>
                <c:pt idx="9">
                  <c:v>6406.2397049762985</c:v>
                </c:pt>
                <c:pt idx="10">
                  <c:v>6734.1389270395648</c:v>
                </c:pt>
                <c:pt idx="11">
                  <c:v>7048.6214960642246</c:v>
                </c:pt>
                <c:pt idx="12">
                  <c:v>7355.1263367933898</c:v>
                </c:pt>
                <c:pt idx="13">
                  <c:v>7657.2609685505222</c:v>
                </c:pt>
                <c:pt idx="14">
                  <c:v>7957.449053670689</c:v>
                </c:pt>
                <c:pt idx="15">
                  <c:v>8257.3583833556586</c:v>
                </c:pt>
                <c:pt idx="16">
                  <c:v>8558.1770244696236</c:v>
                </c:pt>
                <c:pt idx="17">
                  <c:v>8860.7891126908089</c:v>
                </c:pt>
                <c:pt idx="18">
                  <c:v>9165.8859471707656</c:v>
                </c:pt>
                <c:pt idx="19">
                  <c:v>9474.0359612658285</c:v>
                </c:pt>
                <c:pt idx="20">
                  <c:v>9785.7287681150956</c:v>
                </c:pt>
                <c:pt idx="21">
                  <c:v>10101.402939823958</c:v>
                </c:pt>
                <c:pt idx="22">
                  <c:v>10421.46360693026</c:v>
                </c:pt>
                <c:pt idx="23">
                  <c:v>10746.293694821261</c:v>
                </c:pt>
                <c:pt idx="24">
                  <c:v>11076.261183409715</c:v>
                </c:pt>
                <c:pt idx="25">
                  <c:v>11411.723879621806</c:v>
                </c:pt>
                <c:pt idx="26">
                  <c:v>11753.032631725053</c:v>
                </c:pt>
                <c:pt idx="27">
                  <c:v>12100.533564791345</c:v>
                </c:pt>
              </c:numCache>
            </c:numRef>
          </c:yVal>
          <c:smooth val="1"/>
          <c:extLst>
            <c:ext xmlns:c16="http://schemas.microsoft.com/office/drawing/2014/chart" uri="{C3380CC4-5D6E-409C-BE32-E72D297353CC}">
              <c16:uniqueId val="{00000007-513D-44B6-95FA-1E6F0967F0E0}"/>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1819936089"/>
          <c:y val="4.9390678122433251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Prices!$DE$145:$DE$172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EF05-4483-9504-B2C06893083A}"/>
            </c:ext>
          </c:extLst>
        </c:ser>
        <c:ser>
          <c:idx val="1"/>
          <c:order val="1"/>
          <c:spPr>
            <a:ln w="28575" cap="rnd">
              <a:solidFill>
                <a:schemeClr val="accent2"/>
              </a:solidFill>
              <a:round/>
            </a:ln>
            <a:effectLst/>
          </c:spPr>
          <c:marker>
            <c:symbol val="none"/>
          </c:marker>
          <c:val>
            <c:numRef>
              <c:f>Prices!$DF$145:$DF$172</c:f>
              <c:numCache>
                <c:formatCode>#,##0</c:formatCode>
                <c:ptCount val="28"/>
                <c:pt idx="0">
                  <c:v>37091.146011130593</c:v>
                </c:pt>
                <c:pt idx="1">
                  <c:v>36198.691736115929</c:v>
                </c:pt>
                <c:pt idx="2">
                  <c:v>35449.977426677535</c:v>
                </c:pt>
                <c:pt idx="3">
                  <c:v>34946.346248030473</c:v>
                </c:pt>
                <c:pt idx="4">
                  <c:v>34388.351526823491</c:v>
                </c:pt>
                <c:pt idx="5">
                  <c:v>33764.147321780722</c:v>
                </c:pt>
                <c:pt idx="6">
                  <c:v>33196.401973163898</c:v>
                </c:pt>
                <c:pt idx="7">
                  <c:v>31477.01813418062</c:v>
                </c:pt>
                <c:pt idx="8">
                  <c:v>30481.781957002353</c:v>
                </c:pt>
                <c:pt idx="9">
                  <c:v>29302.50087034209</c:v>
                </c:pt>
                <c:pt idx="10">
                  <c:v>28309.317281758387</c:v>
                </c:pt>
                <c:pt idx="11">
                  <c:v>27265.500341524803</c:v>
                </c:pt>
                <c:pt idx="12">
                  <c:v>26211.955253299657</c:v>
                </c:pt>
                <c:pt idx="13">
                  <c:v>25127.868184721134</c:v>
                </c:pt>
                <c:pt idx="14">
                  <c:v>24148.710192370861</c:v>
                </c:pt>
                <c:pt idx="15">
                  <c:v>23131.791090139421</c:v>
                </c:pt>
                <c:pt idx="16">
                  <c:v>21983.941009502036</c:v>
                </c:pt>
                <c:pt idx="17">
                  <c:v>20121.886982337306</c:v>
                </c:pt>
                <c:pt idx="18">
                  <c:v>19084.77936974962</c:v>
                </c:pt>
                <c:pt idx="19">
                  <c:v>17948.002254739178</c:v>
                </c:pt>
                <c:pt idx="20">
                  <c:v>17033.411812301281</c:v>
                </c:pt>
                <c:pt idx="21">
                  <c:v>16135.623423670379</c:v>
                </c:pt>
                <c:pt idx="22">
                  <c:v>15201.525490239124</c:v>
                </c:pt>
                <c:pt idx="23">
                  <c:v>14332.513058434515</c:v>
                </c:pt>
                <c:pt idx="24">
                  <c:v>13562.578319513677</c:v>
                </c:pt>
                <c:pt idx="25">
                  <c:v>12878.517972759888</c:v>
                </c:pt>
                <c:pt idx="26">
                  <c:v>12130.728982678997</c:v>
                </c:pt>
                <c:pt idx="27">
                  <c:v>11503.206425451652</c:v>
                </c:pt>
              </c:numCache>
            </c:numRef>
          </c:val>
          <c:smooth val="0"/>
          <c:extLst>
            <c:ext xmlns:c16="http://schemas.microsoft.com/office/drawing/2014/chart" uri="{C3380CC4-5D6E-409C-BE32-E72D297353CC}">
              <c16:uniqueId val="{00000001-EF05-4483-9504-B2C06893083A}"/>
            </c:ext>
          </c:extLst>
        </c:ser>
        <c:dLbls>
          <c:showLegendKey val="0"/>
          <c:showVal val="0"/>
          <c:showCatName val="0"/>
          <c:showSerName val="0"/>
          <c:showPercent val="0"/>
          <c:showBubbleSize val="0"/>
        </c:dLbls>
        <c:marker val="1"/>
        <c:smooth val="0"/>
        <c:axId val="1622583631"/>
        <c:axId val="1622584047"/>
      </c:lineChart>
      <c:lineChart>
        <c:grouping val="standard"/>
        <c:varyColors val="0"/>
        <c:ser>
          <c:idx val="2"/>
          <c:order val="2"/>
          <c:spPr>
            <a:ln w="28575" cap="rnd">
              <a:solidFill>
                <a:schemeClr val="accent3"/>
              </a:solidFill>
              <a:round/>
            </a:ln>
            <a:effectLst/>
          </c:spPr>
          <c:marker>
            <c:symbol val="none"/>
          </c:marker>
          <c: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val>
          <c:smooth val="0"/>
          <c:extLst>
            <c:ext xmlns:c16="http://schemas.microsoft.com/office/drawing/2014/chart" uri="{C3380CC4-5D6E-409C-BE32-E72D297353CC}">
              <c16:uniqueId val="{00000002-EF05-4483-9504-B2C06893083A}"/>
            </c:ext>
          </c:extLst>
        </c:ser>
        <c:dLbls>
          <c:showLegendKey val="0"/>
          <c:showVal val="0"/>
          <c:showCatName val="0"/>
          <c:showSerName val="0"/>
          <c:showPercent val="0"/>
          <c:showBubbleSize val="0"/>
        </c:dLbls>
        <c:marker val="1"/>
        <c:smooth val="0"/>
        <c:axId val="1622598191"/>
        <c:axId val="1622574479"/>
      </c:lineChart>
      <c:catAx>
        <c:axId val="162258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4047"/>
        <c:crosses val="autoZero"/>
        <c:auto val="1"/>
        <c:lblAlgn val="ctr"/>
        <c:lblOffset val="100"/>
        <c:noMultiLvlLbl val="0"/>
      </c:catAx>
      <c:valAx>
        <c:axId val="162258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3631"/>
        <c:crosses val="autoZero"/>
        <c:crossBetween val="between"/>
      </c:valAx>
      <c:valAx>
        <c:axId val="16225744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98191"/>
        <c:crosses val="max"/>
        <c:crossBetween val="between"/>
      </c:valAx>
      <c:catAx>
        <c:axId val="1622598191"/>
        <c:scaling>
          <c:orientation val="minMax"/>
        </c:scaling>
        <c:delete val="1"/>
        <c:axPos val="b"/>
        <c:majorTickMark val="out"/>
        <c:minorTickMark val="none"/>
        <c:tickLblPos val="nextTo"/>
        <c:crossAx val="1622574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7.7687267107497501E-2"/>
          <c:w val="0.83222278182053111"/>
          <c:h val="0.85512241968540259"/>
        </c:manualLayout>
      </c:layout>
      <c:scatterChart>
        <c:scatterStyle val="smoothMarker"/>
        <c:varyColors val="0"/>
        <c:ser>
          <c:idx val="5"/>
          <c:order val="0"/>
          <c:tx>
            <c:v>$50</c:v>
          </c:tx>
          <c:spPr>
            <a:ln w="31750" cap="rnd">
              <a:solidFill>
                <a:schemeClr val="accent5"/>
              </a:solidFill>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27B-4FB3-B0CA-FD596180E0A6}"/>
            </c:ext>
          </c:extLst>
        </c:ser>
        <c:ser>
          <c:idx val="6"/>
          <c:order val="1"/>
          <c:tx>
            <c:v>Demo</c:v>
          </c:tx>
          <c:spPr>
            <a:ln w="31750" cap="rnd">
              <a:solidFill>
                <a:schemeClr val="accent3"/>
              </a:solidFill>
              <a:prstDash val="solid"/>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27B-4FB3-B0CA-FD596180E0A6}"/>
            </c:ext>
          </c:extLst>
        </c:ser>
        <c:ser>
          <c:idx val="3"/>
          <c:order val="2"/>
          <c:tx>
            <c:v>$200</c:v>
          </c:tx>
          <c:spPr>
            <a:ln w="38100" cap="rnd">
              <a:solidFill>
                <a:srgbClr val="00B050"/>
              </a:solidFill>
              <a:round/>
            </a:ln>
            <a:effectLst/>
          </c:spPr>
          <c:marker>
            <c:symbol val="none"/>
          </c:marker>
          <c:xVal>
            <c:numRef>
              <c:f>Prices!$CZ$61:$CZ$88</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27B-4FB3-B0CA-FD596180E0A6}"/>
            </c:ext>
          </c:extLst>
        </c:ser>
        <c:ser>
          <c:idx val="4"/>
          <c:order val="3"/>
          <c:tx>
            <c:v>$300</c:v>
          </c:tx>
          <c:spPr>
            <a:ln w="31750" cap="rnd">
              <a:solidFill>
                <a:schemeClr val="accent2"/>
              </a:solidFill>
              <a:round/>
            </a:ln>
            <a:effectLst/>
          </c:spPr>
          <c:marker>
            <c:symbol val="none"/>
          </c:marker>
          <c:xVal>
            <c:numRef>
              <c:f>Prices!$CZ$117:$CZ$144</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27B-4FB3-B0CA-FD596180E0A6}"/>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27B-4FB3-B0CA-FD596180E0A6}"/>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27B-4FB3-B0CA-FD596180E0A6}"/>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27B-4FB3-B0CA-FD596180E0A6}"/>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27B-4FB3-B0CA-FD596180E0A6}"/>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27B-4FB3-B0CA-FD596180E0A6}"/>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27B-4FB3-B0CA-FD596180E0A6}"/>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27B-4FB3-B0CA-FD596180E0A6}"/>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27B-4FB3-B0CA-FD596180E0A6}"/>
                  </c:ext>
                </c:extLst>
              </c15:ser>
            </c15:filteredScatterSeries>
          </c:ext>
        </c:extLst>
      </c:scatterChart>
      <c:valAx>
        <c:axId val="687770272"/>
        <c:scaling>
          <c:orientation val="minMax"/>
          <c:max val="205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4882390347955918"/>
          <c:y val="1.5579756806708501E-2"/>
          <c:w val="0.70952101636134646"/>
          <c:h val="6.287361948957895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4809985367077"/>
          <c:y val="0.10165973060264531"/>
          <c:w val="0.78273357128037135"/>
          <c:h val="0.77157559852993696"/>
        </c:manualLayout>
      </c:layout>
      <c:scatterChart>
        <c:scatterStyle val="smoothMarker"/>
        <c:varyColors val="0"/>
        <c:ser>
          <c:idx val="5"/>
          <c:order val="0"/>
          <c:tx>
            <c:v>$50</c:v>
          </c:tx>
          <c:spPr>
            <a:ln w="31750" cap="rnd">
              <a:solidFill>
                <a:schemeClr val="accent5"/>
              </a:solidFill>
              <a:round/>
            </a:ln>
            <a:effectLst/>
          </c:spPr>
          <c:marker>
            <c:symbol val="none"/>
          </c:marker>
          <c:xVal>
            <c:numRef>
              <c:f>Prices!$DC$145:$DC$172</c:f>
              <c:numCache>
                <c:formatCode>"$"#,##0</c:formatCode>
                <c:ptCount val="28"/>
                <c:pt idx="0">
                  <c:v>9.3567251461988405</c:v>
                </c:pt>
                <c:pt idx="1">
                  <c:v>11.137426900584792</c:v>
                </c:pt>
                <c:pt idx="2">
                  <c:v>12.971549707602321</c:v>
                </c:pt>
                <c:pt idx="3">
                  <c:v>14.860696198830411</c:v>
                </c:pt>
                <c:pt idx="4">
                  <c:v>16.806517084795317</c:v>
                </c:pt>
                <c:pt idx="5">
                  <c:v>18.81071259733919</c:v>
                </c:pt>
                <c:pt idx="6">
                  <c:v>20.87503397525937</c:v>
                </c:pt>
                <c:pt idx="7">
                  <c:v>23.001284994517135</c:v>
                </c:pt>
                <c:pt idx="8">
                  <c:v>25.191323544352642</c:v>
                </c:pt>
                <c:pt idx="9">
                  <c:v>27.447063250683243</c:v>
                </c:pt>
                <c:pt idx="10">
                  <c:v>29.770475148203744</c:v>
                </c:pt>
                <c:pt idx="11">
                  <c:v>32.163589402649862</c:v>
                </c:pt>
                <c:pt idx="12">
                  <c:v>34.628497084729347</c:v>
                </c:pt>
                <c:pt idx="13">
                  <c:v>37.167351997271211</c:v>
                </c:pt>
                <c:pt idx="14">
                  <c:v>39.782372557189362</c:v>
                </c:pt>
                <c:pt idx="15">
                  <c:v>42.47584373390508</c:v>
                </c:pt>
                <c:pt idx="16">
                  <c:v>45.25011904592219</c:v>
                </c:pt>
                <c:pt idx="17">
                  <c:v>48.107622617299882</c:v>
                </c:pt>
                <c:pt idx="18">
                  <c:v>51.050851295818845</c:v>
                </c:pt>
                <c:pt idx="19">
                  <c:v>54.08237683469342</c:v>
                </c:pt>
                <c:pt idx="20">
                  <c:v>57.20484813973421</c:v>
                </c:pt>
                <c:pt idx="21">
                  <c:v>60.42099358392629</c:v>
                </c:pt>
                <c:pt idx="22">
                  <c:v>63.733623391444084</c:v>
                </c:pt>
                <c:pt idx="23">
                  <c:v>67.145632093187359</c:v>
                </c:pt>
                <c:pt idx="24">
                  <c:v>70.660001055983003</c:v>
                </c:pt>
                <c:pt idx="25">
                  <c:v>74.279801087662506</c:v>
                </c:pt>
                <c:pt idx="26">
                  <c:v>78.008195120292385</c:v>
                </c:pt>
                <c:pt idx="27">
                  <c:v>81.848440973901177</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F7D-421D-9A44-2C55024F47AF}"/>
            </c:ext>
          </c:extLst>
        </c:ser>
        <c:ser>
          <c:idx val="6"/>
          <c:order val="1"/>
          <c:tx>
            <c:v>Demo</c:v>
          </c:tx>
          <c:spPr>
            <a:ln w="31750" cap="rnd">
              <a:solidFill>
                <a:schemeClr val="accent3"/>
              </a:solidFill>
              <a:prstDash val="solid"/>
              <a:round/>
            </a:ln>
            <a:effectLst/>
          </c:spPr>
          <c:marker>
            <c:symbol val="none"/>
          </c:marker>
          <c:xVal>
            <c:numRef>
              <c:f>Prices!$DC$173:$DC$200</c:f>
              <c:numCache>
                <c:formatCode>"$"#,##0</c:formatCode>
                <c:ptCount val="28"/>
                <c:pt idx="0">
                  <c:v>0</c:v>
                </c:pt>
                <c:pt idx="1">
                  <c:v>7.9443888780956087</c:v>
                </c:pt>
                <c:pt idx="2">
                  <c:v>15.48562025194353</c:v>
                </c:pt>
                <c:pt idx="3">
                  <c:v>22.623309352260506</c:v>
                </c:pt>
                <c:pt idx="4">
                  <c:v>29.357411165359864</c:v>
                </c:pt>
                <c:pt idx="5">
                  <c:v>35.688241164780251</c:v>
                </c:pt>
                <c:pt idx="6">
                  <c:v>41.616496981031005</c:v>
                </c:pt>
                <c:pt idx="7">
                  <c:v>47.143281047084187</c:v>
                </c:pt>
                <c:pt idx="8">
                  <c:v>52.27012425865523</c:v>
                </c:pt>
                <c:pt idx="9">
                  <c:v>57.550772766573331</c:v>
                </c:pt>
                <c:pt idx="10">
                  <c:v>62.989840729728982</c:v>
                </c:pt>
                <c:pt idx="11">
                  <c:v>68.592080731779376</c:v>
                </c:pt>
                <c:pt idx="12">
                  <c:v>74.362387933891242</c:v>
                </c:pt>
                <c:pt idx="13">
                  <c:v>80.30580435206646</c:v>
                </c:pt>
                <c:pt idx="14">
                  <c:v>86.42752326278692</c:v>
                </c:pt>
                <c:pt idx="15">
                  <c:v>92.732893740829056</c:v>
                </c:pt>
                <c:pt idx="16">
                  <c:v>99.227425333212395</c:v>
                </c:pt>
                <c:pt idx="17">
                  <c:v>105.91679287336727</c:v>
                </c:pt>
                <c:pt idx="18">
                  <c:v>112.8068414397268</c:v>
                </c:pt>
                <c:pt idx="19">
                  <c:v>119.90359146307709</c:v>
                </c:pt>
                <c:pt idx="20">
                  <c:v>127.21324398712785</c:v>
                </c:pt>
                <c:pt idx="21">
                  <c:v>134.74218608690018</c:v>
                </c:pt>
                <c:pt idx="22">
                  <c:v>142.49699644966574</c:v>
                </c:pt>
                <c:pt idx="23">
                  <c:v>150.48445112331427</c:v>
                </c:pt>
                <c:pt idx="24">
                  <c:v>158.71152943717215</c:v>
                </c:pt>
                <c:pt idx="25">
                  <c:v>167.18542010044581</c:v>
                </c:pt>
                <c:pt idx="26">
                  <c:v>175.9135274836176</c:v>
                </c:pt>
                <c:pt idx="27">
                  <c:v>184.90347808828471</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F7D-421D-9A44-2C55024F47AF}"/>
            </c:ext>
          </c:extLst>
        </c:ser>
        <c:ser>
          <c:idx val="3"/>
          <c:order val="2"/>
          <c:tx>
            <c:v>$200</c:v>
          </c:tx>
          <c:spPr>
            <a:ln w="38100" cap="rnd">
              <a:solidFill>
                <a:srgbClr val="00B050"/>
              </a:solidFill>
              <a:round/>
            </a:ln>
            <a:effectLst/>
          </c:spPr>
          <c:marker>
            <c:symbol val="none"/>
          </c:marker>
          <c:xVal>
            <c:numRef>
              <c:f>Prices!$DC$61:$DC$88</c:f>
              <c:numCache>
                <c:formatCode>"$"#,##0</c:formatCode>
                <c:ptCount val="28"/>
                <c:pt idx="0">
                  <c:v>37.426900584795362</c:v>
                </c:pt>
                <c:pt idx="1">
                  <c:v>44.549707602339168</c:v>
                </c:pt>
                <c:pt idx="2">
                  <c:v>51.886198830409285</c:v>
                </c:pt>
                <c:pt idx="3">
                  <c:v>59.442784795321643</c:v>
                </c:pt>
                <c:pt idx="4">
                  <c:v>67.226068339181268</c:v>
                </c:pt>
                <c:pt idx="5">
                  <c:v>75.242850389356761</c:v>
                </c:pt>
                <c:pt idx="6">
                  <c:v>83.500135901037481</c:v>
                </c:pt>
                <c:pt idx="7">
                  <c:v>92.005139978068541</c:v>
                </c:pt>
                <c:pt idx="8">
                  <c:v>100.76529417741057</c:v>
                </c:pt>
                <c:pt idx="9">
                  <c:v>109.78825300273297</c:v>
                </c:pt>
                <c:pt idx="10">
                  <c:v>119.08190059281497</c:v>
                </c:pt>
                <c:pt idx="11">
                  <c:v>128.65435761059945</c:v>
                </c:pt>
                <c:pt idx="12">
                  <c:v>138.51398833891739</c:v>
                </c:pt>
                <c:pt idx="13">
                  <c:v>148.66940798908485</c:v>
                </c:pt>
                <c:pt idx="14">
                  <c:v>159.12949022875745</c:v>
                </c:pt>
                <c:pt idx="15">
                  <c:v>169.90337493562032</c:v>
                </c:pt>
                <c:pt idx="16">
                  <c:v>181.00047618368876</c:v>
                </c:pt>
                <c:pt idx="17">
                  <c:v>192.43049046919953</c:v>
                </c:pt>
                <c:pt idx="18">
                  <c:v>204.20340518327538</c:v>
                </c:pt>
                <c:pt idx="19">
                  <c:v>216.32950733877368</c:v>
                </c:pt>
                <c:pt idx="20">
                  <c:v>228.81939255893684</c:v>
                </c:pt>
                <c:pt idx="21">
                  <c:v>241.68397433570516</c:v>
                </c:pt>
                <c:pt idx="22">
                  <c:v>254.93449356577634</c:v>
                </c:pt>
                <c:pt idx="23">
                  <c:v>268.58252837274944</c:v>
                </c:pt>
                <c:pt idx="24">
                  <c:v>282.64000422393201</c:v>
                </c:pt>
                <c:pt idx="25">
                  <c:v>297.11920435065002</c:v>
                </c:pt>
                <c:pt idx="26">
                  <c:v>312.03278048116954</c:v>
                </c:pt>
                <c:pt idx="27">
                  <c:v>327.39376389560471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F7D-421D-9A44-2C55024F47AF}"/>
            </c:ext>
          </c:extLst>
        </c:ser>
        <c:ser>
          <c:idx val="4"/>
          <c:order val="3"/>
          <c:tx>
            <c:v>$300</c:v>
          </c:tx>
          <c:spPr>
            <a:ln w="31750" cap="rnd">
              <a:solidFill>
                <a:schemeClr val="accent2"/>
              </a:solidFill>
              <a:round/>
            </a:ln>
            <a:effectLst/>
          </c:spPr>
          <c:marker>
            <c:symbol val="none"/>
          </c:marker>
          <c:xVal>
            <c:numRef>
              <c:f>Prices!$DC$117:$DC$144</c:f>
              <c:numCache>
                <c:formatCode>"$"#,##0</c:formatCode>
                <c:ptCount val="28"/>
                <c:pt idx="0">
                  <c:v>56.14035087719293</c:v>
                </c:pt>
                <c:pt idx="1">
                  <c:v>66.824561403508767</c:v>
                </c:pt>
                <c:pt idx="2">
                  <c:v>77.829298245614098</c:v>
                </c:pt>
                <c:pt idx="3">
                  <c:v>89.164177192982379</c:v>
                </c:pt>
                <c:pt idx="4">
                  <c:v>100.83910250877193</c:v>
                </c:pt>
                <c:pt idx="5">
                  <c:v>112.86427558403506</c:v>
                </c:pt>
                <c:pt idx="6">
                  <c:v>125.25020385155619</c:v>
                </c:pt>
                <c:pt idx="7">
                  <c:v>138.00770996710287</c:v>
                </c:pt>
                <c:pt idx="8">
                  <c:v>151.14794126611594</c:v>
                </c:pt>
                <c:pt idx="9">
                  <c:v>164.68237950409946</c:v>
                </c:pt>
                <c:pt idx="10">
                  <c:v>178.62285088922249</c:v>
                </c:pt>
                <c:pt idx="11">
                  <c:v>192.98153641589909</c:v>
                </c:pt>
                <c:pt idx="12">
                  <c:v>207.77098250837611</c:v>
                </c:pt>
                <c:pt idx="13">
                  <c:v>223.00411198362735</c:v>
                </c:pt>
                <c:pt idx="14">
                  <c:v>238.69423534313614</c:v>
                </c:pt>
                <c:pt idx="15">
                  <c:v>254.85506240343022</c:v>
                </c:pt>
                <c:pt idx="16">
                  <c:v>271.50071427553314</c:v>
                </c:pt>
                <c:pt idx="17">
                  <c:v>288.64573570379923</c:v>
                </c:pt>
                <c:pt idx="18">
                  <c:v>306.30510777491315</c:v>
                </c:pt>
                <c:pt idx="19">
                  <c:v>324.49426100816049</c:v>
                </c:pt>
                <c:pt idx="20">
                  <c:v>343.22908883840535</c:v>
                </c:pt>
                <c:pt idx="21">
                  <c:v>362.52596150355748</c:v>
                </c:pt>
                <c:pt idx="22">
                  <c:v>382.40174034866413</c:v>
                </c:pt>
                <c:pt idx="23">
                  <c:v>402.87379255912413</c:v>
                </c:pt>
                <c:pt idx="24">
                  <c:v>423.96000633589824</c:v>
                </c:pt>
                <c:pt idx="25">
                  <c:v>445.67880652597512</c:v>
                </c:pt>
                <c:pt idx="26">
                  <c:v>468.04917072175408</c:v>
                </c:pt>
                <c:pt idx="27">
                  <c:v>491.09064584340695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F7D-421D-9A44-2C55024F47AF}"/>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5F7D-421D-9A44-2C55024F47AF}"/>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5F7D-421D-9A44-2C55024F47AF}"/>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5F7D-421D-9A44-2C55024F47AF}"/>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5F7D-421D-9A44-2C55024F47AF}"/>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5F7D-421D-9A44-2C55024F47AF}"/>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5F7D-421D-9A44-2C55024F47AF}"/>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5F7D-421D-9A44-2C55024F47AF}"/>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5F7D-421D-9A44-2C55024F47AF}"/>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above 2023</a:t>
                </a:r>
                <a:r>
                  <a:rPr lang="en-US" baseline="0"/>
                  <a:t> level </a:t>
                </a:r>
                <a:r>
                  <a:rPr lang="en-US"/>
                  <a:t>($/t)</a:t>
                </a:r>
              </a:p>
            </c:rich>
          </c:tx>
          <c:layout>
            <c:manualLayout>
              <c:xMode val="edge"/>
              <c:yMode val="edge"/>
              <c:x val="0.44635525002976378"/>
              <c:y val="0.9367339317847596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7088096372907868"/>
          <c:y val="9.7193399276616719E-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chemeClr val="accent1"/>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FCF9-4258-9DC9-B24249244E24}"/>
            </c:ext>
          </c:extLst>
        </c:ser>
        <c:ser>
          <c:idx val="2"/>
          <c:order val="1"/>
          <c:tx>
            <c:v>CPR - no price</c:v>
          </c:tx>
          <c:spPr>
            <a:ln w="28575" cap="rnd">
              <a:solidFill>
                <a:schemeClr val="accent1"/>
              </a:solidFill>
              <a:round/>
            </a:ln>
            <a:effectLst/>
          </c:spPr>
          <c:marker>
            <c:symbol val="none"/>
          </c:marker>
          <c:val>
            <c:numRef>
              <c:f>Prices!$BD$42:$BD$72</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37177.220200382915</c:v>
                </c:pt>
                <c:pt idx="12">
                  <c:v>37183.203313534461</c:v>
                </c:pt>
                <c:pt idx="13">
                  <c:v>37127.768437806968</c:v>
                </c:pt>
                <c:pt idx="14">
                  <c:v>37053.60044160892</c:v>
                </c:pt>
                <c:pt idx="15">
                  <c:v>36973.558999769266</c:v>
                </c:pt>
                <c:pt idx="16">
                  <c:v>36896.081509104682</c:v>
                </c:pt>
                <c:pt idx="17">
                  <c:v>36845.022003655904</c:v>
                </c:pt>
                <c:pt idx="18">
                  <c:v>36824.133694972144</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6-FCF9-4258-9DC9-B24249244E24}"/>
            </c:ext>
          </c:extLst>
        </c:ser>
        <c:ser>
          <c:idx val="0"/>
          <c:order val="2"/>
          <c:tx>
            <c:strRef>
              <c:f>Prices!$BN$2</c:f>
              <c:strCache>
                <c:ptCount val="1"/>
                <c:pt idx="0">
                  <c:v>Demo path - no C price</c:v>
                </c:pt>
              </c:strCache>
            </c:strRef>
          </c:tx>
          <c:spPr>
            <a:ln w="28575" cap="rnd">
              <a:solidFill>
                <a:schemeClr val="accent2"/>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2-FCF9-4258-9DC9-B24249244E24}"/>
            </c:ext>
          </c:extLst>
        </c:ser>
        <c:ser>
          <c:idx val="1"/>
          <c:order val="3"/>
          <c:tx>
            <c:v>Demo path - no price</c:v>
          </c:tx>
          <c:spPr>
            <a:ln w="28575" cap="rnd">
              <a:solidFill>
                <a:schemeClr val="accent2"/>
              </a:solidFill>
              <a:round/>
            </a:ln>
            <a:effectLst/>
          </c:spPr>
          <c:marker>
            <c:symbol val="none"/>
          </c:marker>
          <c:val>
            <c:numRef>
              <c:f>Prices!$BN$42:$BN$72</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33277.933821705723</c:v>
                </c:pt>
                <c:pt idx="12">
                  <c:v>32759.871108837226</c:v>
                </c:pt>
                <c:pt idx="13">
                  <c:v>32330.72470578823</c:v>
                </c:pt>
                <c:pt idx="14">
                  <c:v>31925.462225704643</c:v>
                </c:pt>
                <c:pt idx="15">
                  <c:v>31585.769004816138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5-FCF9-4258-9DC9-B24249244E24}"/>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midCat"/>
      </c:valAx>
      <c:spPr>
        <a:noFill/>
        <a:ln>
          <a:noFill/>
        </a:ln>
        <a:effectLst/>
      </c:spPr>
    </c:plotArea>
    <c:legend>
      <c:legendPos val="t"/>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Central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Afforestation!$B$30:$BH$30</c:f>
              <c:numCache>
                <c:formatCode>#,##0</c:formatCode>
                <c:ptCount val="59"/>
                <c:pt idx="0">
                  <c:v>69.936095865964361</c:v>
                </c:pt>
                <c:pt idx="1">
                  <c:v>128.30638086596437</c:v>
                </c:pt>
                <c:pt idx="2">
                  <c:v>172.90638086596437</c:v>
                </c:pt>
                <c:pt idx="3">
                  <c:v>221.20638086596438</c:v>
                </c:pt>
                <c:pt idx="4">
                  <c:v>239.20638086596438</c:v>
                </c:pt>
                <c:pt idx="5">
                  <c:v>257.20638086596438</c:v>
                </c:pt>
                <c:pt idx="6">
                  <c:v>275.20638086596438</c:v>
                </c:pt>
                <c:pt idx="7">
                  <c:v>293.20638086596438</c:v>
                </c:pt>
                <c:pt idx="8">
                  <c:v>311.20638086596438</c:v>
                </c:pt>
                <c:pt idx="9">
                  <c:v>329.20638086596438</c:v>
                </c:pt>
                <c:pt idx="10">
                  <c:v>347.20638086596438</c:v>
                </c:pt>
                <c:pt idx="11">
                  <c:v>365.20638086596438</c:v>
                </c:pt>
                <c:pt idx="12">
                  <c:v>383.20638086596438</c:v>
                </c:pt>
                <c:pt idx="13">
                  <c:v>401.20638086596438</c:v>
                </c:pt>
                <c:pt idx="14">
                  <c:v>419.20638086596438</c:v>
                </c:pt>
                <c:pt idx="15">
                  <c:v>437.20638086596438</c:v>
                </c:pt>
                <c:pt idx="16">
                  <c:v>455.20638086596438</c:v>
                </c:pt>
                <c:pt idx="17">
                  <c:v>473.20638086596438</c:v>
                </c:pt>
                <c:pt idx="18">
                  <c:v>491.20638086596438</c:v>
                </c:pt>
                <c:pt idx="19">
                  <c:v>509.20638086596438</c:v>
                </c:pt>
                <c:pt idx="20">
                  <c:v>527.20638086596432</c:v>
                </c:pt>
                <c:pt idx="21">
                  <c:v>545.20638086596432</c:v>
                </c:pt>
                <c:pt idx="22">
                  <c:v>563.20638086596432</c:v>
                </c:pt>
                <c:pt idx="23">
                  <c:v>581.20638086596432</c:v>
                </c:pt>
                <c:pt idx="24">
                  <c:v>599.20638086596432</c:v>
                </c:pt>
                <c:pt idx="25">
                  <c:v>617.20638086596432</c:v>
                </c:pt>
                <c:pt idx="26">
                  <c:v>635.20638086596432</c:v>
                </c:pt>
                <c:pt idx="27">
                  <c:v>653.20638086596432</c:v>
                </c:pt>
                <c:pt idx="28">
                  <c:v>671.20638086596432</c:v>
                </c:pt>
                <c:pt idx="29">
                  <c:v>689.20638086596432</c:v>
                </c:pt>
                <c:pt idx="30">
                  <c:v>707.20638086596432</c:v>
                </c:pt>
                <c:pt idx="31">
                  <c:v>725.20638086596432</c:v>
                </c:pt>
                <c:pt idx="32">
                  <c:v>743.20638086596432</c:v>
                </c:pt>
                <c:pt idx="33">
                  <c:v>761.20638086596432</c:v>
                </c:pt>
                <c:pt idx="34">
                  <c:v>779.20638086596432</c:v>
                </c:pt>
                <c:pt idx="35">
                  <c:v>797.20638086596432</c:v>
                </c:pt>
                <c:pt idx="36">
                  <c:v>815.20638086596432</c:v>
                </c:pt>
                <c:pt idx="37">
                  <c:v>833.20638086596432</c:v>
                </c:pt>
                <c:pt idx="38">
                  <c:v>851.20638086596432</c:v>
                </c:pt>
                <c:pt idx="39">
                  <c:v>869.20638086596432</c:v>
                </c:pt>
                <c:pt idx="40">
                  <c:v>887.20638086596432</c:v>
                </c:pt>
                <c:pt idx="41">
                  <c:v>905.20638086596432</c:v>
                </c:pt>
                <c:pt idx="42">
                  <c:v>923.20638086596432</c:v>
                </c:pt>
                <c:pt idx="43">
                  <c:v>941.20638086596432</c:v>
                </c:pt>
                <c:pt idx="44">
                  <c:v>959.20638086596432</c:v>
                </c:pt>
                <c:pt idx="45">
                  <c:v>977.20638086596432</c:v>
                </c:pt>
                <c:pt idx="46">
                  <c:v>995.20638086596432</c:v>
                </c:pt>
                <c:pt idx="47">
                  <c:v>1013.2063808659643</c:v>
                </c:pt>
                <c:pt idx="48">
                  <c:v>1031.2063808659643</c:v>
                </c:pt>
                <c:pt idx="49">
                  <c:v>1049.2063808659643</c:v>
                </c:pt>
                <c:pt idx="50">
                  <c:v>1067.2063808659643</c:v>
                </c:pt>
                <c:pt idx="51">
                  <c:v>1085.2063808659643</c:v>
                </c:pt>
                <c:pt idx="52">
                  <c:v>1103.2063808659643</c:v>
                </c:pt>
                <c:pt idx="53">
                  <c:v>1121.2063808659643</c:v>
                </c:pt>
                <c:pt idx="54">
                  <c:v>1139.2063808659643</c:v>
                </c:pt>
                <c:pt idx="55">
                  <c:v>1157.2063808659643</c:v>
                </c:pt>
                <c:pt idx="56">
                  <c:v>1175.2063808659643</c:v>
                </c:pt>
                <c:pt idx="57">
                  <c:v>1193.2063808659643</c:v>
                </c:pt>
                <c:pt idx="58">
                  <c:v>1211.2063808659643</c:v>
                </c:pt>
              </c:numCache>
            </c:numRef>
          </c:val>
          <c:extLst>
            <c:ext xmlns:c16="http://schemas.microsoft.com/office/drawing/2014/chart" uri="{C3380CC4-5D6E-409C-BE32-E72D297353CC}">
              <c16:uniqueId val="{00000000-3E68-4E87-B098-A38918C4F298}"/>
            </c:ext>
          </c:extLst>
        </c:ser>
        <c:ser>
          <c:idx val="1"/>
          <c:order val="1"/>
          <c:tx>
            <c:strRef>
              <c:f>Afforestation!$A$31</c:f>
              <c:strCache>
                <c:ptCount val="1"/>
                <c:pt idx="0">
                  <c:v>Permanent Exotic Pine</c:v>
                </c:pt>
              </c:strCache>
            </c:strRef>
          </c:tx>
          <c:spPr>
            <a:solidFill>
              <a:schemeClr val="accent2"/>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Afforestation!$B$31:$BH$31</c:f>
              <c:numCache>
                <c:formatCode>#,##0</c:formatCode>
                <c:ptCount val="59"/>
                <c:pt idx="0">
                  <c:v>12.7286473197634</c:v>
                </c:pt>
                <c:pt idx="1">
                  <c:v>22.897947319763404</c:v>
                </c:pt>
                <c:pt idx="2">
                  <c:v>37.397947319763404</c:v>
                </c:pt>
                <c:pt idx="3">
                  <c:v>49.697947319763401</c:v>
                </c:pt>
                <c:pt idx="4">
                  <c:v>58.897947319763404</c:v>
                </c:pt>
                <c:pt idx="5">
                  <c:v>68.097947319763406</c:v>
                </c:pt>
                <c:pt idx="6">
                  <c:v>77.297947319763409</c:v>
                </c:pt>
                <c:pt idx="7">
                  <c:v>86.497947319763412</c:v>
                </c:pt>
                <c:pt idx="8">
                  <c:v>95.697947319763415</c:v>
                </c:pt>
                <c:pt idx="9">
                  <c:v>104.89794731976342</c:v>
                </c:pt>
                <c:pt idx="10">
                  <c:v>114.09794731976342</c:v>
                </c:pt>
                <c:pt idx="11">
                  <c:v>123.29794731976342</c:v>
                </c:pt>
                <c:pt idx="12">
                  <c:v>132.49794731976343</c:v>
                </c:pt>
                <c:pt idx="13">
                  <c:v>141.69794731976341</c:v>
                </c:pt>
                <c:pt idx="14">
                  <c:v>150.8979473197634</c:v>
                </c:pt>
                <c:pt idx="15">
                  <c:v>160.09794731976339</c:v>
                </c:pt>
                <c:pt idx="16">
                  <c:v>169.29794731976338</c:v>
                </c:pt>
                <c:pt idx="17">
                  <c:v>178.49794731976337</c:v>
                </c:pt>
                <c:pt idx="18">
                  <c:v>187.69794731976336</c:v>
                </c:pt>
                <c:pt idx="19">
                  <c:v>196.89794731976335</c:v>
                </c:pt>
                <c:pt idx="20">
                  <c:v>206.09794731976334</c:v>
                </c:pt>
                <c:pt idx="21">
                  <c:v>215.29794731976332</c:v>
                </c:pt>
                <c:pt idx="22">
                  <c:v>224.49794731976331</c:v>
                </c:pt>
                <c:pt idx="23">
                  <c:v>233.6979473197633</c:v>
                </c:pt>
                <c:pt idx="24">
                  <c:v>242.89794731976329</c:v>
                </c:pt>
                <c:pt idx="25">
                  <c:v>252.09794731976328</c:v>
                </c:pt>
                <c:pt idx="26">
                  <c:v>261.2979473197633</c:v>
                </c:pt>
                <c:pt idx="27">
                  <c:v>270.49794731976328</c:v>
                </c:pt>
                <c:pt idx="28">
                  <c:v>279.69794731976327</c:v>
                </c:pt>
                <c:pt idx="29">
                  <c:v>288.89794731976326</c:v>
                </c:pt>
                <c:pt idx="30">
                  <c:v>298.09794731976325</c:v>
                </c:pt>
                <c:pt idx="31">
                  <c:v>307.29794731976324</c:v>
                </c:pt>
                <c:pt idx="32">
                  <c:v>316.49794731976323</c:v>
                </c:pt>
                <c:pt idx="33">
                  <c:v>325.69794731976322</c:v>
                </c:pt>
                <c:pt idx="34">
                  <c:v>334.8979473197632</c:v>
                </c:pt>
                <c:pt idx="35">
                  <c:v>344.09794731976319</c:v>
                </c:pt>
                <c:pt idx="36">
                  <c:v>353.29794731976318</c:v>
                </c:pt>
                <c:pt idx="37">
                  <c:v>362.49794731976317</c:v>
                </c:pt>
                <c:pt idx="38">
                  <c:v>371.69794731976316</c:v>
                </c:pt>
                <c:pt idx="39">
                  <c:v>380.89794731976315</c:v>
                </c:pt>
                <c:pt idx="40">
                  <c:v>390.09794731976314</c:v>
                </c:pt>
                <c:pt idx="41">
                  <c:v>399.29794731976313</c:v>
                </c:pt>
                <c:pt idx="42">
                  <c:v>408.49794731976311</c:v>
                </c:pt>
                <c:pt idx="43">
                  <c:v>417.6979473197631</c:v>
                </c:pt>
                <c:pt idx="44">
                  <c:v>426.89794731976309</c:v>
                </c:pt>
                <c:pt idx="45">
                  <c:v>436.09794731976308</c:v>
                </c:pt>
                <c:pt idx="46">
                  <c:v>445.29794731976307</c:v>
                </c:pt>
                <c:pt idx="47">
                  <c:v>454.49794731976306</c:v>
                </c:pt>
                <c:pt idx="48">
                  <c:v>463.69794731976305</c:v>
                </c:pt>
                <c:pt idx="49">
                  <c:v>472.89794731976303</c:v>
                </c:pt>
                <c:pt idx="50">
                  <c:v>482.09794731976302</c:v>
                </c:pt>
                <c:pt idx="51">
                  <c:v>491.29794731976301</c:v>
                </c:pt>
                <c:pt idx="52">
                  <c:v>500.497947319763</c:v>
                </c:pt>
                <c:pt idx="53">
                  <c:v>509.69794731976299</c:v>
                </c:pt>
                <c:pt idx="54">
                  <c:v>518.89794731976303</c:v>
                </c:pt>
                <c:pt idx="55">
                  <c:v>528.09794731976308</c:v>
                </c:pt>
                <c:pt idx="56">
                  <c:v>537.29794731976313</c:v>
                </c:pt>
                <c:pt idx="57">
                  <c:v>546.49794731976317</c:v>
                </c:pt>
                <c:pt idx="58">
                  <c:v>555.69794731976322</c:v>
                </c:pt>
              </c:numCache>
            </c:numRef>
          </c:val>
          <c:extLst>
            <c:ext xmlns:c16="http://schemas.microsoft.com/office/drawing/2014/chart" uri="{C3380CC4-5D6E-409C-BE32-E72D297353CC}">
              <c16:uniqueId val="{00000001-3E68-4E87-B098-A38918C4F298}"/>
            </c:ext>
          </c:extLst>
        </c:ser>
        <c:ser>
          <c:idx val="2"/>
          <c:order val="2"/>
          <c:tx>
            <c:strRef>
              <c:f>Afforestation!$A$32</c:f>
              <c:strCache>
                <c:ptCount val="1"/>
                <c:pt idx="0">
                  <c:v>P89 Natural Forest </c:v>
                </c:pt>
              </c:strCache>
            </c:strRef>
          </c:tx>
          <c:spPr>
            <a:solidFill>
              <a:schemeClr val="accent3"/>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Afforestation!$B$32:$BH$32</c:f>
              <c:numCache>
                <c:formatCode>#,##0</c:formatCode>
                <c:ptCount val="59"/>
                <c:pt idx="0">
                  <c:v>6.874162039348624</c:v>
                </c:pt>
                <c:pt idx="1">
                  <c:v>14.660246706015291</c:v>
                </c:pt>
                <c:pt idx="2">
                  <c:v>18.160246706015293</c:v>
                </c:pt>
                <c:pt idx="3">
                  <c:v>20.360246706015293</c:v>
                </c:pt>
                <c:pt idx="4">
                  <c:v>20.760246706015291</c:v>
                </c:pt>
                <c:pt idx="5">
                  <c:v>20.96024670601529</c:v>
                </c:pt>
                <c:pt idx="6">
                  <c:v>21.060246706015292</c:v>
                </c:pt>
                <c:pt idx="7">
                  <c:v>21.160246706015293</c:v>
                </c:pt>
                <c:pt idx="8">
                  <c:v>21.260246706015295</c:v>
                </c:pt>
                <c:pt idx="9">
                  <c:v>21.360246706015296</c:v>
                </c:pt>
                <c:pt idx="10">
                  <c:v>21.460246706015297</c:v>
                </c:pt>
                <c:pt idx="11">
                  <c:v>21.560246706015299</c:v>
                </c:pt>
                <c:pt idx="12">
                  <c:v>21.6602467060153</c:v>
                </c:pt>
                <c:pt idx="13">
                  <c:v>21.760246706015302</c:v>
                </c:pt>
                <c:pt idx="14">
                  <c:v>21.860246706015303</c:v>
                </c:pt>
                <c:pt idx="15">
                  <c:v>21.960246706015305</c:v>
                </c:pt>
                <c:pt idx="16">
                  <c:v>22.060246706015306</c:v>
                </c:pt>
                <c:pt idx="17">
                  <c:v>22.160246706015307</c:v>
                </c:pt>
                <c:pt idx="18">
                  <c:v>22.260246706015309</c:v>
                </c:pt>
                <c:pt idx="19">
                  <c:v>22.36024670601531</c:v>
                </c:pt>
                <c:pt idx="20">
                  <c:v>22.460246706015312</c:v>
                </c:pt>
                <c:pt idx="21">
                  <c:v>22.560246706015313</c:v>
                </c:pt>
                <c:pt idx="22">
                  <c:v>22.660246706015315</c:v>
                </c:pt>
                <c:pt idx="23">
                  <c:v>22.760246706015316</c:v>
                </c:pt>
                <c:pt idx="24">
                  <c:v>22.860246706015317</c:v>
                </c:pt>
                <c:pt idx="25">
                  <c:v>22.960246706015319</c:v>
                </c:pt>
                <c:pt idx="26">
                  <c:v>23.06024670601532</c:v>
                </c:pt>
                <c:pt idx="27">
                  <c:v>23.160246706015322</c:v>
                </c:pt>
                <c:pt idx="28">
                  <c:v>23.260246706015323</c:v>
                </c:pt>
                <c:pt idx="29">
                  <c:v>23.360246706015324</c:v>
                </c:pt>
                <c:pt idx="30">
                  <c:v>23.460246706015326</c:v>
                </c:pt>
                <c:pt idx="31">
                  <c:v>23.560246706015327</c:v>
                </c:pt>
                <c:pt idx="32">
                  <c:v>23.660246706015329</c:v>
                </c:pt>
                <c:pt idx="33">
                  <c:v>23.76024670601533</c:v>
                </c:pt>
                <c:pt idx="34">
                  <c:v>23.860246706015332</c:v>
                </c:pt>
                <c:pt idx="35">
                  <c:v>23.960246706015333</c:v>
                </c:pt>
                <c:pt idx="36">
                  <c:v>24.060246706015334</c:v>
                </c:pt>
                <c:pt idx="37">
                  <c:v>24.160246706015336</c:v>
                </c:pt>
                <c:pt idx="38">
                  <c:v>24.260246706015337</c:v>
                </c:pt>
                <c:pt idx="39">
                  <c:v>24.360246706015339</c:v>
                </c:pt>
                <c:pt idx="40">
                  <c:v>24.46024670601534</c:v>
                </c:pt>
                <c:pt idx="41">
                  <c:v>24.560246706015342</c:v>
                </c:pt>
                <c:pt idx="42">
                  <c:v>24.660246706015343</c:v>
                </c:pt>
                <c:pt idx="43">
                  <c:v>24.760246706015344</c:v>
                </c:pt>
                <c:pt idx="44">
                  <c:v>24.860246706015346</c:v>
                </c:pt>
                <c:pt idx="45">
                  <c:v>24.960246706015347</c:v>
                </c:pt>
                <c:pt idx="46">
                  <c:v>25.060246706015349</c:v>
                </c:pt>
                <c:pt idx="47">
                  <c:v>25.16024670601535</c:v>
                </c:pt>
                <c:pt idx="48">
                  <c:v>25.260246706015351</c:v>
                </c:pt>
                <c:pt idx="49">
                  <c:v>25.360246706015353</c:v>
                </c:pt>
                <c:pt idx="50">
                  <c:v>25.460246706015354</c:v>
                </c:pt>
                <c:pt idx="51">
                  <c:v>25.560246706015356</c:v>
                </c:pt>
                <c:pt idx="52">
                  <c:v>25.660246706015357</c:v>
                </c:pt>
                <c:pt idx="53">
                  <c:v>25.760246706015359</c:v>
                </c:pt>
                <c:pt idx="54">
                  <c:v>25.86024670601536</c:v>
                </c:pt>
                <c:pt idx="55">
                  <c:v>25.960246706015361</c:v>
                </c:pt>
                <c:pt idx="56">
                  <c:v>26.060246706015363</c:v>
                </c:pt>
                <c:pt idx="57">
                  <c:v>26.160246706015364</c:v>
                </c:pt>
                <c:pt idx="58">
                  <c:v>26.260246706015366</c:v>
                </c:pt>
              </c:numCache>
            </c:numRef>
          </c:val>
          <c:extLst>
            <c:ext xmlns:c16="http://schemas.microsoft.com/office/drawing/2014/chart" uri="{C3380CC4-5D6E-409C-BE32-E72D297353CC}">
              <c16:uniqueId val="{00000002-3E68-4E87-B098-A38918C4F298}"/>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228.46457489174307</c:v>
                </c:pt>
                <c:pt idx="3">
                  <c:v>291.26457489174305</c:v>
                </c:pt>
                <c:pt idx="4">
                  <c:v>329.21891542672506</c:v>
                </c:pt>
                <c:pt idx="5">
                  <c:v>367.29951340696414</c:v>
                </c:pt>
                <c:pt idx="6">
                  <c:v>405.25415388543945</c:v>
                </c:pt>
                <c:pt idx="7">
                  <c:v>442.79359851406235</c:v>
                </c:pt>
                <c:pt idx="8">
                  <c:v>479.57297761754302</c:v>
                </c:pt>
                <c:pt idx="9">
                  <c:v>515.16810106388516</c:v>
                </c:pt>
                <c:pt idx="10">
                  <c:v>549.54922861981231</c:v>
                </c:pt>
                <c:pt idx="11">
                  <c:v>582.69424929723982</c:v>
                </c:pt>
                <c:pt idx="12">
                  <c:v>614.58886754326136</c:v>
                </c:pt>
                <c:pt idx="13">
                  <c:v>645.22658878966695</c:v>
                </c:pt>
                <c:pt idx="14">
                  <c:v>674.63354756985666</c:v>
                </c:pt>
                <c:pt idx="15">
                  <c:v>702.85372213433652</c:v>
                </c:pt>
                <c:pt idx="16">
                  <c:v>729.94046258610433</c:v>
                </c:pt>
                <c:pt idx="17">
                  <c:v>755.95514798918668</c:v>
                </c:pt>
                <c:pt idx="18">
                  <c:v>780.96586752903329</c:v>
                </c:pt>
                <c:pt idx="19">
                  <c:v>805.04619645567288</c:v>
                </c:pt>
                <c:pt idx="20">
                  <c:v>828.27412148975543</c:v>
                </c:pt>
                <c:pt idx="21">
                  <c:v>850.73115441705011</c:v>
                </c:pt>
                <c:pt idx="22">
                  <c:v>872.50165832104926</c:v>
                </c:pt>
                <c:pt idx="23">
                  <c:v>893.67239923513148</c:v>
                </c:pt>
                <c:pt idx="24">
                  <c:v>914.33232727197435</c:v>
                </c:pt>
                <c:pt idx="25">
                  <c:v>934.57258536783945</c:v>
                </c:pt>
                <c:pt idx="26">
                  <c:v>954.48674016456846</c:v>
                </c:pt>
                <c:pt idx="27">
                  <c:v>974.17122747556232</c:v>
                </c:pt>
                <c:pt idx="28">
                  <c:v>993.72600324506629</c:v>
                </c:pt>
                <c:pt idx="29">
                  <c:v>1013.1517902947835</c:v>
                </c:pt>
                <c:pt idx="30">
                  <c:v>1032.4493136084777</c:v>
                </c:pt>
                <c:pt idx="31">
                  <c:v>1051.6193001674078</c:v>
                </c:pt>
                <c:pt idx="32">
                  <c:v>1070.6624787882956</c:v>
                </c:pt>
                <c:pt idx="33">
                  <c:v>1089.5795799638504</c:v>
                </c:pt>
                <c:pt idx="34">
                  <c:v>1108.3713357058634</c:v>
                </c:pt>
                <c:pt idx="35">
                  <c:v>1127.0384793908904</c:v>
                </c:pt>
                <c:pt idx="36">
                  <c:v>1145.5817456085322</c:v>
                </c:pt>
                <c:pt idx="37">
                  <c:v>1164.001870012326</c:v>
                </c:pt>
                <c:pt idx="38">
                  <c:v>1182.2995891732548</c:v>
                </c:pt>
                <c:pt idx="39">
                  <c:v>1200.4756404358809</c:v>
                </c:pt>
                <c:pt idx="40">
                  <c:v>1218.5307617771093</c:v>
                </c:pt>
                <c:pt idx="41">
                  <c:v>1236.465691667584</c:v>
                </c:pt>
                <c:pt idx="42">
                  <c:v>1254.2811689357161</c:v>
                </c:pt>
                <c:pt idx="43">
                  <c:v>1271.9779326343448</c:v>
                </c:pt>
                <c:pt idx="44">
                  <c:v>1289.5567219100269</c:v>
                </c:pt>
                <c:pt idx="45">
                  <c:v>1307.0182758749536</c:v>
                </c:pt>
                <c:pt idx="46">
                  <c:v>1324.3633334814854</c:v>
                </c:pt>
                <c:pt idx="47">
                  <c:v>1341.5926333993002</c:v>
                </c:pt>
                <c:pt idx="48">
                  <c:v>1358.706913895144</c:v>
                </c:pt>
                <c:pt idx="49">
                  <c:v>1375.7069127151765</c:v>
                </c:pt>
                <c:pt idx="50">
                  <c:v>1392.5933669698966</c:v>
                </c:pt>
                <c:pt idx="51">
                  <c:v>1409.3670130216385</c:v>
                </c:pt>
                <c:pt idx="52">
                  <c:v>1426.0285863746224</c:v>
                </c:pt>
                <c:pt idx="53">
                  <c:v>1442.5788215675441</c:v>
                </c:pt>
                <c:pt idx="54">
                  <c:v>1459.0184520686885</c:v>
                </c:pt>
                <c:pt idx="55">
                  <c:v>1475.3482101735481</c:v>
                </c:pt>
                <c:pt idx="56">
                  <c:v>1491.5688269049303</c:v>
                </c:pt>
                <c:pt idx="57">
                  <c:v>1507.6810319155295</c:v>
                </c:pt>
                <c:pt idx="58">
                  <c:v>1523.6855533929497</c:v>
                </c:pt>
              </c:numCache>
            </c:numRef>
          </c:val>
          <c:smooth val="0"/>
          <c:extLst>
            <c:ext xmlns:c16="http://schemas.microsoft.com/office/drawing/2014/chart" uri="{C3380CC4-5D6E-409C-BE32-E72D297353CC}">
              <c16:uniqueId val="{00000003-3E68-4E87-B098-A38918C4F298}"/>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Upper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Afforestation!$B$37:$BH$37</c:f>
              <c:numCache>
                <c:formatCode>#,##0</c:formatCode>
                <c:ptCount val="59"/>
                <c:pt idx="0">
                  <c:v>89.538743185727768</c:v>
                </c:pt>
                <c:pt idx="1">
                  <c:v>167.12207718572779</c:v>
                </c:pt>
                <c:pt idx="2">
                  <c:v>229.72207718572778</c:v>
                </c:pt>
                <c:pt idx="3">
                  <c:v>302.52207718572777</c:v>
                </c:pt>
                <c:pt idx="4">
                  <c:v>336.42207718572774</c:v>
                </c:pt>
                <c:pt idx="5">
                  <c:v>370.02207718572777</c:v>
                </c:pt>
                <c:pt idx="6">
                  <c:v>403.47207718572776</c:v>
                </c:pt>
                <c:pt idx="7">
                  <c:v>436.92207718572774</c:v>
                </c:pt>
                <c:pt idx="8">
                  <c:v>470.37207718572773</c:v>
                </c:pt>
                <c:pt idx="9">
                  <c:v>503.82207718572772</c:v>
                </c:pt>
                <c:pt idx="10">
                  <c:v>537.27207718572777</c:v>
                </c:pt>
                <c:pt idx="11">
                  <c:v>570.72207718572781</c:v>
                </c:pt>
                <c:pt idx="12">
                  <c:v>604.17207718572786</c:v>
                </c:pt>
                <c:pt idx="13">
                  <c:v>637.6220771857279</c:v>
                </c:pt>
                <c:pt idx="14">
                  <c:v>671.07207718572795</c:v>
                </c:pt>
                <c:pt idx="15">
                  <c:v>704.52207718572799</c:v>
                </c:pt>
                <c:pt idx="16">
                  <c:v>737.97207718572804</c:v>
                </c:pt>
                <c:pt idx="17">
                  <c:v>771.42207718572809</c:v>
                </c:pt>
                <c:pt idx="18">
                  <c:v>804.87207718572813</c:v>
                </c:pt>
                <c:pt idx="19">
                  <c:v>838.32207718572818</c:v>
                </c:pt>
                <c:pt idx="20">
                  <c:v>871.77207718572822</c:v>
                </c:pt>
                <c:pt idx="21">
                  <c:v>905.22207718572827</c:v>
                </c:pt>
                <c:pt idx="22">
                  <c:v>938.67207718572831</c:v>
                </c:pt>
                <c:pt idx="23">
                  <c:v>972.12207718572836</c:v>
                </c:pt>
                <c:pt idx="24">
                  <c:v>1005.5720771857284</c:v>
                </c:pt>
                <c:pt idx="25">
                  <c:v>1039.0220771857284</c:v>
                </c:pt>
                <c:pt idx="26">
                  <c:v>1072.4720771857285</c:v>
                </c:pt>
                <c:pt idx="27">
                  <c:v>1105.9220771857285</c:v>
                </c:pt>
                <c:pt idx="28">
                  <c:v>1139.3720771857286</c:v>
                </c:pt>
                <c:pt idx="29">
                  <c:v>1172.8220771857286</c:v>
                </c:pt>
                <c:pt idx="30">
                  <c:v>1206.2720771857287</c:v>
                </c:pt>
                <c:pt idx="31">
                  <c:v>1239.7220771857287</c:v>
                </c:pt>
                <c:pt idx="32">
                  <c:v>1273.1720771857288</c:v>
                </c:pt>
                <c:pt idx="33">
                  <c:v>1306.6220771857288</c:v>
                </c:pt>
                <c:pt idx="34">
                  <c:v>1340.0720771857289</c:v>
                </c:pt>
                <c:pt idx="35">
                  <c:v>1373.5220771857289</c:v>
                </c:pt>
                <c:pt idx="36">
                  <c:v>1406.9720771857289</c:v>
                </c:pt>
                <c:pt idx="37">
                  <c:v>1440.422077185729</c:v>
                </c:pt>
                <c:pt idx="38">
                  <c:v>1473.872077185729</c:v>
                </c:pt>
                <c:pt idx="39">
                  <c:v>1507.3220771857291</c:v>
                </c:pt>
                <c:pt idx="40">
                  <c:v>1540.7720771857291</c:v>
                </c:pt>
                <c:pt idx="41">
                  <c:v>1574.2220771857292</c:v>
                </c:pt>
                <c:pt idx="42">
                  <c:v>1607.6720771857292</c:v>
                </c:pt>
                <c:pt idx="43">
                  <c:v>1641.1220771857293</c:v>
                </c:pt>
                <c:pt idx="44">
                  <c:v>1674.5720771857293</c:v>
                </c:pt>
                <c:pt idx="45">
                  <c:v>1708.0220771857294</c:v>
                </c:pt>
                <c:pt idx="46">
                  <c:v>1741.4720771857294</c:v>
                </c:pt>
                <c:pt idx="47">
                  <c:v>1774.9220771857294</c:v>
                </c:pt>
                <c:pt idx="48">
                  <c:v>1808.3720771857295</c:v>
                </c:pt>
                <c:pt idx="49">
                  <c:v>1841.8220771857295</c:v>
                </c:pt>
                <c:pt idx="50">
                  <c:v>1875.2720771857296</c:v>
                </c:pt>
                <c:pt idx="51">
                  <c:v>1908.7220771857296</c:v>
                </c:pt>
                <c:pt idx="52">
                  <c:v>1942.1720771857297</c:v>
                </c:pt>
                <c:pt idx="53">
                  <c:v>1975.6220771857297</c:v>
                </c:pt>
                <c:pt idx="54">
                  <c:v>2009.0720771857298</c:v>
                </c:pt>
                <c:pt idx="55">
                  <c:v>2042.5220771857298</c:v>
                </c:pt>
                <c:pt idx="56">
                  <c:v>2075.9720771857296</c:v>
                </c:pt>
                <c:pt idx="57">
                  <c:v>2109.4220771857294</c:v>
                </c:pt>
                <c:pt idx="58">
                  <c:v>2142.8720771857293</c:v>
                </c:pt>
              </c:numCache>
            </c:numRef>
          </c:val>
          <c:extLst>
            <c:ext xmlns:c16="http://schemas.microsoft.com/office/drawing/2014/chart" uri="{C3380CC4-5D6E-409C-BE32-E72D297353CC}">
              <c16:uniqueId val="{00000000-79FB-4D14-ACCF-0C6E7EEC7DE7}"/>
            </c:ext>
          </c:extLst>
        </c:ser>
        <c:ser>
          <c:idx val="1"/>
          <c:order val="1"/>
          <c:tx>
            <c:strRef>
              <c:f>Afforestation!$A$31</c:f>
              <c:strCache>
                <c:ptCount val="1"/>
                <c:pt idx="0">
                  <c:v>Permanent Exotic Pine</c:v>
                </c:pt>
              </c:strCache>
            </c:strRef>
          </c:tx>
          <c:spPr>
            <a:solidFill>
              <a:schemeClr val="accent2"/>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Afforestation!$B$38:$BH$38</c:f>
              <c:numCache>
                <c:formatCode>#,##0</c:formatCode>
                <c:ptCount val="59"/>
                <c:pt idx="0">
                  <c:v>12.7286473197634</c:v>
                </c:pt>
                <c:pt idx="1">
                  <c:v>22.897947319763404</c:v>
                </c:pt>
                <c:pt idx="2">
                  <c:v>28.997947319763405</c:v>
                </c:pt>
                <c:pt idx="3">
                  <c:v>35.197947319763408</c:v>
                </c:pt>
                <c:pt idx="4">
                  <c:v>48.997947319763412</c:v>
                </c:pt>
                <c:pt idx="5">
                  <c:v>62.797947319763409</c:v>
                </c:pt>
                <c:pt idx="6">
                  <c:v>76.597947319763406</c:v>
                </c:pt>
                <c:pt idx="7">
                  <c:v>90.397947319763404</c:v>
                </c:pt>
                <c:pt idx="8">
                  <c:v>104.1979473197634</c:v>
                </c:pt>
                <c:pt idx="9">
                  <c:v>117.9979473197634</c:v>
                </c:pt>
                <c:pt idx="10">
                  <c:v>131.79794731976341</c:v>
                </c:pt>
                <c:pt idx="11">
                  <c:v>145.59794731976342</c:v>
                </c:pt>
                <c:pt idx="12">
                  <c:v>159.39794731976343</c:v>
                </c:pt>
                <c:pt idx="13">
                  <c:v>173.19794731976344</c:v>
                </c:pt>
                <c:pt idx="14">
                  <c:v>186.99794731976345</c:v>
                </c:pt>
                <c:pt idx="15">
                  <c:v>200.79794731976347</c:v>
                </c:pt>
                <c:pt idx="16">
                  <c:v>214.59794731976348</c:v>
                </c:pt>
                <c:pt idx="17">
                  <c:v>228.39794731976349</c:v>
                </c:pt>
                <c:pt idx="18">
                  <c:v>242.1979473197635</c:v>
                </c:pt>
                <c:pt idx="19">
                  <c:v>255.99794731976351</c:v>
                </c:pt>
                <c:pt idx="20">
                  <c:v>269.79794731976352</c:v>
                </c:pt>
                <c:pt idx="21">
                  <c:v>283.59794731976353</c:v>
                </c:pt>
                <c:pt idx="22">
                  <c:v>297.39794731976355</c:v>
                </c:pt>
                <c:pt idx="23">
                  <c:v>311.19794731976356</c:v>
                </c:pt>
                <c:pt idx="24">
                  <c:v>324.99794731976357</c:v>
                </c:pt>
                <c:pt idx="25">
                  <c:v>338.79794731976358</c:v>
                </c:pt>
                <c:pt idx="26">
                  <c:v>352.59794731976359</c:v>
                </c:pt>
                <c:pt idx="27">
                  <c:v>366.3979473197636</c:v>
                </c:pt>
                <c:pt idx="28">
                  <c:v>380.19794731976361</c:v>
                </c:pt>
                <c:pt idx="29">
                  <c:v>393.99794731976363</c:v>
                </c:pt>
                <c:pt idx="30">
                  <c:v>407.79794731976364</c:v>
                </c:pt>
                <c:pt idx="31">
                  <c:v>421.59794731976365</c:v>
                </c:pt>
                <c:pt idx="32">
                  <c:v>435.39794731976366</c:v>
                </c:pt>
                <c:pt idx="33">
                  <c:v>449.19794731976367</c:v>
                </c:pt>
                <c:pt idx="34">
                  <c:v>462.99794731976368</c:v>
                </c:pt>
                <c:pt idx="35">
                  <c:v>476.79794731976369</c:v>
                </c:pt>
                <c:pt idx="36">
                  <c:v>490.5979473197637</c:v>
                </c:pt>
                <c:pt idx="37">
                  <c:v>504.39794731976372</c:v>
                </c:pt>
                <c:pt idx="38">
                  <c:v>518.19794731976367</c:v>
                </c:pt>
                <c:pt idx="39">
                  <c:v>531.99794731976363</c:v>
                </c:pt>
                <c:pt idx="40">
                  <c:v>545.79794731976358</c:v>
                </c:pt>
                <c:pt idx="41">
                  <c:v>559.59794731976353</c:v>
                </c:pt>
                <c:pt idx="42">
                  <c:v>573.39794731976349</c:v>
                </c:pt>
                <c:pt idx="43">
                  <c:v>587.19794731976344</c:v>
                </c:pt>
                <c:pt idx="44">
                  <c:v>600.9979473197634</c:v>
                </c:pt>
                <c:pt idx="45">
                  <c:v>614.79794731976335</c:v>
                </c:pt>
                <c:pt idx="46">
                  <c:v>628.59794731976331</c:v>
                </c:pt>
                <c:pt idx="47">
                  <c:v>642.39794731976326</c:v>
                </c:pt>
                <c:pt idx="48">
                  <c:v>656.19794731976322</c:v>
                </c:pt>
                <c:pt idx="49">
                  <c:v>669.99794731976317</c:v>
                </c:pt>
                <c:pt idx="50">
                  <c:v>683.79794731976313</c:v>
                </c:pt>
                <c:pt idx="51">
                  <c:v>697.59794731976308</c:v>
                </c:pt>
                <c:pt idx="52">
                  <c:v>711.39794731976303</c:v>
                </c:pt>
                <c:pt idx="53">
                  <c:v>725.19794731976299</c:v>
                </c:pt>
                <c:pt idx="54">
                  <c:v>738.99794731976294</c:v>
                </c:pt>
                <c:pt idx="55">
                  <c:v>752.7979473197629</c:v>
                </c:pt>
                <c:pt idx="56">
                  <c:v>766.59794731976285</c:v>
                </c:pt>
                <c:pt idx="57">
                  <c:v>780.39794731976281</c:v>
                </c:pt>
                <c:pt idx="58">
                  <c:v>794.19794731976276</c:v>
                </c:pt>
              </c:numCache>
            </c:numRef>
          </c:val>
          <c:extLst>
            <c:ext xmlns:c16="http://schemas.microsoft.com/office/drawing/2014/chart" uri="{C3380CC4-5D6E-409C-BE32-E72D297353CC}">
              <c16:uniqueId val="{00000001-79FB-4D14-ACCF-0C6E7EEC7DE7}"/>
            </c:ext>
          </c:extLst>
        </c:ser>
        <c:ser>
          <c:idx val="2"/>
          <c:order val="2"/>
          <c:tx>
            <c:strRef>
              <c:f>Afforestation!$A$32</c:f>
              <c:strCache>
                <c:ptCount val="1"/>
                <c:pt idx="0">
                  <c:v>P89 Natural Forest </c:v>
                </c:pt>
              </c:strCache>
            </c:strRef>
          </c:tx>
          <c:spPr>
            <a:solidFill>
              <a:schemeClr val="accent3"/>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Afforestation!$B$39:$BH$39</c:f>
              <c:numCache>
                <c:formatCode>#,##0</c:formatCode>
                <c:ptCount val="59"/>
                <c:pt idx="0">
                  <c:v>6.8739999999999997</c:v>
                </c:pt>
                <c:pt idx="1">
                  <c:v>15.917749000000001</c:v>
                </c:pt>
                <c:pt idx="2">
                  <c:v>19.417749000000001</c:v>
                </c:pt>
                <c:pt idx="3">
                  <c:v>21.617749</c:v>
                </c:pt>
                <c:pt idx="4">
                  <c:v>22.217749000000001</c:v>
                </c:pt>
                <c:pt idx="5">
                  <c:v>22.517749000000002</c:v>
                </c:pt>
                <c:pt idx="6">
                  <c:v>22.667749000000001</c:v>
                </c:pt>
                <c:pt idx="7">
                  <c:v>22.817748999999999</c:v>
                </c:pt>
                <c:pt idx="8">
                  <c:v>22.967748999999998</c:v>
                </c:pt>
                <c:pt idx="9">
                  <c:v>23.117748999999996</c:v>
                </c:pt>
                <c:pt idx="10">
                  <c:v>23.267748999999995</c:v>
                </c:pt>
                <c:pt idx="11">
                  <c:v>23.417748999999993</c:v>
                </c:pt>
                <c:pt idx="12">
                  <c:v>23.567748999999992</c:v>
                </c:pt>
                <c:pt idx="13">
                  <c:v>23.717748999999991</c:v>
                </c:pt>
                <c:pt idx="14">
                  <c:v>23.867748999999989</c:v>
                </c:pt>
                <c:pt idx="15">
                  <c:v>24.017748999999988</c:v>
                </c:pt>
                <c:pt idx="16">
                  <c:v>24.167748999999986</c:v>
                </c:pt>
                <c:pt idx="17">
                  <c:v>24.317748999999985</c:v>
                </c:pt>
                <c:pt idx="18">
                  <c:v>24.467748999999984</c:v>
                </c:pt>
                <c:pt idx="19">
                  <c:v>24.617748999999982</c:v>
                </c:pt>
                <c:pt idx="20">
                  <c:v>24.767748999999981</c:v>
                </c:pt>
                <c:pt idx="21">
                  <c:v>24.917748999999979</c:v>
                </c:pt>
                <c:pt idx="22">
                  <c:v>25.067748999999978</c:v>
                </c:pt>
                <c:pt idx="23">
                  <c:v>25.217748999999976</c:v>
                </c:pt>
                <c:pt idx="24">
                  <c:v>25.367748999999975</c:v>
                </c:pt>
                <c:pt idx="25">
                  <c:v>25.517748999999974</c:v>
                </c:pt>
                <c:pt idx="26">
                  <c:v>25.667748999999972</c:v>
                </c:pt>
                <c:pt idx="27">
                  <c:v>25.817748999999971</c:v>
                </c:pt>
                <c:pt idx="28">
                  <c:v>25.967748999999969</c:v>
                </c:pt>
                <c:pt idx="29">
                  <c:v>26.117748999999968</c:v>
                </c:pt>
                <c:pt idx="30">
                  <c:v>26.267748999999966</c:v>
                </c:pt>
                <c:pt idx="31">
                  <c:v>26.417748999999965</c:v>
                </c:pt>
                <c:pt idx="32">
                  <c:v>26.567748999999964</c:v>
                </c:pt>
                <c:pt idx="33">
                  <c:v>26.717748999999962</c:v>
                </c:pt>
                <c:pt idx="34">
                  <c:v>26.867748999999961</c:v>
                </c:pt>
                <c:pt idx="35">
                  <c:v>27.017748999999959</c:v>
                </c:pt>
                <c:pt idx="36">
                  <c:v>27.167748999999958</c:v>
                </c:pt>
                <c:pt idx="37">
                  <c:v>27.317748999999957</c:v>
                </c:pt>
                <c:pt idx="38">
                  <c:v>27.467748999999955</c:v>
                </c:pt>
                <c:pt idx="39">
                  <c:v>27.617748999999954</c:v>
                </c:pt>
                <c:pt idx="40">
                  <c:v>27.767748999999952</c:v>
                </c:pt>
                <c:pt idx="41">
                  <c:v>27.917748999999951</c:v>
                </c:pt>
                <c:pt idx="42">
                  <c:v>28.067748999999949</c:v>
                </c:pt>
                <c:pt idx="43">
                  <c:v>28.217748999999948</c:v>
                </c:pt>
                <c:pt idx="44">
                  <c:v>28.367748999999947</c:v>
                </c:pt>
                <c:pt idx="45">
                  <c:v>28.517748999999945</c:v>
                </c:pt>
                <c:pt idx="46">
                  <c:v>28.667748999999944</c:v>
                </c:pt>
                <c:pt idx="47">
                  <c:v>28.817748999999942</c:v>
                </c:pt>
                <c:pt idx="48">
                  <c:v>28.967748999999941</c:v>
                </c:pt>
                <c:pt idx="49">
                  <c:v>29.117748999999939</c:v>
                </c:pt>
                <c:pt idx="50">
                  <c:v>29.267748999999938</c:v>
                </c:pt>
                <c:pt idx="51">
                  <c:v>29.417748999999937</c:v>
                </c:pt>
                <c:pt idx="52">
                  <c:v>29.567748999999935</c:v>
                </c:pt>
                <c:pt idx="53">
                  <c:v>29.717748999999934</c:v>
                </c:pt>
                <c:pt idx="54">
                  <c:v>29.867748999999932</c:v>
                </c:pt>
                <c:pt idx="55">
                  <c:v>30.017748999999931</c:v>
                </c:pt>
                <c:pt idx="56">
                  <c:v>30.16774899999993</c:v>
                </c:pt>
                <c:pt idx="57">
                  <c:v>30.317748999999928</c:v>
                </c:pt>
                <c:pt idx="58">
                  <c:v>30.467748999999927</c:v>
                </c:pt>
              </c:numCache>
            </c:numRef>
          </c:val>
          <c:extLst>
            <c:ext xmlns:c16="http://schemas.microsoft.com/office/drawing/2014/chart" uri="{C3380CC4-5D6E-409C-BE32-E72D297353CC}">
              <c16:uniqueId val="{00000002-79FB-4D14-ACCF-0C6E7EEC7DE7}"/>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228.46457489174307</c:v>
                </c:pt>
                <c:pt idx="3">
                  <c:v>291.26457489174305</c:v>
                </c:pt>
                <c:pt idx="4">
                  <c:v>329.21891542672506</c:v>
                </c:pt>
                <c:pt idx="5">
                  <c:v>367.29951340696414</c:v>
                </c:pt>
                <c:pt idx="6">
                  <c:v>405.25415388543945</c:v>
                </c:pt>
                <c:pt idx="7">
                  <c:v>442.79359851406235</c:v>
                </c:pt>
                <c:pt idx="8">
                  <c:v>479.57297761754302</c:v>
                </c:pt>
                <c:pt idx="9">
                  <c:v>515.16810106388516</c:v>
                </c:pt>
                <c:pt idx="10">
                  <c:v>549.54922861981231</c:v>
                </c:pt>
                <c:pt idx="11">
                  <c:v>582.69424929723982</c:v>
                </c:pt>
                <c:pt idx="12">
                  <c:v>614.58886754326136</c:v>
                </c:pt>
                <c:pt idx="13">
                  <c:v>645.22658878966695</c:v>
                </c:pt>
                <c:pt idx="14">
                  <c:v>674.63354756985666</c:v>
                </c:pt>
                <c:pt idx="15">
                  <c:v>702.85372213433652</c:v>
                </c:pt>
                <c:pt idx="16">
                  <c:v>729.94046258610433</c:v>
                </c:pt>
                <c:pt idx="17">
                  <c:v>755.95514798918668</c:v>
                </c:pt>
                <c:pt idx="18">
                  <c:v>780.96586752903329</c:v>
                </c:pt>
                <c:pt idx="19">
                  <c:v>805.04619645567288</c:v>
                </c:pt>
                <c:pt idx="20">
                  <c:v>828.27412148975543</c:v>
                </c:pt>
                <c:pt idx="21">
                  <c:v>850.73115441705011</c:v>
                </c:pt>
                <c:pt idx="22">
                  <c:v>872.50165832104926</c:v>
                </c:pt>
                <c:pt idx="23">
                  <c:v>893.67239923513148</c:v>
                </c:pt>
                <c:pt idx="24">
                  <c:v>914.33232727197435</c:v>
                </c:pt>
                <c:pt idx="25">
                  <c:v>934.57258536783945</c:v>
                </c:pt>
                <c:pt idx="26">
                  <c:v>954.48674016456846</c:v>
                </c:pt>
                <c:pt idx="27">
                  <c:v>974.17122747556232</c:v>
                </c:pt>
                <c:pt idx="28">
                  <c:v>993.72600324506629</c:v>
                </c:pt>
                <c:pt idx="29">
                  <c:v>1013.1517902947835</c:v>
                </c:pt>
                <c:pt idx="30">
                  <c:v>1032.4493136084777</c:v>
                </c:pt>
                <c:pt idx="31">
                  <c:v>1051.6193001674078</c:v>
                </c:pt>
                <c:pt idx="32">
                  <c:v>1070.6624787882956</c:v>
                </c:pt>
                <c:pt idx="33">
                  <c:v>1089.5795799638504</c:v>
                </c:pt>
                <c:pt idx="34">
                  <c:v>1108.3713357058634</c:v>
                </c:pt>
                <c:pt idx="35">
                  <c:v>1127.0384793908904</c:v>
                </c:pt>
                <c:pt idx="36">
                  <c:v>1145.5817456085322</c:v>
                </c:pt>
                <c:pt idx="37">
                  <c:v>1164.001870012326</c:v>
                </c:pt>
                <c:pt idx="38">
                  <c:v>1182.2995891732548</c:v>
                </c:pt>
                <c:pt idx="39">
                  <c:v>1200.4756404358809</c:v>
                </c:pt>
                <c:pt idx="40">
                  <c:v>1218.5307617771093</c:v>
                </c:pt>
                <c:pt idx="41">
                  <c:v>1236.465691667584</c:v>
                </c:pt>
                <c:pt idx="42">
                  <c:v>1254.2811689357161</c:v>
                </c:pt>
                <c:pt idx="43">
                  <c:v>1271.9779326343448</c:v>
                </c:pt>
                <c:pt idx="44">
                  <c:v>1289.5567219100269</c:v>
                </c:pt>
                <c:pt idx="45">
                  <c:v>1307.0182758749536</c:v>
                </c:pt>
                <c:pt idx="46">
                  <c:v>1324.3633334814854</c:v>
                </c:pt>
                <c:pt idx="47">
                  <c:v>1341.5926333993002</c:v>
                </c:pt>
                <c:pt idx="48">
                  <c:v>1358.706913895144</c:v>
                </c:pt>
                <c:pt idx="49">
                  <c:v>1375.7069127151765</c:v>
                </c:pt>
                <c:pt idx="50">
                  <c:v>1392.5933669698966</c:v>
                </c:pt>
                <c:pt idx="51">
                  <c:v>1409.3670130216385</c:v>
                </c:pt>
                <c:pt idx="52">
                  <c:v>1426.0285863746224</c:v>
                </c:pt>
                <c:pt idx="53">
                  <c:v>1442.5788215675441</c:v>
                </c:pt>
                <c:pt idx="54">
                  <c:v>1459.0184520686885</c:v>
                </c:pt>
                <c:pt idx="55">
                  <c:v>1475.3482101735481</c:v>
                </c:pt>
                <c:pt idx="56">
                  <c:v>1491.5688269049303</c:v>
                </c:pt>
                <c:pt idx="57">
                  <c:v>1507.6810319155295</c:v>
                </c:pt>
                <c:pt idx="58">
                  <c:v>1523.6855533929497</c:v>
                </c:pt>
              </c:numCache>
            </c:numRef>
          </c:val>
          <c:smooth val="0"/>
          <c:extLst>
            <c:ext xmlns:c16="http://schemas.microsoft.com/office/drawing/2014/chart" uri="{C3380CC4-5D6E-409C-BE32-E72D297353CC}">
              <c16:uniqueId val="{00000003-79FB-4D14-ACCF-0C6E7EEC7DE7}"/>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Afforestation!$A$1</c:f>
              <c:strCache>
                <c:ptCount val="1"/>
                <c:pt idx="0">
                  <c:v>MPI Central</c:v>
                </c:pt>
              </c:strCache>
            </c:strRef>
          </c:tx>
          <c:spPr>
            <a:ln w="28575" cap="rnd">
              <a:solidFill>
                <a:schemeClr val="accent1"/>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Afforestation!$B$2:$BH$2</c:f>
              <c:numCache>
                <c:formatCode>#,##0</c:formatCode>
                <c:ptCount val="59"/>
                <c:pt idx="0">
                  <c:v>89538.905225076393</c:v>
                </c:pt>
                <c:pt idx="1">
                  <c:v>76325.669666666668</c:v>
                </c:pt>
                <c:pt idx="2">
                  <c:v>62600</c:v>
                </c:pt>
                <c:pt idx="3">
                  <c:v>62800</c:v>
                </c:pt>
                <c:pt idx="4">
                  <c:v>27600</c:v>
                </c:pt>
                <c:pt idx="5">
                  <c:v>27400</c:v>
                </c:pt>
                <c:pt idx="6">
                  <c:v>27300</c:v>
                </c:pt>
                <c:pt idx="7">
                  <c:v>27300</c:v>
                </c:pt>
                <c:pt idx="8">
                  <c:v>27300</c:v>
                </c:pt>
                <c:pt idx="9">
                  <c:v>27300</c:v>
                </c:pt>
                <c:pt idx="10">
                  <c:v>27300</c:v>
                </c:pt>
                <c:pt idx="11">
                  <c:v>27300</c:v>
                </c:pt>
                <c:pt idx="12">
                  <c:v>27300</c:v>
                </c:pt>
                <c:pt idx="13">
                  <c:v>27300</c:v>
                </c:pt>
                <c:pt idx="14">
                  <c:v>27300</c:v>
                </c:pt>
                <c:pt idx="15">
                  <c:v>27300</c:v>
                </c:pt>
                <c:pt idx="16">
                  <c:v>27300</c:v>
                </c:pt>
                <c:pt idx="17">
                  <c:v>27300</c:v>
                </c:pt>
                <c:pt idx="18">
                  <c:v>27300</c:v>
                </c:pt>
                <c:pt idx="19">
                  <c:v>27300</c:v>
                </c:pt>
                <c:pt idx="20">
                  <c:v>27300</c:v>
                </c:pt>
                <c:pt idx="21">
                  <c:v>27300</c:v>
                </c:pt>
                <c:pt idx="22">
                  <c:v>27300</c:v>
                </c:pt>
                <c:pt idx="23">
                  <c:v>27300</c:v>
                </c:pt>
                <c:pt idx="24">
                  <c:v>27300</c:v>
                </c:pt>
                <c:pt idx="25">
                  <c:v>27300</c:v>
                </c:pt>
                <c:pt idx="26">
                  <c:v>27300</c:v>
                </c:pt>
                <c:pt idx="27">
                  <c:v>27300</c:v>
                </c:pt>
                <c:pt idx="28">
                  <c:v>27300</c:v>
                </c:pt>
                <c:pt idx="29">
                  <c:v>27300</c:v>
                </c:pt>
                <c:pt idx="30">
                  <c:v>27300</c:v>
                </c:pt>
                <c:pt idx="31">
                  <c:v>27300</c:v>
                </c:pt>
                <c:pt idx="32">
                  <c:v>27300</c:v>
                </c:pt>
                <c:pt idx="33">
                  <c:v>27300</c:v>
                </c:pt>
                <c:pt idx="34">
                  <c:v>27300</c:v>
                </c:pt>
                <c:pt idx="35">
                  <c:v>27300</c:v>
                </c:pt>
                <c:pt idx="36">
                  <c:v>27300</c:v>
                </c:pt>
                <c:pt idx="37">
                  <c:v>27300</c:v>
                </c:pt>
                <c:pt idx="38">
                  <c:v>27300</c:v>
                </c:pt>
                <c:pt idx="39">
                  <c:v>27300</c:v>
                </c:pt>
                <c:pt idx="40">
                  <c:v>27300</c:v>
                </c:pt>
                <c:pt idx="41">
                  <c:v>27300</c:v>
                </c:pt>
                <c:pt idx="42">
                  <c:v>27300</c:v>
                </c:pt>
                <c:pt idx="43">
                  <c:v>27300</c:v>
                </c:pt>
                <c:pt idx="44">
                  <c:v>27300</c:v>
                </c:pt>
                <c:pt idx="45">
                  <c:v>27300</c:v>
                </c:pt>
                <c:pt idx="46">
                  <c:v>27300</c:v>
                </c:pt>
                <c:pt idx="47">
                  <c:v>27300</c:v>
                </c:pt>
                <c:pt idx="48">
                  <c:v>27300</c:v>
                </c:pt>
                <c:pt idx="49">
                  <c:v>27300</c:v>
                </c:pt>
                <c:pt idx="50">
                  <c:v>27300</c:v>
                </c:pt>
                <c:pt idx="51">
                  <c:v>27300</c:v>
                </c:pt>
                <c:pt idx="52">
                  <c:v>27300</c:v>
                </c:pt>
                <c:pt idx="53">
                  <c:v>27300</c:v>
                </c:pt>
                <c:pt idx="54">
                  <c:v>27300</c:v>
                </c:pt>
                <c:pt idx="55">
                  <c:v>27300</c:v>
                </c:pt>
                <c:pt idx="56">
                  <c:v>27300</c:v>
                </c:pt>
                <c:pt idx="57">
                  <c:v>27300</c:v>
                </c:pt>
                <c:pt idx="58">
                  <c:v>27300</c:v>
                </c:pt>
              </c:numCache>
            </c:numRef>
          </c:val>
          <c:smooth val="0"/>
          <c:extLst>
            <c:ext xmlns:c16="http://schemas.microsoft.com/office/drawing/2014/chart" uri="{C3380CC4-5D6E-409C-BE32-E72D297353CC}">
              <c16:uniqueId val="{00000000-7AF6-4BBE-B3B6-C2C2AF69F698}"/>
            </c:ext>
          </c:extLst>
        </c:ser>
        <c:ser>
          <c:idx val="1"/>
          <c:order val="1"/>
          <c:tx>
            <c:strRef>
              <c:f>Afforestation!$A$16</c:f>
              <c:strCache>
                <c:ptCount val="1"/>
                <c:pt idx="0">
                  <c:v>Manley Model</c:v>
                </c:pt>
              </c:strCache>
            </c:strRef>
          </c:tx>
          <c:spPr>
            <a:ln w="28575" cap="rnd">
              <a:solidFill>
                <a:schemeClr val="accent2"/>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Afforestation!$B$17:$BH$17</c:f>
              <c:numCache>
                <c:formatCode>#,##0</c:formatCode>
                <c:ptCount val="59"/>
                <c:pt idx="0">
                  <c:v>89538.905225076393</c:v>
                </c:pt>
                <c:pt idx="1">
                  <c:v>76325.669666666668</c:v>
                </c:pt>
                <c:pt idx="2">
                  <c:v>62600</c:v>
                </c:pt>
                <c:pt idx="3">
                  <c:v>62800</c:v>
                </c:pt>
                <c:pt idx="4">
                  <c:v>37954.34053498198</c:v>
                </c:pt>
                <c:pt idx="5">
                  <c:v>38080.597980239108</c:v>
                </c:pt>
                <c:pt idx="6">
                  <c:v>37954.64047847531</c:v>
                </c:pt>
                <c:pt idx="7">
                  <c:v>37539.444628622907</c:v>
                </c:pt>
                <c:pt idx="8">
                  <c:v>36779.379103480664</c:v>
                </c:pt>
                <c:pt idx="9">
                  <c:v>35595.123446342128</c:v>
                </c:pt>
                <c:pt idx="10">
                  <c:v>34381.127555927204</c:v>
                </c:pt>
                <c:pt idx="11">
                  <c:v>33145.02067742747</c:v>
                </c:pt>
                <c:pt idx="12">
                  <c:v>31894.618246021564</c:v>
                </c:pt>
                <c:pt idx="13">
                  <c:v>30637.721246405563</c:v>
                </c:pt>
                <c:pt idx="14">
                  <c:v>29406.958780189743</c:v>
                </c:pt>
                <c:pt idx="15">
                  <c:v>28220.17456447985</c:v>
                </c:pt>
                <c:pt idx="16">
                  <c:v>27086.740451767808</c:v>
                </c:pt>
                <c:pt idx="17">
                  <c:v>26014.685403082403</c:v>
                </c:pt>
                <c:pt idx="18">
                  <c:v>25010.719539846643</c:v>
                </c:pt>
                <c:pt idx="19">
                  <c:v>24080.328926639631</c:v>
                </c:pt>
                <c:pt idx="20">
                  <c:v>23227.925034082495</c:v>
                </c:pt>
                <c:pt idx="21">
                  <c:v>22457.032927294727</c:v>
                </c:pt>
                <c:pt idx="22">
                  <c:v>21770.50390399911</c:v>
                </c:pt>
                <c:pt idx="23">
                  <c:v>21170.740914082271</c:v>
                </c:pt>
                <c:pt idx="24">
                  <c:v>20659.928036842844</c:v>
                </c:pt>
                <c:pt idx="25">
                  <c:v>20240.258095865138</c:v>
                </c:pt>
                <c:pt idx="26">
                  <c:v>19914.154796728981</c:v>
                </c:pt>
                <c:pt idx="27">
                  <c:v>19684.487310993834</c:v>
                </c:pt>
                <c:pt idx="28">
                  <c:v>19554.77576950402</c:v>
                </c:pt>
                <c:pt idx="29">
                  <c:v>19425.787049717153</c:v>
                </c:pt>
                <c:pt idx="30">
                  <c:v>19297.523313694284</c:v>
                </c:pt>
                <c:pt idx="31">
                  <c:v>19169.986558930133</c:v>
                </c:pt>
                <c:pt idx="32">
                  <c:v>19043.17862088792</c:v>
                </c:pt>
                <c:pt idx="33">
                  <c:v>18917.101175554795</c:v>
                </c:pt>
                <c:pt idx="34">
                  <c:v>18791.755742013105</c:v>
                </c:pt>
                <c:pt idx="35">
                  <c:v>18667.143685026909</c:v>
                </c:pt>
                <c:pt idx="36">
                  <c:v>18543.266217641765</c:v>
                </c:pt>
                <c:pt idx="37">
                  <c:v>18420.12440379383</c:v>
                </c:pt>
                <c:pt idx="38">
                  <c:v>18297.719160928857</c:v>
                </c:pt>
                <c:pt idx="39">
                  <c:v>18176.051262625959</c:v>
                </c:pt>
                <c:pt idx="40">
                  <c:v>18055.121341228485</c:v>
                </c:pt>
                <c:pt idx="41">
                  <c:v>17934.92989047477</c:v>
                </c:pt>
                <c:pt idx="42">
                  <c:v>17815.477268132148</c:v>
                </c:pt>
                <c:pt idx="43">
                  <c:v>17696.763698628638</c:v>
                </c:pt>
                <c:pt idx="44">
                  <c:v>17578.789275682066</c:v>
                </c:pt>
                <c:pt idx="45">
                  <c:v>17461.553964926628</c:v>
                </c:pt>
                <c:pt idx="46">
                  <c:v>17345.057606531773</c:v>
                </c:pt>
                <c:pt idx="47">
                  <c:v>17229.299917814787</c:v>
                </c:pt>
                <c:pt idx="48">
                  <c:v>17114.28049584385</c:v>
                </c:pt>
                <c:pt idx="49">
                  <c:v>16999.998820032459</c:v>
                </c:pt>
                <c:pt idx="50">
                  <c:v>16886.454254720127</c:v>
                </c:pt>
                <c:pt idx="51">
                  <c:v>16773.646051741904</c:v>
                </c:pt>
                <c:pt idx="52">
                  <c:v>16661.57335298392</c:v>
                </c:pt>
                <c:pt idx="53">
                  <c:v>16550.235192921711</c:v>
                </c:pt>
                <c:pt idx="54">
                  <c:v>16439.630501144333</c:v>
                </c:pt>
                <c:pt idx="55">
                  <c:v>16329.758104859618</c:v>
                </c:pt>
                <c:pt idx="56">
                  <c:v>16220.616731382208</c:v>
                </c:pt>
                <c:pt idx="57">
                  <c:v>16112.205010599224</c:v>
                </c:pt>
                <c:pt idx="58">
                  <c:v>16004.521477420116</c:v>
                </c:pt>
              </c:numCache>
            </c:numRef>
          </c:val>
          <c:smooth val="0"/>
          <c:extLst>
            <c:ext xmlns:c16="http://schemas.microsoft.com/office/drawing/2014/chart" uri="{C3380CC4-5D6E-409C-BE32-E72D297353CC}">
              <c16:uniqueId val="{00000001-7AF6-4BBE-B3B6-C2C2AF69F698}"/>
            </c:ext>
          </c:extLst>
        </c:ser>
        <c:ser>
          <c:idx val="2"/>
          <c:order val="2"/>
          <c:tx>
            <c:strRef>
              <c:f>Afforestation!$A$6</c:f>
              <c:strCache>
                <c:ptCount val="1"/>
                <c:pt idx="0">
                  <c:v>MPI Upper</c:v>
                </c:pt>
              </c:strCache>
            </c:strRef>
          </c:tx>
          <c:spPr>
            <a:ln w="28575" cap="rnd">
              <a:solidFill>
                <a:schemeClr val="accent3"/>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Afforestation!$B$7:$BH$7</c:f>
              <c:numCache>
                <c:formatCode>#,##0</c:formatCode>
                <c:ptCount val="59"/>
                <c:pt idx="0">
                  <c:v>89538.74318572777</c:v>
                </c:pt>
                <c:pt idx="1">
                  <c:v>77583.334000000003</c:v>
                </c:pt>
                <c:pt idx="2">
                  <c:v>62600</c:v>
                </c:pt>
                <c:pt idx="3">
                  <c:v>72800</c:v>
                </c:pt>
                <c:pt idx="4">
                  <c:v>33900</c:v>
                </c:pt>
                <c:pt idx="5">
                  <c:v>33600</c:v>
                </c:pt>
                <c:pt idx="6">
                  <c:v>33450</c:v>
                </c:pt>
                <c:pt idx="7">
                  <c:v>33450</c:v>
                </c:pt>
                <c:pt idx="8">
                  <c:v>33450</c:v>
                </c:pt>
                <c:pt idx="9">
                  <c:v>33450</c:v>
                </c:pt>
                <c:pt idx="10">
                  <c:v>33450</c:v>
                </c:pt>
                <c:pt idx="11">
                  <c:v>33450</c:v>
                </c:pt>
                <c:pt idx="12">
                  <c:v>33450</c:v>
                </c:pt>
                <c:pt idx="13">
                  <c:v>33450</c:v>
                </c:pt>
                <c:pt idx="14">
                  <c:v>33450</c:v>
                </c:pt>
                <c:pt idx="15">
                  <c:v>33450</c:v>
                </c:pt>
                <c:pt idx="16">
                  <c:v>33450</c:v>
                </c:pt>
                <c:pt idx="17">
                  <c:v>33450</c:v>
                </c:pt>
                <c:pt idx="18">
                  <c:v>33450</c:v>
                </c:pt>
                <c:pt idx="19">
                  <c:v>33450</c:v>
                </c:pt>
                <c:pt idx="20">
                  <c:v>33450</c:v>
                </c:pt>
                <c:pt idx="21">
                  <c:v>33450</c:v>
                </c:pt>
                <c:pt idx="22">
                  <c:v>33450</c:v>
                </c:pt>
                <c:pt idx="23">
                  <c:v>33450</c:v>
                </c:pt>
                <c:pt idx="24">
                  <c:v>33450</c:v>
                </c:pt>
                <c:pt idx="25">
                  <c:v>33450</c:v>
                </c:pt>
                <c:pt idx="26">
                  <c:v>33450</c:v>
                </c:pt>
                <c:pt idx="27">
                  <c:v>33450</c:v>
                </c:pt>
                <c:pt idx="28">
                  <c:v>33450</c:v>
                </c:pt>
                <c:pt idx="29">
                  <c:v>33450</c:v>
                </c:pt>
                <c:pt idx="30">
                  <c:v>33450</c:v>
                </c:pt>
                <c:pt idx="31">
                  <c:v>33450</c:v>
                </c:pt>
                <c:pt idx="32">
                  <c:v>33450</c:v>
                </c:pt>
                <c:pt idx="33">
                  <c:v>33450</c:v>
                </c:pt>
                <c:pt idx="34">
                  <c:v>33450</c:v>
                </c:pt>
                <c:pt idx="35">
                  <c:v>33450</c:v>
                </c:pt>
                <c:pt idx="36">
                  <c:v>33450</c:v>
                </c:pt>
                <c:pt idx="37">
                  <c:v>33450</c:v>
                </c:pt>
                <c:pt idx="38">
                  <c:v>33450</c:v>
                </c:pt>
                <c:pt idx="39">
                  <c:v>33450</c:v>
                </c:pt>
                <c:pt idx="40">
                  <c:v>33450</c:v>
                </c:pt>
                <c:pt idx="41">
                  <c:v>33450</c:v>
                </c:pt>
                <c:pt idx="42">
                  <c:v>33450</c:v>
                </c:pt>
                <c:pt idx="43">
                  <c:v>33450</c:v>
                </c:pt>
                <c:pt idx="44">
                  <c:v>33450</c:v>
                </c:pt>
                <c:pt idx="45">
                  <c:v>33450</c:v>
                </c:pt>
                <c:pt idx="46">
                  <c:v>33450</c:v>
                </c:pt>
                <c:pt idx="47">
                  <c:v>33450</c:v>
                </c:pt>
                <c:pt idx="48">
                  <c:v>33450</c:v>
                </c:pt>
                <c:pt idx="49">
                  <c:v>33450</c:v>
                </c:pt>
                <c:pt idx="50">
                  <c:v>33450</c:v>
                </c:pt>
                <c:pt idx="51">
                  <c:v>33450</c:v>
                </c:pt>
                <c:pt idx="52">
                  <c:v>33450</c:v>
                </c:pt>
                <c:pt idx="53">
                  <c:v>33450</c:v>
                </c:pt>
                <c:pt idx="54">
                  <c:v>33450</c:v>
                </c:pt>
                <c:pt idx="55">
                  <c:v>33450</c:v>
                </c:pt>
                <c:pt idx="56">
                  <c:v>33450</c:v>
                </c:pt>
                <c:pt idx="57">
                  <c:v>33450</c:v>
                </c:pt>
                <c:pt idx="58">
                  <c:v>33450</c:v>
                </c:pt>
              </c:numCache>
            </c:numRef>
          </c:val>
          <c:smooth val="0"/>
          <c:extLst>
            <c:ext xmlns:c16="http://schemas.microsoft.com/office/drawing/2014/chart" uri="{C3380CC4-5D6E-409C-BE32-E72D297353CC}">
              <c16:uniqueId val="{00000002-7AF6-4BBE-B3B6-C2C2AF69F698}"/>
            </c:ext>
          </c:extLst>
        </c:ser>
        <c:dLbls>
          <c:showLegendKey val="0"/>
          <c:showVal val="0"/>
          <c:showCatName val="0"/>
          <c:showSerName val="0"/>
          <c:showPercent val="0"/>
          <c:showBubbleSize val="0"/>
        </c:dLbls>
        <c:smooth val="0"/>
        <c:axId val="103674560"/>
        <c:axId val="103674080"/>
      </c:lineChart>
      <c:catAx>
        <c:axId val="10367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74080"/>
        <c:crosses val="autoZero"/>
        <c:auto val="1"/>
        <c:lblAlgn val="ctr"/>
        <c:lblOffset val="100"/>
        <c:noMultiLvlLbl val="0"/>
      </c:catAx>
      <c:valAx>
        <c:axId val="103674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7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Removals!$C$2</c:f>
              <c:strCache>
                <c:ptCount val="1"/>
                <c:pt idx="0">
                  <c:v>No liability</c:v>
                </c:pt>
              </c:strCache>
            </c:strRef>
          </c:tx>
          <c:spPr>
            <a:solidFill>
              <a:schemeClr val="accent1"/>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Removals!$C$3:$C$33</c:f>
              <c:numCache>
                <c:formatCode>0.0</c:formatCode>
                <c:ptCount val="31"/>
                <c:pt idx="0">
                  <c:v>3.8497408439486671</c:v>
                </c:pt>
                <c:pt idx="1">
                  <c:v>4.0055967121192673</c:v>
                </c:pt>
                <c:pt idx="2">
                  <c:v>4.3734773485979597</c:v>
                </c:pt>
                <c:pt idx="3">
                  <c:v>5.5215918458227504</c:v>
                </c:pt>
                <c:pt idx="4">
                  <c:v>6.6446509993934484</c:v>
                </c:pt>
                <c:pt idx="5">
                  <c:v>8.3190243126254551</c:v>
                </c:pt>
                <c:pt idx="6">
                  <c:v>10.401914506577755</c:v>
                </c:pt>
                <c:pt idx="7">
                  <c:v>12.485742842104759</c:v>
                </c:pt>
                <c:pt idx="8">
                  <c:v>14.152025165406336</c:v>
                </c:pt>
                <c:pt idx="9">
                  <c:v>15.168876003833965</c:v>
                </c:pt>
                <c:pt idx="10">
                  <c:v>15.563621038300418</c:v>
                </c:pt>
                <c:pt idx="11">
                  <c:v>15.728732200626675</c:v>
                </c:pt>
                <c:pt idx="12">
                  <c:v>15.98729921126731</c:v>
                </c:pt>
                <c:pt idx="13">
                  <c:v>16.579736936540396</c:v>
                </c:pt>
                <c:pt idx="14">
                  <c:v>17.36498017290781</c:v>
                </c:pt>
                <c:pt idx="15">
                  <c:v>17.764058933452201</c:v>
                </c:pt>
                <c:pt idx="16">
                  <c:v>17.947466854155575</c:v>
                </c:pt>
                <c:pt idx="17">
                  <c:v>18.192567325487644</c:v>
                </c:pt>
                <c:pt idx="18">
                  <c:v>17.122154476992677</c:v>
                </c:pt>
                <c:pt idx="19">
                  <c:v>15.941385738360241</c:v>
                </c:pt>
                <c:pt idx="20">
                  <c:v>15.236528255876934</c:v>
                </c:pt>
                <c:pt idx="21">
                  <c:v>15.347520321596416</c:v>
                </c:pt>
                <c:pt idx="22">
                  <c:v>15.514687464231649</c:v>
                </c:pt>
                <c:pt idx="23">
                  <c:v>15.660715826959915</c:v>
                </c:pt>
                <c:pt idx="24">
                  <c:v>15.759155189935722</c:v>
                </c:pt>
                <c:pt idx="25">
                  <c:v>15.881829730245666</c:v>
                </c:pt>
                <c:pt idx="26">
                  <c:v>16.01528205822212</c:v>
                </c:pt>
                <c:pt idx="27">
                  <c:v>16.161700778430387</c:v>
                </c:pt>
                <c:pt idx="28">
                  <c:v>16.294325733612549</c:v>
                </c:pt>
                <c:pt idx="29">
                  <c:v>16.437615463454009</c:v>
                </c:pt>
                <c:pt idx="30">
                  <c:v>16.584731147867849</c:v>
                </c:pt>
              </c:numCache>
            </c:numRef>
          </c:val>
          <c:extLst>
            <c:ext xmlns:c16="http://schemas.microsoft.com/office/drawing/2014/chart" uri="{C3380CC4-5D6E-409C-BE32-E72D297353CC}">
              <c16:uniqueId val="{00000000-E823-4F92-ABC5-1571A96DED65}"/>
            </c:ext>
          </c:extLst>
        </c:ser>
        <c:ser>
          <c:idx val="1"/>
          <c:order val="1"/>
          <c:tx>
            <c:strRef>
              <c:f>Removals!$D$2</c:f>
              <c:strCache>
                <c:ptCount val="1"/>
                <c:pt idx="0">
                  <c:v>With harvest liability</c:v>
                </c:pt>
              </c:strCache>
            </c:strRef>
          </c:tx>
          <c:spPr>
            <a:solidFill>
              <a:schemeClr val="accent6"/>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Removals!$D$3:$D$33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E823-4F92-ABC5-1571A96DED6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lumMod val="75000"/>
              </a:schemeClr>
            </a:solidFill>
            <a:ln w="25400">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Removals!$H$3:$H$33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3-E823-4F92-ABC5-1571A96DED6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7BD5-453E-89D5-CAA5615028F2}"/>
            </c:ext>
          </c:extLst>
        </c:ser>
        <c:ser>
          <c:idx val="1"/>
          <c:order val="1"/>
          <c:spPr>
            <a:ln w="19050"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Manley!$E$27:$E$47</c:f>
              <c:numCache>
                <c:formatCode>0</c:formatCode>
                <c:ptCount val="21"/>
                <c:pt idx="0">
                  <c:v>2.15773580381838</c:v>
                </c:pt>
                <c:pt idx="1">
                  <c:v>4.5400938134032067</c:v>
                </c:pt>
                <c:pt idx="2">
                  <c:v>9.3027236339386761</c:v>
                </c:pt>
                <c:pt idx="3">
                  <c:v>18.113426813100794</c:v>
                </c:pt>
                <c:pt idx="4">
                  <c:v>32.297287155514951</c:v>
                </c:pt>
                <c:pt idx="5">
                  <c:v>50.709840649717201</c:v>
                </c:pt>
                <c:pt idx="6">
                  <c:v>68.931826953478364</c:v>
                </c:pt>
                <c:pt idx="7">
                  <c:v>82.713723738572213</c:v>
                </c:pt>
                <c:pt idx="8">
                  <c:v>91.165493146887187</c:v>
                </c:pt>
                <c:pt idx="9">
                  <c:v>95.69977961070623</c:v>
                </c:pt>
                <c:pt idx="10">
                  <c:v>97.958958268552081</c:v>
                </c:pt>
                <c:pt idx="11">
                  <c:v>99.043114518577923</c:v>
                </c:pt>
                <c:pt idx="12">
                  <c:v>99.554012797819027</c:v>
                </c:pt>
                <c:pt idx="13">
                  <c:v>99.792704264374152</c:v>
                </c:pt>
                <c:pt idx="14">
                  <c:v>99.903772010435674</c:v>
                </c:pt>
                <c:pt idx="15">
                  <c:v>99.955356981535175</c:v>
                </c:pt>
                <c:pt idx="16">
                  <c:v>99.979294510869551</c:v>
                </c:pt>
                <c:pt idx="17">
                  <c:v>99.990398000620658</c:v>
                </c:pt>
                <c:pt idx="18">
                  <c:v>99.995547417359418</c:v>
                </c:pt>
                <c:pt idx="19">
                  <c:v>99.99793533160566</c:v>
                </c:pt>
                <c:pt idx="20">
                  <c:v>99.999042622826053</c:v>
                </c:pt>
              </c:numCache>
            </c:numRef>
          </c:yVal>
          <c:smooth val="1"/>
          <c:extLst>
            <c:ext xmlns:c16="http://schemas.microsoft.com/office/drawing/2014/chart" uri="{C3380CC4-5D6E-409C-BE32-E72D297353CC}">
              <c16:uniqueId val="{00000003-7BD5-453E-89D5-CAA5615028F2}"/>
            </c:ext>
          </c:extLst>
        </c:ser>
        <c:ser>
          <c:idx val="2"/>
          <c:order val="2"/>
          <c:spPr>
            <a:ln w="19050" cap="rnd">
              <a:solidFill>
                <a:schemeClr val="accent3"/>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88A0-41B3-A48A-2D25E9C0FCBF}"/>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78643106364013"/>
          <c:y val="5.2167977152143781E-2"/>
          <c:w val="0.7769763898375518"/>
          <c:h val="0.77993030328378188"/>
        </c:manualLayout>
      </c:layout>
      <c:scatterChart>
        <c:scatterStyle val="smoothMarker"/>
        <c:varyColors val="0"/>
        <c:ser>
          <c:idx val="0"/>
          <c:order val="0"/>
          <c:tx>
            <c:v>Low</c:v>
          </c:tx>
          <c:spPr>
            <a:ln w="28575"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0E6A-4090-9451-6063624084D7}"/>
            </c:ext>
          </c:extLst>
        </c:ser>
        <c:ser>
          <c:idx val="1"/>
          <c:order val="1"/>
          <c:tx>
            <c:v>High</c:v>
          </c:tx>
          <c:spPr>
            <a:ln w="28575"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5CCD-4DF1-B2EF-CC75D3AF728C}"/>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legend>
      <c:legendPos val="t"/>
      <c:layout>
        <c:manualLayout>
          <c:xMode val="edge"/>
          <c:yMode val="edge"/>
          <c:x val="0.56495364684918969"/>
          <c:y val="0.23240357264679487"/>
          <c:w val="0.34715668568951819"/>
          <c:h val="7.84367547531105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21752201769863"/>
          <c:y val="4.2552693501799577E-2"/>
          <c:w val="0.86313175862801828"/>
          <c:h val="0.8416746864975212"/>
        </c:manualLayout>
      </c:layout>
      <c:lineChart>
        <c:grouping val="standard"/>
        <c:varyColors val="0"/>
        <c:ser>
          <c:idx val="0"/>
          <c:order val="0"/>
          <c:tx>
            <c:v>Demonstration Path</c:v>
          </c:tx>
          <c:spPr>
            <a:ln w="28575" cap="rnd">
              <a:solidFill>
                <a:schemeClr val="accent1"/>
              </a:solidFill>
              <a:round/>
            </a:ln>
            <a:effectLst/>
          </c:spPr>
          <c:marker>
            <c:symbol val="none"/>
          </c:marker>
          <c:cat>
            <c:numRef>
              <c:f>'Old CCC projections data'!$AJ$1:$BN$1</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'Old CCC projections data'!$AJ$50:$BN$50</c:f>
              <c:numCache>
                <c:formatCode>General</c:formatCode>
                <c:ptCount val="31"/>
                <c:pt idx="0">
                  <c:v>30</c:v>
                </c:pt>
                <c:pt idx="1">
                  <c:v>46.305643178011259</c:v>
                </c:pt>
                <c:pt idx="2">
                  <c:v>69.696559398715706</c:v>
                </c:pt>
                <c:pt idx="3">
                  <c:v>78.978951484932111</c:v>
                </c:pt>
                <c:pt idx="4">
                  <c:v>88.261343571148515</c:v>
                </c:pt>
                <c:pt idx="5">
                  <c:v>97.54373565736492</c:v>
                </c:pt>
                <c:pt idx="6">
                  <c:v>106.82612774358132</c:v>
                </c:pt>
                <c:pt idx="7">
                  <c:v>116.10851982979773</c:v>
                </c:pt>
                <c:pt idx="8">
                  <c:v>125.39091191601413</c:v>
                </c:pt>
                <c:pt idx="9">
                  <c:v>134.67330400223054</c:v>
                </c:pt>
                <c:pt idx="10">
                  <c:v>143.95569608844693</c:v>
                </c:pt>
                <c:pt idx="11">
                  <c:v>148.27436697110033</c:v>
                </c:pt>
                <c:pt idx="12">
                  <c:v>152.72259798023336</c:v>
                </c:pt>
                <c:pt idx="13">
                  <c:v>157.30427591964036</c:v>
                </c:pt>
                <c:pt idx="14">
                  <c:v>162.02340419722958</c:v>
                </c:pt>
                <c:pt idx="15">
                  <c:v>166.88410632314648</c:v>
                </c:pt>
                <c:pt idx="16">
                  <c:v>171.89062951284089</c:v>
                </c:pt>
                <c:pt idx="17">
                  <c:v>177.04734839822612</c:v>
                </c:pt>
                <c:pt idx="18">
                  <c:v>182.35876885017291</c:v>
                </c:pt>
                <c:pt idx="19">
                  <c:v>187.8295319156781</c:v>
                </c:pt>
                <c:pt idx="20">
                  <c:v>193.46441787314845</c:v>
                </c:pt>
                <c:pt idx="21">
                  <c:v>199.2683504093429</c:v>
                </c:pt>
                <c:pt idx="22">
                  <c:v>205.24640092162321</c:v>
                </c:pt>
                <c:pt idx="23">
                  <c:v>211.40379294927192</c:v>
                </c:pt>
                <c:pt idx="24">
                  <c:v>217.74590673775009</c:v>
                </c:pt>
                <c:pt idx="25">
                  <c:v>224.27828393988258</c:v>
                </c:pt>
                <c:pt idx="26">
                  <c:v>231.00663245807908</c:v>
                </c:pt>
                <c:pt idx="27">
                  <c:v>237.93683143182147</c:v>
                </c:pt>
                <c:pt idx="28">
                  <c:v>245.07493637477612</c:v>
                </c:pt>
                <c:pt idx="29">
                  <c:v>252.42718446601941</c:v>
                </c:pt>
                <c:pt idx="30">
                  <c:v>260</c:v>
                </c:pt>
              </c:numCache>
            </c:numRef>
          </c:val>
          <c:smooth val="0"/>
          <c:extLst>
            <c:ext xmlns:c16="http://schemas.microsoft.com/office/drawing/2014/chart" uri="{C3380CC4-5D6E-409C-BE32-E72D297353CC}">
              <c16:uniqueId val="{00000000-1CFC-4634-A396-D9F5C1038FB7}"/>
            </c:ext>
          </c:extLst>
        </c:ser>
        <c:ser>
          <c:idx val="1"/>
          <c:order val="1"/>
          <c:tx>
            <c:v>Current Policy Reference</c:v>
          </c:tx>
          <c:spPr>
            <a:ln w="28575" cap="rnd">
              <a:solidFill>
                <a:schemeClr val="accent2"/>
              </a:solidFill>
              <a:prstDash val="dash"/>
              <a:round/>
            </a:ln>
            <a:effectLst/>
          </c:spPr>
          <c:marker>
            <c:symbol val="none"/>
          </c:marker>
          <c:cat>
            <c:numRef>
              <c:f>'Old CCC projections data'!$AJ$1:$BN$1</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'Old CCC projections data'!$AJ$2:$BN$2</c:f>
              <c:numCache>
                <c:formatCode>General</c:formatCode>
                <c:ptCount val="31"/>
                <c:pt idx="0">
                  <c:v>30</c:v>
                </c:pt>
                <c:pt idx="1">
                  <c:v>35</c:v>
                </c:pt>
                <c:pt idx="2">
                  <c:v>35</c:v>
                </c:pt>
                <c:pt idx="3">
                  <c:v>35</c:v>
                </c:pt>
                <c:pt idx="4">
                  <c:v>35</c:v>
                </c:pt>
                <c:pt idx="5">
                  <c:v>35</c:v>
                </c:pt>
                <c:pt idx="6">
                  <c:v>35</c:v>
                </c:pt>
                <c:pt idx="7">
                  <c:v>35</c:v>
                </c:pt>
                <c:pt idx="8">
                  <c:v>35</c:v>
                </c:pt>
                <c:pt idx="9">
                  <c:v>35</c:v>
                </c:pt>
                <c:pt idx="10">
                  <c:v>35</c:v>
                </c:pt>
                <c:pt idx="11">
                  <c:v>35</c:v>
                </c:pt>
                <c:pt idx="12">
                  <c:v>35</c:v>
                </c:pt>
                <c:pt idx="13">
                  <c:v>35</c:v>
                </c:pt>
                <c:pt idx="14">
                  <c:v>35</c:v>
                </c:pt>
                <c:pt idx="15">
                  <c:v>35</c:v>
                </c:pt>
                <c:pt idx="16">
                  <c:v>35</c:v>
                </c:pt>
                <c:pt idx="17">
                  <c:v>35</c:v>
                </c:pt>
                <c:pt idx="18">
                  <c:v>35</c:v>
                </c:pt>
                <c:pt idx="19">
                  <c:v>35</c:v>
                </c:pt>
                <c:pt idx="20">
                  <c:v>35</c:v>
                </c:pt>
                <c:pt idx="21">
                  <c:v>35</c:v>
                </c:pt>
                <c:pt idx="22">
                  <c:v>35</c:v>
                </c:pt>
                <c:pt idx="23">
                  <c:v>35</c:v>
                </c:pt>
                <c:pt idx="24">
                  <c:v>35</c:v>
                </c:pt>
                <c:pt idx="25">
                  <c:v>35</c:v>
                </c:pt>
                <c:pt idx="26">
                  <c:v>35</c:v>
                </c:pt>
                <c:pt idx="27">
                  <c:v>35</c:v>
                </c:pt>
                <c:pt idx="28">
                  <c:v>35</c:v>
                </c:pt>
                <c:pt idx="29">
                  <c:v>35</c:v>
                </c:pt>
                <c:pt idx="30">
                  <c:v>35</c:v>
                </c:pt>
              </c:numCache>
            </c:numRef>
          </c:val>
          <c:smooth val="0"/>
          <c:extLst>
            <c:ext xmlns:c16="http://schemas.microsoft.com/office/drawing/2014/chart" uri="{C3380CC4-5D6E-409C-BE32-E72D297353CC}">
              <c16:uniqueId val="{00000001-1CFC-4634-A396-D9F5C1038FB7}"/>
            </c:ext>
          </c:extLst>
        </c:ser>
        <c:dLbls>
          <c:showLegendKey val="0"/>
          <c:showVal val="0"/>
          <c:showCatName val="0"/>
          <c:showSerName val="0"/>
          <c:showPercent val="0"/>
          <c:showBubbleSize val="0"/>
        </c:dLbls>
        <c:smooth val="0"/>
        <c:axId val="309796383"/>
        <c:axId val="309792639"/>
      </c:lineChart>
      <c:catAx>
        <c:axId val="30979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792639"/>
        <c:crosses val="autoZero"/>
        <c:auto val="1"/>
        <c:lblAlgn val="ctr"/>
        <c:lblOffset val="100"/>
        <c:tickLblSkip val="5"/>
        <c:noMultiLvlLbl val="0"/>
      </c:catAx>
      <c:valAx>
        <c:axId val="309792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Price ($/t)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796383"/>
        <c:crosses val="autoZero"/>
        <c:crossBetween val="midCat"/>
      </c:valAx>
      <c:spPr>
        <a:noFill/>
        <a:ln>
          <a:noFill/>
        </a:ln>
        <a:effectLst/>
      </c:spPr>
    </c:plotArea>
    <c:legend>
      <c:legendPos val="t"/>
      <c:layout>
        <c:manualLayout>
          <c:xMode val="edge"/>
          <c:yMode val="edge"/>
          <c:x val="9.5506999125109363E-2"/>
          <c:y val="9.2592592592592587E-2"/>
          <c:w val="0.65606656099269012"/>
          <c:h val="6.94792187064871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E72731B-BB4A-46B4-B47A-804FF36D2319}">
  <sheetPr codeName="Chart9">
    <tabColor theme="8"/>
  </sheetPr>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image" Target="../media/image6.emf"/></Relationships>
</file>

<file path=xl/drawings/_rels/drawing10.xml.rels><?xml version="1.0" encoding="UTF-8" standalone="yes"?>
<Relationships xmlns="http://schemas.openxmlformats.org/package/2006/relationships"><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8</xdr:col>
      <xdr:colOff>0</xdr:colOff>
      <xdr:row>19</xdr:row>
      <xdr:rowOff>0</xdr:rowOff>
    </xdr:from>
    <xdr:to>
      <xdr:col>15</xdr:col>
      <xdr:colOff>304800</xdr:colOff>
      <xdr:row>33</xdr:row>
      <xdr:rowOff>76200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0</xdr:rowOff>
    </xdr:from>
    <xdr:to>
      <xdr:col>7</xdr:col>
      <xdr:colOff>266700</xdr:colOff>
      <xdr:row>33</xdr:row>
      <xdr:rowOff>76200</xdr:rowOff>
    </xdr:to>
    <xdr:graphicFrame macro="">
      <xdr:nvGraphicFramePr>
        <xdr:cNvPr id="7" name="Chart 6">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533400</xdr:colOff>
      <xdr:row>19</xdr:row>
      <xdr:rowOff>0</xdr:rowOff>
    </xdr:from>
    <xdr:to>
      <xdr:col>22</xdr:col>
      <xdr:colOff>606425</xdr:colOff>
      <xdr:row>33</xdr:row>
      <xdr:rowOff>76200</xdr:rowOff>
    </xdr:to>
    <xdr:graphicFrame macro="">
      <xdr:nvGraphicFramePr>
        <xdr:cNvPr id="9" name="Chart 8">
          <a:extLst>
            <a:ext uri="{FF2B5EF4-FFF2-40B4-BE49-F238E27FC236}">
              <a16:creationId xmlns:a16="http://schemas.microsoft.com/office/drawing/2014/main" id="{00000000-0008-0000-0300-000009000000}"/>
            </a:ext>
            <a:ext uri="{147F2762-F138-4A5C-976F-8EAC2B608ADB}">
              <a16:predDERef xmlns:a16="http://schemas.microsoft.com/office/drawing/2014/main" pre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xdr:row>
      <xdr:rowOff>0</xdr:rowOff>
    </xdr:from>
    <xdr:to>
      <xdr:col>15</xdr:col>
      <xdr:colOff>304800</xdr:colOff>
      <xdr:row>17</xdr:row>
      <xdr:rowOff>76200</xdr:rowOff>
    </xdr:to>
    <xdr:graphicFrame macro="">
      <xdr:nvGraphicFramePr>
        <xdr:cNvPr id="17" name="Chart 16">
          <a:extLst>
            <a:ext uri="{FF2B5EF4-FFF2-40B4-BE49-F238E27FC236}">
              <a16:creationId xmlns:a16="http://schemas.microsoft.com/office/drawing/2014/main" id="{00000000-0008-0000-0300-000011000000}"/>
            </a:ext>
            <a:ext uri="{147F2762-F138-4A5C-976F-8EAC2B608ADB}">
              <a16:predDERef xmlns:a16="http://schemas.microsoft.com/office/drawing/2014/main" pre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542925</xdr:colOff>
      <xdr:row>3</xdr:row>
      <xdr:rowOff>0</xdr:rowOff>
    </xdr:from>
    <xdr:to>
      <xdr:col>22</xdr:col>
      <xdr:colOff>614625</xdr:colOff>
      <xdr:row>17</xdr:row>
      <xdr:rowOff>76200</xdr:rowOff>
    </xdr:to>
    <xdr:graphicFrame macro="">
      <xdr:nvGraphicFramePr>
        <xdr:cNvPr id="3" name="Chart 2">
          <a:extLst>
            <a:ext uri="{FF2B5EF4-FFF2-40B4-BE49-F238E27FC236}">
              <a16:creationId xmlns:a16="http://schemas.microsoft.com/office/drawing/2014/main" id="{00000000-0008-0000-0300-000003000000}"/>
            </a:ext>
            <a:ext uri="{147F2762-F138-4A5C-976F-8EAC2B608ADB}">
              <a16:predDERef xmlns:a16="http://schemas.microsoft.com/office/drawing/2014/main" pre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30</xdr:col>
          <xdr:colOff>66675</xdr:colOff>
          <xdr:row>17</xdr:row>
          <xdr:rowOff>161925</xdr:rowOff>
        </xdr:from>
        <xdr:to>
          <xdr:col>33</xdr:col>
          <xdr:colOff>38100</xdr:colOff>
          <xdr:row>21</xdr:row>
          <xdr:rowOff>57150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100-000002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100" b="0" i="0" u="none" strike="noStrike" baseline="0">
                  <a:solidFill>
                    <a:srgbClr val="000000"/>
                  </a:solidFill>
                  <a:latin typeface="Calibri"/>
                  <a:ea typeface="Calibri"/>
                  <a:cs typeface="Calibri"/>
                </a:rPr>
                <a:t>Populate Dashboard!</a:t>
              </a:r>
            </a:p>
          </xdr:txBody>
        </xdr:sp>
        <xdr:clientData fPrintsWithSheet="0"/>
      </xdr:twoCellAnchor>
    </mc:Choice>
    <mc:Fallback/>
  </mc:AlternateContent>
  <xdr:twoCellAnchor editAs="oneCell">
    <xdr:from>
      <xdr:col>0</xdr:col>
      <xdr:colOff>381000</xdr:colOff>
      <xdr:row>3</xdr:row>
      <xdr:rowOff>0</xdr:rowOff>
    </xdr:from>
    <xdr:to>
      <xdr:col>7</xdr:col>
      <xdr:colOff>177654</xdr:colOff>
      <xdr:row>17</xdr:row>
      <xdr:rowOff>125067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6"/>
        <a:stretch>
          <a:fillRect/>
        </a:stretch>
      </xdr:blipFill>
      <xdr:spPr>
        <a:xfrm>
          <a:off x="381000" y="571500"/>
          <a:ext cx="4392000" cy="2842867"/>
        </a:xfrm>
        <a:prstGeom prst="rect">
          <a:avLst/>
        </a:prstGeom>
      </xdr:spPr>
    </xdr:pic>
    <xdr:clientData/>
  </xdr:twoCellAnchor>
  <xdr:twoCellAnchor>
    <xdr:from>
      <xdr:col>0</xdr:col>
      <xdr:colOff>1</xdr:colOff>
      <xdr:row>2</xdr:row>
      <xdr:rowOff>180976</xdr:rowOff>
    </xdr:from>
    <xdr:to>
      <xdr:col>7</xdr:col>
      <xdr:colOff>276225</xdr:colOff>
      <xdr:row>17</xdr:row>
      <xdr:rowOff>95251</xdr:rowOff>
    </xdr:to>
    <xdr:graphicFrame macro="">
      <xdr:nvGraphicFramePr>
        <xdr:cNvPr id="2" name="Chart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251110</xdr:colOff>
      <xdr:row>9</xdr:row>
      <xdr:rowOff>154772</xdr:rowOff>
    </xdr:from>
    <xdr:to>
      <xdr:col>9</xdr:col>
      <xdr:colOff>795618</xdr:colOff>
      <xdr:row>23</xdr:row>
      <xdr:rowOff>67233</xdr:rowOff>
    </xdr:to>
    <xdr:graphicFrame macro="">
      <xdr:nvGraphicFramePr>
        <xdr:cNvPr id="7" name="Chart 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125782</xdr:colOff>
      <xdr:row>23</xdr:row>
      <xdr:rowOff>148104</xdr:rowOff>
    </xdr:from>
    <xdr:to>
      <xdr:col>9</xdr:col>
      <xdr:colOff>601578</xdr:colOff>
      <xdr:row>39</xdr:row>
      <xdr:rowOff>53258</xdr:rowOff>
    </xdr:to>
    <xdr:graphicFrame macro="">
      <xdr:nvGraphicFramePr>
        <xdr:cNvPr id="6" name="Chart 15">
          <a:extLst>
            <a:ext uri="{FF2B5EF4-FFF2-40B4-BE49-F238E27FC236}">
              <a16:creationId xmlns:a16="http://schemas.microsoft.com/office/drawing/2014/main" id="{00000000-0008-0000-0700-000006000000}"/>
            </a:ext>
            <a:ext uri="{147F2762-F138-4A5C-976F-8EAC2B608ADB}">
              <a16:predDERef xmlns:a16="http://schemas.microsoft.com/office/drawing/2014/main" pre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247062</xdr:colOff>
      <xdr:row>39</xdr:row>
      <xdr:rowOff>178246</xdr:rowOff>
    </xdr:from>
    <xdr:to>
      <xdr:col>9</xdr:col>
      <xdr:colOff>623860</xdr:colOff>
      <xdr:row>55</xdr:row>
      <xdr:rowOff>112376</xdr:rowOff>
    </xdr:to>
    <xdr:graphicFrame macro="">
      <xdr:nvGraphicFramePr>
        <xdr:cNvPr id="9" name="Chart 8">
          <a:extLst>
            <a:ext uri="{FF2B5EF4-FFF2-40B4-BE49-F238E27FC236}">
              <a16:creationId xmlns:a16="http://schemas.microsoft.com/office/drawing/2014/main" id="{00000000-0008-0000-0700-000009000000}"/>
            </a:ext>
            <a:ext uri="{147F2762-F138-4A5C-976F-8EAC2B608ADB}">
              <a16:predDERef xmlns:a16="http://schemas.microsoft.com/office/drawing/2014/main" pre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127523</xdr:colOff>
      <xdr:row>0</xdr:row>
      <xdr:rowOff>0</xdr:rowOff>
    </xdr:from>
    <xdr:to>
      <xdr:col>9</xdr:col>
      <xdr:colOff>665027</xdr:colOff>
      <xdr:row>10</xdr:row>
      <xdr:rowOff>118481</xdr:rowOff>
    </xdr:to>
    <xdr:graphicFrame macro="">
      <xdr:nvGraphicFramePr>
        <xdr:cNvPr id="8" name="Chart 7">
          <a:extLst>
            <a:ext uri="{FF2B5EF4-FFF2-40B4-BE49-F238E27FC236}">
              <a16:creationId xmlns:a16="http://schemas.microsoft.com/office/drawing/2014/main" id="{00000000-0008-0000-0700-000008000000}"/>
            </a:ext>
            <a:ext uri="{147F2762-F138-4A5C-976F-8EAC2B608ADB}">
              <a16:predDERef xmlns:a16="http://schemas.microsoft.com/office/drawing/2014/main" pre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904875</xdr:colOff>
      <xdr:row>20</xdr:row>
      <xdr:rowOff>142875</xdr:rowOff>
    </xdr:from>
    <xdr:ext cx="2143125" cy="685800"/>
    <xdr:sp macro="" textlink="">
      <xdr:nvSpPr>
        <xdr:cNvPr id="10" name="TextBox 2">
          <a:extLst>
            <a:ext uri="{FF2B5EF4-FFF2-40B4-BE49-F238E27FC236}">
              <a16:creationId xmlns:a16="http://schemas.microsoft.com/office/drawing/2014/main" id="{00000000-0008-0000-0700-000005000000}"/>
            </a:ext>
            <a:ext uri="{147F2762-F138-4A5C-976F-8EAC2B608ADB}">
              <a16:predDERef xmlns:a16="http://schemas.microsoft.com/office/drawing/2014/main" pred="{00000000-0008-0000-0700-000008000000}"/>
            </a:ext>
          </a:extLst>
        </xdr:cNvPr>
        <xdr:cNvSpPr txBox="1"/>
      </xdr:nvSpPr>
      <xdr:spPr>
        <a:xfrm>
          <a:off x="904875" y="4686300"/>
          <a:ext cx="2143125" cy="685800"/>
        </a:xfrm>
        <a:prstGeom prst="rect">
          <a:avLst/>
        </a:prstGeom>
        <a:solidFill>
          <a:schemeClr val="accent2">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NZ" sz="1100"/>
            <a:t>Do not move these cells. They are </a:t>
          </a:r>
        </a:p>
        <a:p>
          <a:r>
            <a:rPr lang="en-NZ" sz="1100"/>
            <a:t>referenced in a macro</a:t>
          </a:r>
        </a:p>
      </xdr:txBody>
    </xdr:sp>
    <xdr:clientData/>
  </xdr:oneCellAnchor>
  <mc:AlternateContent xmlns:mc="http://schemas.openxmlformats.org/markup-compatibility/2006">
    <mc:Choice xmlns:a14="http://schemas.microsoft.com/office/drawing/2010/main" Requires="a14">
      <xdr:twoCellAnchor>
        <xdr:from>
          <xdr:col>1</xdr:col>
          <xdr:colOff>476250</xdr:colOff>
          <xdr:row>0</xdr:row>
          <xdr:rowOff>142875</xdr:rowOff>
        </xdr:from>
        <xdr:to>
          <xdr:col>1</xdr:col>
          <xdr:colOff>1914525</xdr:colOff>
          <xdr:row>1</xdr:row>
          <xdr:rowOff>361950</xdr:rowOff>
        </xdr:to>
        <xdr:sp macro="" textlink="">
          <xdr:nvSpPr>
            <xdr:cNvPr id="8781" name="Button 589" hidden="1">
              <a:extLst>
                <a:ext uri="{63B3BB69-23CF-44E3-9099-C40C66FF867C}">
                  <a14:compatExt spid="_x0000_s8781"/>
                </a:ext>
                <a:ext uri="{FF2B5EF4-FFF2-40B4-BE49-F238E27FC236}">
                  <a16:creationId xmlns:a16="http://schemas.microsoft.com/office/drawing/2014/main" id="{00000000-0008-0000-0300-00004D22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600" b="0" i="0" u="none" strike="noStrike" baseline="0">
                  <a:solidFill>
                    <a:srgbClr val="800000"/>
                  </a:solidFill>
                  <a:latin typeface="Calibri"/>
                  <a:ea typeface="Calibri"/>
                  <a:cs typeface="Calibri"/>
                </a:rPr>
                <a:t>Solve for Price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34</xdr:row>
      <xdr:rowOff>104775</xdr:rowOff>
    </xdr:from>
    <xdr:to>
      <xdr:col>9</xdr:col>
      <xdr:colOff>192165</xdr:colOff>
      <xdr:row>55</xdr:row>
      <xdr:rowOff>40747</xdr:rowOff>
    </xdr:to>
    <xdr:graphicFrame macro="">
      <xdr:nvGraphicFramePr>
        <xdr:cNvPr id="3"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308428</xdr:colOff>
      <xdr:row>54</xdr:row>
      <xdr:rowOff>18142</xdr:rowOff>
    </xdr:from>
    <xdr:to>
      <xdr:col>18</xdr:col>
      <xdr:colOff>308428</xdr:colOff>
      <xdr:row>71</xdr:row>
      <xdr:rowOff>105456</xdr:rowOff>
    </xdr:to>
    <xdr:graphicFrame macro="">
      <xdr:nvGraphicFramePr>
        <xdr:cNvPr id="4" name="Chart 3">
          <a:extLst>
            <a:ext uri="{FF2B5EF4-FFF2-40B4-BE49-F238E27FC236}">
              <a16:creationId xmlns:a16="http://schemas.microsoft.com/office/drawing/2014/main" id="{00000000-0008-0000-0800-000004000000}"/>
            </a:ext>
            <a:ext uri="{147F2762-F138-4A5C-976F-8EAC2B608ADB}">
              <a16:predDERef xmlns:a16="http://schemas.microsoft.com/office/drawing/2014/main" pre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444501</xdr:colOff>
      <xdr:row>33</xdr:row>
      <xdr:rowOff>63499</xdr:rowOff>
    </xdr:from>
    <xdr:to>
      <xdr:col>19</xdr:col>
      <xdr:colOff>154215</xdr:colOff>
      <xdr:row>54</xdr:row>
      <xdr:rowOff>9072</xdr:rowOff>
    </xdr:to>
    <xdr:graphicFrame macro="">
      <xdr:nvGraphicFramePr>
        <xdr:cNvPr id="5" name="Chart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67</xdr:col>
      <xdr:colOff>109273</xdr:colOff>
      <xdr:row>39</xdr:row>
      <xdr:rowOff>19404</xdr:rowOff>
    </xdr:from>
    <xdr:to>
      <xdr:col>74</xdr:col>
      <xdr:colOff>512877</xdr:colOff>
      <xdr:row>55</xdr:row>
      <xdr:rowOff>108607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137</xdr:col>
      <xdr:colOff>292375</xdr:colOff>
      <xdr:row>9</xdr:row>
      <xdr:rowOff>38100</xdr:rowOff>
    </xdr:from>
    <xdr:to>
      <xdr:col>146</xdr:col>
      <xdr:colOff>241300</xdr:colOff>
      <xdr:row>26</xdr:row>
      <xdr:rowOff>76200</xdr:rowOff>
    </xdr:to>
    <xdr:graphicFrame macro="">
      <xdr:nvGraphicFramePr>
        <xdr:cNvPr id="2" name="Chart 1">
          <a:extLst>
            <a:ext uri="{FF2B5EF4-FFF2-40B4-BE49-F238E27FC236}">
              <a16:creationId xmlns:a16="http://schemas.microsoft.com/office/drawing/2014/main" id="{00000000-0008-0000-0A00-000002000000}"/>
            </a:ext>
            <a:ext uri="{147F2762-F138-4A5C-976F-8EAC2B608ADB}">
              <a16:predDERef xmlns:a16="http://schemas.microsoft.com/office/drawing/2014/main" pre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1030789</xdr:colOff>
      <xdr:row>39</xdr:row>
      <xdr:rowOff>8502</xdr:rowOff>
    </xdr:from>
    <xdr:to>
      <xdr:col>47</xdr:col>
      <xdr:colOff>590828</xdr:colOff>
      <xdr:row>53</xdr:row>
      <xdr:rowOff>89180</xdr:rowOff>
    </xdr:to>
    <xdr:graphicFrame macro="">
      <xdr:nvGraphicFramePr>
        <xdr:cNvPr id="4" name="Chart 3">
          <a:extLst>
            <a:ext uri="{FF2B5EF4-FFF2-40B4-BE49-F238E27FC236}">
              <a16:creationId xmlns:a16="http://schemas.microsoft.com/office/drawing/2014/main" id="{00000000-0008-0000-0A00-000004000000}"/>
            </a:ext>
            <a:ext uri="{147F2762-F138-4A5C-976F-8EAC2B608ADB}">
              <a16:predDERef xmlns:a16="http://schemas.microsoft.com/office/drawing/2014/main" pre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128</xdr:col>
      <xdr:colOff>956129</xdr:colOff>
      <xdr:row>7</xdr:row>
      <xdr:rowOff>101600</xdr:rowOff>
    </xdr:from>
    <xdr:to>
      <xdr:col>137</xdr:col>
      <xdr:colOff>165100</xdr:colOff>
      <xdr:row>26</xdr:row>
      <xdr:rowOff>16633</xdr:rowOff>
    </xdr:to>
    <xdr:graphicFrame macro="">
      <xdr:nvGraphicFramePr>
        <xdr:cNvPr id="14" name="Chart 13">
          <a:extLst>
            <a:ext uri="{FF2B5EF4-FFF2-40B4-BE49-F238E27FC236}">
              <a16:creationId xmlns:a16="http://schemas.microsoft.com/office/drawing/2014/main" id="{00000000-0008-0000-0A00-00000E000000}"/>
            </a:ext>
            <a:ext uri="{147F2762-F138-4A5C-976F-8EAC2B608ADB}">
              <a16:predDERef xmlns:a16="http://schemas.microsoft.com/office/drawing/2014/main" pre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89</xdr:col>
      <xdr:colOff>459827</xdr:colOff>
      <xdr:row>40</xdr:row>
      <xdr:rowOff>7007</xdr:rowOff>
    </xdr:from>
    <xdr:to>
      <xdr:col>97</xdr:col>
      <xdr:colOff>609162</xdr:colOff>
      <xdr:row>54</xdr:row>
      <xdr:rowOff>86711</xdr:rowOff>
    </xdr:to>
    <xdr:graphicFrame macro="">
      <xdr:nvGraphicFramePr>
        <xdr:cNvPr id="3" name="Chart 2">
          <a:extLst>
            <a:ext uri="{FF2B5EF4-FFF2-40B4-BE49-F238E27FC236}">
              <a16:creationId xmlns:a16="http://schemas.microsoft.com/office/drawing/2014/main" id="{00000000-0008-0000-0A00-000003000000}"/>
            </a:ext>
            <a:ext uri="{147F2762-F138-4A5C-976F-8EAC2B608ADB}">
              <a16:predDERef xmlns:a16="http://schemas.microsoft.com/office/drawing/2014/main" pre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79</xdr:col>
      <xdr:colOff>306551</xdr:colOff>
      <xdr:row>36</xdr:row>
      <xdr:rowOff>158749</xdr:rowOff>
    </xdr:from>
    <xdr:to>
      <xdr:col>87</xdr:col>
      <xdr:colOff>361890</xdr:colOff>
      <xdr:row>55</xdr:row>
      <xdr:rowOff>116166</xdr:rowOff>
    </xdr:to>
    <xdr:graphicFrame macro="">
      <xdr:nvGraphicFramePr>
        <xdr:cNvPr id="6" name="Chart 5">
          <a:extLst>
            <a:ext uri="{FF2B5EF4-FFF2-40B4-BE49-F238E27FC236}">
              <a16:creationId xmlns:a16="http://schemas.microsoft.com/office/drawing/2014/main" id="{00000000-0008-0000-0A00-000006000000}"/>
            </a:ext>
            <a:ext uri="{147F2762-F138-4A5C-976F-8EAC2B608ADB}">
              <a16:predDERef xmlns:a16="http://schemas.microsoft.com/office/drawing/2014/main" pre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146</xdr:col>
      <xdr:colOff>397783</xdr:colOff>
      <xdr:row>9</xdr:row>
      <xdr:rowOff>25400</xdr:rowOff>
    </xdr:from>
    <xdr:to>
      <xdr:col>155</xdr:col>
      <xdr:colOff>419100</xdr:colOff>
      <xdr:row>27</xdr:row>
      <xdr:rowOff>20716</xdr:rowOff>
    </xdr:to>
    <xdr:graphicFrame macro="">
      <xdr:nvGraphicFramePr>
        <xdr:cNvPr id="7" name="Chart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91</xdr:col>
      <xdr:colOff>267605</xdr:colOff>
      <xdr:row>145</xdr:row>
      <xdr:rowOff>34471</xdr:rowOff>
    </xdr:from>
    <xdr:to>
      <xdr:col>102</xdr:col>
      <xdr:colOff>553356</xdr:colOff>
      <xdr:row>165</xdr:row>
      <xdr:rowOff>172358</xdr:rowOff>
    </xdr:to>
    <xdr:graphicFrame macro="">
      <xdr:nvGraphicFramePr>
        <xdr:cNvPr id="11" name="Chart 10">
          <a:extLst>
            <a:ext uri="{FF2B5EF4-FFF2-40B4-BE49-F238E27FC236}">
              <a16:creationId xmlns:a16="http://schemas.microsoft.com/office/drawing/2014/main" id="{00000000-0008-0000-0A00-00000B000000}"/>
            </a:ext>
            <a:ext uri="{147F2762-F138-4A5C-976F-8EAC2B608ADB}">
              <a16:predDERef xmlns:a16="http://schemas.microsoft.com/office/drawing/2014/main" pre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89</xdr:col>
      <xdr:colOff>416034</xdr:colOff>
      <xdr:row>58</xdr:row>
      <xdr:rowOff>131380</xdr:rowOff>
    </xdr:from>
    <xdr:to>
      <xdr:col>98</xdr:col>
      <xdr:colOff>306550</xdr:colOff>
      <xdr:row>74</xdr:row>
      <xdr:rowOff>105609</xdr:rowOff>
    </xdr:to>
    <xdr:graphicFrame macro="">
      <xdr:nvGraphicFramePr>
        <xdr:cNvPr id="15" name="Chart 14">
          <a:extLst>
            <a:ext uri="{FF2B5EF4-FFF2-40B4-BE49-F238E27FC236}">
              <a16:creationId xmlns:a16="http://schemas.microsoft.com/office/drawing/2014/main" id="{00000000-0008-0000-0A00-00000F000000}"/>
            </a:ext>
            <a:ext uri="{147F2762-F138-4A5C-976F-8EAC2B608ADB}">
              <a16:predDERef xmlns:a16="http://schemas.microsoft.com/office/drawing/2014/main" pre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79</xdr:col>
      <xdr:colOff>87586</xdr:colOff>
      <xdr:row>58</xdr:row>
      <xdr:rowOff>58135</xdr:rowOff>
    </xdr:from>
    <xdr:to>
      <xdr:col>87</xdr:col>
      <xdr:colOff>109482</xdr:colOff>
      <xdr:row>75</xdr:row>
      <xdr:rowOff>67183</xdr:rowOff>
    </xdr:to>
    <xdr:graphicFrame macro="">
      <xdr:nvGraphicFramePr>
        <xdr:cNvPr id="16" name="Chart 15">
          <a:extLst>
            <a:ext uri="{FF2B5EF4-FFF2-40B4-BE49-F238E27FC236}">
              <a16:creationId xmlns:a16="http://schemas.microsoft.com/office/drawing/2014/main" id="{00000000-0008-0000-0A00-000010000000}"/>
            </a:ext>
            <a:ext uri="{147F2762-F138-4A5C-976F-8EAC2B608ADB}">
              <a16:predDERef xmlns:a16="http://schemas.microsoft.com/office/drawing/2014/main" pre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67</xdr:col>
      <xdr:colOff>109483</xdr:colOff>
      <xdr:row>58</xdr:row>
      <xdr:rowOff>65690</xdr:rowOff>
    </xdr:from>
    <xdr:to>
      <xdr:col>74</xdr:col>
      <xdr:colOff>507770</xdr:colOff>
      <xdr:row>74</xdr:row>
      <xdr:rowOff>167718</xdr:rowOff>
    </xdr:to>
    <xdr:graphicFrame macro="">
      <xdr:nvGraphicFramePr>
        <xdr:cNvPr id="8" name="Chart 7">
          <a:extLst>
            <a:ext uri="{FF2B5EF4-FFF2-40B4-BE49-F238E27FC236}">
              <a16:creationId xmlns:a16="http://schemas.microsoft.com/office/drawing/2014/main" id="{00000000-0008-0000-0A00-000008000000}"/>
            </a:ext>
            <a:ext uri="{147F2762-F138-4A5C-976F-8EAC2B608ADB}">
              <a16:predDERef xmlns:a16="http://schemas.microsoft.com/office/drawing/2014/main" pre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665842</xdr:colOff>
      <xdr:row>18</xdr:row>
      <xdr:rowOff>1817</xdr:rowOff>
    </xdr:from>
    <xdr:to>
      <xdr:col>12</xdr:col>
      <xdr:colOff>742950</xdr:colOff>
      <xdr:row>22</xdr:row>
      <xdr:rowOff>171451</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828517" y="3430817"/>
          <a:ext cx="3229883" cy="93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a:t>The prices on this sheet are in constant 2023 dollars.</a:t>
          </a:r>
          <a:r>
            <a:rPr lang="en-NZ" sz="1100" baseline="0"/>
            <a:t> They may differ from published prices in regulations that are adjusted for inflation.</a:t>
          </a:r>
          <a:endParaRPr lang="en-NZ"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186530</xdr:colOff>
      <xdr:row>44</xdr:row>
      <xdr:rowOff>164307</xdr:rowOff>
    </xdr:from>
    <xdr:to>
      <xdr:col>5</xdr:col>
      <xdr:colOff>123030</xdr:colOff>
      <xdr:row>59</xdr:row>
      <xdr:rowOff>169069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45</xdr:row>
      <xdr:rowOff>0</xdr:rowOff>
    </xdr:from>
    <xdr:to>
      <xdr:col>14</xdr:col>
      <xdr:colOff>50007</xdr:colOff>
      <xdr:row>60</xdr:row>
      <xdr:rowOff>7937</xdr:rowOff>
    </xdr:to>
    <xdr:graphicFrame macro="">
      <xdr:nvGraphicFramePr>
        <xdr:cNvPr id="4" name="Chart 3">
          <a:extLst>
            <a:ext uri="{FF2B5EF4-FFF2-40B4-BE49-F238E27FC236}">
              <a16:creationId xmlns:a16="http://schemas.microsoft.com/office/drawing/2014/main" id="{00000000-0008-0000-0F00-000004000000}"/>
            </a:ext>
            <a:ext uri="{147F2762-F138-4A5C-976F-8EAC2B608ADB}">
              <a16:predDERef xmlns:a16="http://schemas.microsoft.com/office/drawing/2014/main" pre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59133</xdr:colOff>
      <xdr:row>41</xdr:row>
      <xdr:rowOff>12301</xdr:rowOff>
    </xdr:from>
    <xdr:to>
      <xdr:col>25</xdr:col>
      <xdr:colOff>488156</xdr:colOff>
      <xdr:row>61</xdr:row>
      <xdr:rowOff>76198</xdr:rowOff>
    </xdr:to>
    <xdr:graphicFrame macro="">
      <xdr:nvGraphicFramePr>
        <xdr:cNvPr id="5" name="Chart 4">
          <a:extLst>
            <a:ext uri="{FF2B5EF4-FFF2-40B4-BE49-F238E27FC236}">
              <a16:creationId xmlns:a16="http://schemas.microsoft.com/office/drawing/2014/main" id="{00000000-0008-0000-0F00-000005000000}"/>
            </a:ext>
            <a:ext uri="{147F2762-F138-4A5C-976F-8EAC2B608ADB}">
              <a16:predDERef xmlns:a16="http://schemas.microsoft.com/office/drawing/2014/main" pre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270330</xdr:colOff>
      <xdr:row>39</xdr:row>
      <xdr:rowOff>180144</xdr:rowOff>
    </xdr:from>
    <xdr:to>
      <xdr:col>10</xdr:col>
      <xdr:colOff>569537</xdr:colOff>
      <xdr:row>59</xdr:row>
      <xdr:rowOff>46266</xdr:rowOff>
    </xdr:to>
    <xdr:graphicFrame macro="">
      <xdr:nvGraphicFramePr>
        <xdr:cNvPr id="4"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14287</xdr:colOff>
      <xdr:row>1</xdr:row>
      <xdr:rowOff>84455</xdr:rowOff>
    </xdr:from>
    <xdr:to>
      <xdr:col>3</xdr:col>
      <xdr:colOff>176777</xdr:colOff>
      <xdr:row>4</xdr:row>
      <xdr:rowOff>84502</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4287" y="640080"/>
          <a:ext cx="2848540" cy="547735"/>
        </a:xfrm>
        <a:prstGeom prst="rect">
          <a:avLst/>
        </a:prstGeom>
      </xdr:spPr>
    </xdr:pic>
    <xdr:clientData/>
  </xdr:twoCellAnchor>
  <xdr:twoCellAnchor editAs="oneCell">
    <xdr:from>
      <xdr:col>0</xdr:col>
      <xdr:colOff>0</xdr:colOff>
      <xdr:row>4</xdr:row>
      <xdr:rowOff>65314</xdr:rowOff>
    </xdr:from>
    <xdr:to>
      <xdr:col>5</xdr:col>
      <xdr:colOff>299768</xdr:colOff>
      <xdr:row>8</xdr:row>
      <xdr:rowOff>126343</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stretch>
          <a:fillRect/>
        </a:stretch>
      </xdr:blipFill>
      <xdr:spPr>
        <a:xfrm>
          <a:off x="0" y="990600"/>
          <a:ext cx="4164197" cy="801257"/>
        </a:xfrm>
        <a:prstGeom prst="rect">
          <a:avLst/>
        </a:prstGeom>
      </xdr:spPr>
    </xdr:pic>
    <xdr:clientData/>
  </xdr:twoCellAnchor>
  <xdr:twoCellAnchor editAs="oneCell">
    <xdr:from>
      <xdr:col>8</xdr:col>
      <xdr:colOff>0</xdr:colOff>
      <xdr:row>1</xdr:row>
      <xdr:rowOff>0</xdr:rowOff>
    </xdr:from>
    <xdr:to>
      <xdr:col>13</xdr:col>
      <xdr:colOff>183159</xdr:colOff>
      <xdr:row>12</xdr:row>
      <xdr:rowOff>114484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stretch>
          <a:fillRect/>
        </a:stretch>
      </xdr:blipFill>
      <xdr:spPr>
        <a:xfrm>
          <a:off x="4876800" y="182880"/>
          <a:ext cx="3231160" cy="2126164"/>
        </a:xfrm>
        <a:prstGeom prst="rect">
          <a:avLst/>
        </a:prstGeom>
      </xdr:spPr>
    </xdr:pic>
    <xdr:clientData/>
  </xdr:twoCellAnchor>
  <xdr:twoCellAnchor editAs="oneCell">
    <xdr:from>
      <xdr:col>5</xdr:col>
      <xdr:colOff>548372</xdr:colOff>
      <xdr:row>13</xdr:row>
      <xdr:rowOff>95827</xdr:rowOff>
    </xdr:from>
    <xdr:to>
      <xdr:col>13</xdr:col>
      <xdr:colOff>403968</xdr:colOff>
      <xdr:row>28</xdr:row>
      <xdr:rowOff>61542</xdr:rowOff>
    </xdr:to>
    <xdr:pic>
      <xdr:nvPicPr>
        <xdr:cNvPr id="6" name="Picture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49086" y="2644898"/>
          <a:ext cx="4717882" cy="2687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13920</xdr:colOff>
      <xdr:row>14</xdr:row>
      <xdr:rowOff>112310</xdr:rowOff>
    </xdr:from>
    <xdr:to>
      <xdr:col>19</xdr:col>
      <xdr:colOff>325837</xdr:colOff>
      <xdr:row>29</xdr:row>
      <xdr:rowOff>65594</xdr:rowOff>
    </xdr:to>
    <xdr:graphicFrame macro="">
      <xdr:nvGraphicFramePr>
        <xdr:cNvPr id="2" name="Chart 1">
          <a:extLst>
            <a:ext uri="{FF2B5EF4-FFF2-40B4-BE49-F238E27FC236}">
              <a16:creationId xmlns:a16="http://schemas.microsoft.com/office/drawing/2014/main" id="{00000000-0008-0000-1000-000002000000}"/>
            </a:ext>
            <a:ext uri="{147F2762-F138-4A5C-976F-8EAC2B608ADB}">
              <a16:predDERef xmlns:a16="http://schemas.microsoft.com/office/drawing/2014/main" pre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208643</xdr:colOff>
      <xdr:row>14</xdr:row>
      <xdr:rowOff>145143</xdr:rowOff>
    </xdr:from>
    <xdr:to>
      <xdr:col>25</xdr:col>
      <xdr:colOff>508000</xdr:colOff>
      <xdr:row>29</xdr:row>
      <xdr:rowOff>101602</xdr:rowOff>
    </xdr:to>
    <xdr:graphicFrame macro="">
      <xdr:nvGraphicFramePr>
        <xdr:cNvPr id="7" name="Chart 6">
          <a:extLst>
            <a:ext uri="{FF2B5EF4-FFF2-40B4-BE49-F238E27FC236}">
              <a16:creationId xmlns:a16="http://schemas.microsoft.com/office/drawing/2014/main" id="{00000000-0008-0000-1000-000007000000}"/>
            </a:ext>
            <a:ext uri="{147F2762-F138-4A5C-976F-8EAC2B608ADB}">
              <a16:predDERef xmlns:a16="http://schemas.microsoft.com/office/drawing/2014/main" pre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1117296</xdr:colOff>
      <xdr:row>19</xdr:row>
      <xdr:rowOff>158750</xdr:rowOff>
    </xdr:from>
    <xdr:to>
      <xdr:col>3</xdr:col>
      <xdr:colOff>265943</xdr:colOff>
      <xdr:row>36</xdr:row>
      <xdr:rowOff>107951</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CC" id="{FC4DB4B1-1186-43F7-A5A7-4BA6E4E84E72}" userId="CCC" providerId="None"/>
  <person displayName="Author" id="{74D34F62-DC9F-4D90-863A-5444DF661CF2}" userId="Author" providerId="None"/>
  <person displayName="Tim Denne" id="{71B40B29-8C15-42E2-9E94-679EB7D15598}" userId="4f4796bd738cee17" providerId="Windows Live"/>
  <person displayName="Tim Denne" id="{E657522C-476A-4DD8-983D-150952B679FD}" userId="S::Tim.Denne@mfe.govt.nz::030e952d-5d93-435f-b757-7ae63ea79537" providerId="AD"/>
  <person displayName="Hamish Slack" id="{F7B887CB-DE59-4683-B7D3-68FDACF5575B}" userId="S::Hamish.Slack@mfe.govt.nz::fec21a92-3e94-49f8-b148-a3be9056f378" providerId="AD"/>
  <person displayName="Craig Elvidge" id="{5DC1FEAE-4F55-46B1-88B5-BC6BEC3CB909}" userId="S::Craig.Elvidge@mpi.govt.nz::40fe1684-0672-411a-9d97-cfb8d2aa2081" providerId="AD"/>
  <person displayName="Phillip Mellor" id="{E8A246E4-37CD-42A1-AF3C-BB16359A5B85}" userId="S::Phillip.Mellor@mfe.govt.nz::2c151910-e22a-48e7-a9ba-ff76a28665e5" providerId="AD"/>
</personLis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CC theme">
  <a:themeElements>
    <a:clrScheme name="MfE">
      <a:dk1>
        <a:sysClr val="windowText" lastClr="000000"/>
      </a:dk1>
      <a:lt1>
        <a:sysClr val="window" lastClr="FFFFFF"/>
      </a:lt1>
      <a:dk2>
        <a:srgbClr val="1B556B"/>
      </a:dk2>
      <a:lt2>
        <a:srgbClr val="ECEFF0"/>
      </a:lt2>
      <a:accent1>
        <a:srgbClr val="32809C"/>
      </a:accent1>
      <a:accent2>
        <a:srgbClr val="DA5A28"/>
      </a:accent2>
      <a:accent3>
        <a:srgbClr val="2C9986"/>
      </a:accent3>
      <a:accent4>
        <a:srgbClr val="BF2F37"/>
      </a:accent4>
      <a:accent5>
        <a:srgbClr val="003473"/>
      </a:accent5>
      <a:accent6>
        <a:srgbClr val="1B556B"/>
      </a:accent6>
      <a:hlink>
        <a:srgbClr val="0563C1"/>
      </a:hlink>
      <a:folHlink>
        <a:srgbClr val="954F72"/>
      </a:folHlink>
    </a:clrScheme>
    <a:fontScheme name="Office Them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dpi="0" rotWithShape="0">
          <a:blip xmlns:r="http://schemas.openxmlformats.org/officeDocument/2006/relationships" r:embed="rId1"/>
          <a:srcRect/>
          <a:stretch>
            <a:fillRect l="-413" t="-1" r="-413" b="-1"/>
          </a:stretch>
        </a:blipFill>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CCC theme" id="{FAAF4E91-EE7F-40C5-9391-D1B130A6B8A0}" vid="{369DA7DE-E5E1-4534-908D-CAAF70E07E61}"/>
    </a:ext>
  </a:extLst>
</a:theme>
</file>

<file path=xl/threadedComments/threadedComment1.xml><?xml version="1.0" encoding="utf-8"?>
<ThreadedComments xmlns="http://schemas.microsoft.com/office/spreadsheetml/2018/threadedcomments" xmlns:x="http://schemas.openxmlformats.org/spreadsheetml/2006/main">
  <threadedComment ref="BD1" dT="2024-07-01T20:37:09.52" personId="{F7B887CB-DE59-4683-B7D3-68FDACF5575B}" id="{BFDB59AE-FF66-453A-9652-49EEE8CE1BFF}">
    <text>Double counting of cell AO? Does have some impact on results</text>
  </threadedComment>
  <threadedComment ref="Y2" dT="2023-04-12T01:41:31.75" personId="{E657522C-476A-4DD8-983D-150952B679FD}" id="{C3867B28-BE4B-4884-8675-7DD159266F7B}">
    <text xml:space="preserve">This identifies years in which (1) price is increasing faster than the discount rate and (2) there is a need for use of the stockpile because of supply shortfall. </text>
  </threadedComment>
  <threadedComment ref="AK2" dT="2023-04-13T21:13:30.21" personId="{E657522C-476A-4DD8-983D-150952B679FD}" id="{7D1B24F9-B5B5-4D61-8359-154E6E49833D}">
    <text>Absorption retained in the ETS. This will be different from total absorption if there is a separate market.</text>
  </threadedComment>
  <threadedComment ref="AO2" dT="2023-03-15T22:48:10.27" personId="{E657522C-476A-4DD8-983D-150952B679FD}" id="{648F30D7-9DA0-4E7B-9EC9-D2F344D95F0B}">
    <text>This is triggered when the NZU price is falling or is rising less than the discount rate. NZUs are released from the stockpile as they will be worth less next year.</text>
  </threadedComment>
  <threadedComment ref="BB2" dT="2023-03-16T03:08:57.80" personId="{E657522C-476A-4DD8-983D-150952B679FD}" id="{69DFDA77-64A9-4B99-8119-FD4490D01966}">
    <text>This stockpile use is used to fill any gap after forestry units have been supplied</text>
  </threadedComment>
  <threadedComment ref="BC2" dT="2023-04-12T03:47:14.96" personId="{E657522C-476A-4DD8-983D-150952B679FD}" id="{83B538D0-E1F2-4862-B197-CE0BC3ECEA60}">
    <text>Stockpile use is smaller of the calculated use and that available in the 2022 stockpile adjusted for changes since (transfers from non-liquid minus use to date)</text>
  </threadedComment>
  <threadedComment ref="BW2" dT="2025-10-31T03:37:20.41" personId="{E8A246E4-37CD-42A1-AF3C-BB16359A5B85}" id="{587F2216-C278-46F0-8F3C-490AD4D00F09}">
    <text>EB1/EB2 per MPI central projection</text>
  </threadedComment>
  <threadedComment ref="A7" dT="2023-07-26T00:21:08.73" personId="{E657522C-476A-4DD8-983D-150952B679FD}" id="{664E9773-B742-479A-9B70-4EED90E4DC69}">
    <text>Additional shift from plantation to permanent forestry for forestry under stock change accounting</text>
  </threadedComment>
  <threadedComment ref="A9" dT="2023-07-25T22:26:47.50" personId="{E657522C-476A-4DD8-983D-150952B679FD}" id="{32B6E68F-2091-400A-A170-32D6E78ADB25}">
    <text>Either use current price or discounted future price projection</text>
  </threadedComment>
  <threadedComment ref="A10" dT="2023-07-26T18:32:46.69" personId="{E657522C-476A-4DD8-983D-150952B679FD}" id="{3232C757-092F-4149-987C-5AF00D2F2D52}">
    <text>ENZ is the standard approach. MACC uses 2020 marginal abatement cost curves (which assume no market failures/barriers) and which suggest much more price responsive emission reductions</text>
  </threadedComment>
  <threadedComment ref="A13" dT="2023-07-26T18:34:14.51" personId="{E657522C-476A-4DD8-983D-150952B679FD}" id="{664407CE-0115-497D-9C68-FC0DC392FC47}">
    <text>This allows some of the non-surplus stockpile to be supplied to the market to meet short term supply shortfalls when price is not rising at the discount rate</text>
  </threadedComment>
  <threadedComment ref="A14" dT="2023-07-26T18:35:21.08" personId="{E657522C-476A-4DD8-983D-150952B679FD}" id="{3FA8EB5F-FB48-45A5-9A7A-395022CBC412}">
    <text>The time before the stockpile must be paid back for units that have been sold but are required to meet future surrender liabilities</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4-06-05T22:57:54.58" personId="{E8A246E4-37CD-42A1-AF3C-BB16359A5B85}" id="{F59A0383-1874-411F-8729-E08499B03802}">
    <text>Change this to -1 to reverse sign of price change - this generates cyclical profile.
Set to 1 everywhere for standard long term optimisation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5-04-03T02:45:55.24" personId="{FC4DB4B1-1186-43F7-A5A7-4BA6E4E84E72}" id="{B036D45B-2D7B-49CE-8276-A141EB68048F}">
    <text>Data has been updated to reflect allocations based on production volumes and updated allocative baselines, meaning these volumes are not in line with actual allocations for IA in 2023</text>
  </threadedComment>
  <threadedComment ref="B5" dT="2022-07-19T01:54:22.44" personId="{74D34F62-DC9F-4D90-863A-5444DF661CF2}" id="{A7211B6C-C915-4AA5-9F29-A7552D7C8090}">
    <text>NZS + Pacific Steel + Fletcher Steel in its different ownership structures over time. Activities: iron and steel from iron sand and carbon steel from cold ferrous feed.</text>
  </threadedComment>
  <threadedComment ref="B7" dT="2022-07-19T01:55:30.88" personId="{74D34F62-DC9F-4D90-863A-5444DF661CF2}" id="{F795EF7D-BA99-4C71-98D3-F94B6161A2AF}">
    <text>Caustic soda, hydrogen peroxide</text>
  </threadedComment>
  <threadedComment ref="B9" dT="2022-07-19T01:54:51.42" personId="{74D34F62-DC9F-4D90-863A-5444DF661CF2}" id="{3BBD3607-0D89-4088-A5A1-91BE61EC7571}">
    <text>Whey powder and lactose</text>
  </threadedComment>
  <threadedComment ref="B10" dT="2023-09-19T01:10:52.52" personId="{74D34F62-DC9F-4D90-863A-5444DF661CF2}" id="{E6153DD1-734C-4047-9BD6-EE2B0A7A89FD}">
    <text>Fresh capsicums, cucumbers, tomatoes and cut roses</text>
  </threadedComment>
  <threadedComment ref="B11" dT="2022-07-19T01:55:04.79" personId="{74D34F62-DC9F-4D90-863A-5444DF661CF2}" id="{06786206-985D-4B7C-8469-9BE60341E09F}">
    <text>Protein meal and gelatine</text>
  </threadedComment>
  <threadedComment ref="B12" dT="2022-07-19T01:55:43.16" personId="{74D34F62-DC9F-4D90-863A-5444DF661CF2}" id="{00853252-4EDF-4969-AF45-C906C9989159}">
    <text>Ethanol, clay, glass + tissue paper, reconstituted wood panels</text>
  </threadedComment>
  <threadedComment ref="B13" dT="2022-07-19T01:55:17.60" personId="{74D34F62-DC9F-4D90-863A-5444DF661CF2}" id="{668A62F3-1C6F-4132-B5A2-3BB328628209}">
    <text>Cartonboard, market pulp, packaging and industrial paper, newsprint</text>
  </threadedComment>
  <threadedComment ref="E35" dT="2022-07-19T02:01:48.14" personId="{74D34F62-DC9F-4D90-863A-5444DF661CF2}" id="{6AEB1DE4-6719-498E-81A3-E0938EC55225}">
    <text>Assumption NZAS remains open beyond 2024 and potline 4 remains idled</text>
  </threadedComment>
  <threadedComment ref="D37" dT="2025-04-03T02:47:28.68" personId="{FC4DB4B1-1186-43F7-A5A7-4BA6E4E84E72}" id="{1429A5D7-EF09-4708-98E1-4C113436F5B2}">
    <text>Estimate from MfE, based on -220k in 2024 and 2025 due to change in treatment of cogen</text>
  </threadedComment>
  <threadedComment ref="F37" dT="2025-04-03T02:47:41.56" personId="{FC4DB4B1-1186-43F7-A5A7-4BA6E4E84E72}" id="{5B404F1F-7AC2-4005-A4EA-99C96A9C8B25}">
    <text xml:space="preserve">Adjusted for estimate in reduction of allocative baseline due to electric arc furnace installation. </text>
  </threadedComment>
  <threadedComment ref="D38" dT="2025-04-03T02:47:57.34" personId="{FC4DB4B1-1186-43F7-A5A7-4BA6E4E84E72}" id="{61FCB4A1-74C3-4350-B284-B61B3160D6D4}">
    <text>Based on Methanex production reporting and forecasts. 
https://www.methanex.com/sustainability/protecting-people-and-the-environment/</text>
    <extLst>
      <x:ext xmlns:xltc2="http://schemas.microsoft.com/office/spreadsheetml/2020/threadedcomments2" uri="{F7C98A9C-CBB3-438F-8F68-D28B6AF4A901}">
        <xltc2:checksum>46464993</xltc2:checksum>
        <xltc2:hyperlink startIndex="56" length="78" url="https://www.methanex.com/sustainability/protecting-people-and-the-environment/"/>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U1" dT="2023-06-18T01:46:59.57" personId="{E657522C-476A-4DD8-983D-150952B679FD}" id="{40AA7494-A483-4DB2-AB95-983FA4EDC68C}">
    <text>StatsNZ 
CPI All Groups for New Zealand (Qrtly-Mar/Jun/Sep/Dec)	
Table Ref: CPI009AA</tex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4-05-27T04:20:21.56" personId="{E8A246E4-37CD-42A1-AF3C-BB16359A5B85}" id="{2FC4EC1C-CE1B-410D-9885-C8A2299218B6}">
    <text>Updated 2022-2024 for 2023 ADS</text>
  </threadedComment>
</ThreadedComments>
</file>

<file path=xl/threadedComments/threadedComment6.xml><?xml version="1.0" encoding="utf-8"?>
<ThreadedComments xmlns="http://schemas.microsoft.com/office/spreadsheetml/2018/threadedcomments" xmlns:x="http://schemas.openxmlformats.org/spreadsheetml/2006/main">
  <threadedComment ref="B3" dT="2022-10-04T20:54:41.27" personId="{5DC1FEAE-4F55-46B1-88B5-BC6BEC3CB909}" id="{8B08159F-A012-40B0-BF2A-3A6E7F537F63}">
    <text>afforestation that was unable to be registered under stock change in time, therefore registered under either averaging or in the PP89 category</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11T04:27:34.83" personId="{71B40B29-8C15-42E2-9E94-679EB7D15598}" id="{1C569CF0-6E96-4A21-8A85-9EB9841363BD}">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 ref="P44" dT="2025-10-31T02:36:40.72" personId="{E8A246E4-37CD-42A1-AF3C-BB16359A5B85}" id="{EF913975-12F6-494B-B737-DDC60A67BAC9}">
    <text>This rows override the afforestation x yield calculation to exactly match the MPI central unit flow projection for low risk units.</text>
  </threadedComment>
  <threadedComment ref="A50" dT="2022-10-11T04:27:34.83" personId="{71B40B29-8C15-42E2-9E94-679EB7D15598}" id="{CDE9F1F3-300B-43D9-BEA8-0EB74ED2FB33}">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mailto:etsconsultations@mfe.govt.nz" TargetMode="External"/><Relationship Id="rId2" Type="http://schemas.openxmlformats.org/officeDocument/2006/relationships/hyperlink" Target="https://environment.govt.nz/publications/review-of-the-new-zealand-emissions-trading-scheme-summary-of-modelling/" TargetMode="External"/><Relationship Id="rId1" Type="http://schemas.openxmlformats.org/officeDocument/2006/relationships/hyperlink" Target="https://environment.govt.nz/publications/updates-to-the-new-zealand-emissions-trading-scheme-market-model-february-2025/" TargetMode="External"/><Relationship Id="rId4" Type="http://schemas.openxmlformats.org/officeDocument/2006/relationships/hyperlink" Target="https://environment.govt.nz/publications/annual-updates-to-new-zealand-emissions-trading-scheme-limits-and-price-control-settings-for-units-2025-technical-annex-to-the-consultation-documen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8.xml"/><Relationship Id="rId4" Type="http://schemas.microsoft.com/office/2017/10/relationships/threadedComment" Target="../threadedComments/threadedComment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9736C-D36F-4354-AE49-F23DFEC810BB}">
  <sheetPr>
    <tabColor rgb="FF00B0F0"/>
  </sheetPr>
  <dimension ref="A1:A13"/>
  <sheetViews>
    <sheetView showGridLines="0" workbookViewId="0">
      <selection activeCell="F13" sqref="F13"/>
    </sheetView>
  </sheetViews>
  <sheetFormatPr defaultRowHeight="15" x14ac:dyDescent="0.25"/>
  <cols>
    <col min="1" max="1" width="139.5703125" customWidth="1"/>
  </cols>
  <sheetData>
    <row r="1" spans="1:1" ht="23.25" x14ac:dyDescent="0.35">
      <c r="A1" s="351" t="s">
        <v>543</v>
      </c>
    </row>
    <row r="3" spans="1:1" x14ac:dyDescent="0.25">
      <c r="A3" t="s">
        <v>553</v>
      </c>
    </row>
    <row r="4" spans="1:1" x14ac:dyDescent="0.25">
      <c r="A4" t="s">
        <v>544</v>
      </c>
    </row>
    <row r="5" spans="1:1" x14ac:dyDescent="0.25">
      <c r="A5" t="s">
        <v>549</v>
      </c>
    </row>
    <row r="6" spans="1:1" x14ac:dyDescent="0.25">
      <c r="A6" s="352" t="s">
        <v>548</v>
      </c>
    </row>
    <row r="7" spans="1:1" x14ac:dyDescent="0.25">
      <c r="A7" s="352"/>
    </row>
    <row r="8" spans="1:1" x14ac:dyDescent="0.25">
      <c r="A8" s="1" t="s">
        <v>545</v>
      </c>
    </row>
    <row r="9" spans="1:1" x14ac:dyDescent="0.25">
      <c r="A9" s="352" t="s">
        <v>550</v>
      </c>
    </row>
    <row r="10" spans="1:1" x14ac:dyDescent="0.25">
      <c r="A10" s="352" t="s">
        <v>546</v>
      </c>
    </row>
    <row r="11" spans="1:1" x14ac:dyDescent="0.25">
      <c r="A11" s="352" t="s">
        <v>547</v>
      </c>
    </row>
    <row r="13" spans="1:1" ht="300" x14ac:dyDescent="0.25">
      <c r="A13" s="10" t="s">
        <v>542</v>
      </c>
    </row>
  </sheetData>
  <hyperlinks>
    <hyperlink ref="A10" r:id="rId1" display="https://environment.govt.nz/publications/updates-to-the-new-zealand-emissions-trading-scheme-market-model-february-2025/" xr:uid="{A766D1A2-C7CF-4103-9803-3C917503B592}"/>
    <hyperlink ref="A11" r:id="rId2" display="https://environment.govt.nz/publications/review-of-the-new-zealand-emissions-trading-scheme-summary-of-modelling/" xr:uid="{5130C31E-BBE0-491F-9ACD-5B3345F19A32}"/>
    <hyperlink ref="A6" r:id="rId3" display="mailto:etsconsultations@mfe.govt.nz" xr:uid="{0D3C1344-CF25-4AF4-9EDF-E911FCC83230}"/>
    <hyperlink ref="A9" r:id="rId4" display="https://environment.govt.nz/publications/annual-updates-to-new-zealand-emissions-trading-scheme-limits-and-price-control-settings-for-units-2025-technical-annex-to-the-consultation-document/" xr:uid="{5D5663BE-455E-4951-829B-395AABAB6CF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6635-02DB-46F4-A97B-26FD7E849553}">
  <sheetPr codeName="Sheet4">
    <tabColor rgb="FFFFFF00"/>
  </sheetPr>
  <dimension ref="A1:BQ74"/>
  <sheetViews>
    <sheetView showGridLines="0" zoomScale="80" zoomScaleNormal="80" workbookViewId="0">
      <selection activeCell="G39" sqref="G39:K39"/>
    </sheetView>
  </sheetViews>
  <sheetFormatPr defaultRowHeight="15" x14ac:dyDescent="0.25"/>
  <cols>
    <col min="2" max="2" width="12" bestFit="1" customWidth="1"/>
    <col min="3" max="4" width="9.7109375" bestFit="1" customWidth="1"/>
    <col min="12" max="12" width="11" bestFit="1" customWidth="1"/>
    <col min="13" max="13" width="11.42578125" bestFit="1" customWidth="1"/>
    <col min="14" max="14" width="10.140625" bestFit="1" customWidth="1"/>
    <col min="17" max="17" width="11" bestFit="1" customWidth="1"/>
    <col min="19" max="21" width="9.5703125" customWidth="1"/>
    <col min="22" max="22" width="10.140625" bestFit="1" customWidth="1"/>
    <col min="23" max="23" width="11" bestFit="1" customWidth="1"/>
    <col min="24" max="27" width="9.28515625" bestFit="1" customWidth="1"/>
    <col min="28" max="28" width="10.5703125" bestFit="1" customWidth="1"/>
    <col min="58" max="58" width="12.42578125" bestFit="1" customWidth="1"/>
  </cols>
  <sheetData>
    <row r="1" spans="1:27" x14ac:dyDescent="0.25">
      <c r="A1" t="s">
        <v>0</v>
      </c>
      <c r="B1" s="19" t="s">
        <v>1</v>
      </c>
    </row>
    <row r="2" spans="1:27" x14ac:dyDescent="0.25">
      <c r="A2" t="s">
        <v>2</v>
      </c>
      <c r="B2" s="19"/>
      <c r="X2" s="367" t="s">
        <v>3</v>
      </c>
      <c r="Y2" s="368"/>
      <c r="Z2" s="368"/>
      <c r="AA2" s="369"/>
    </row>
    <row r="3" spans="1:27" x14ac:dyDescent="0.25">
      <c r="A3" t="s">
        <v>4</v>
      </c>
      <c r="B3" s="222"/>
      <c r="V3" s="223"/>
      <c r="X3" s="201"/>
      <c r="Y3" s="364" t="s">
        <v>5</v>
      </c>
      <c r="Z3" s="366"/>
      <c r="AA3" s="372" t="s">
        <v>6</v>
      </c>
    </row>
    <row r="4" spans="1:27" ht="17.25" x14ac:dyDescent="0.25">
      <c r="V4" s="235"/>
      <c r="X4" s="198"/>
      <c r="Y4" s="228" t="s">
        <v>7</v>
      </c>
      <c r="Z4" s="227" t="s">
        <v>8</v>
      </c>
      <c r="AA4" s="373"/>
    </row>
    <row r="5" spans="1:27" ht="17.25" x14ac:dyDescent="0.25">
      <c r="V5" s="235"/>
      <c r="X5" s="224" t="s">
        <v>9</v>
      </c>
      <c r="Y5" s="232">
        <v>7</v>
      </c>
      <c r="Z5" s="225">
        <v>7</v>
      </c>
      <c r="AA5" s="225">
        <f t="shared" ref="AA5:AA16" si="0">Z5*I44/1000</f>
        <v>0.44875600000000004</v>
      </c>
    </row>
    <row r="6" spans="1:27" x14ac:dyDescent="0.25">
      <c r="V6" s="235"/>
      <c r="X6" s="198">
        <v>2025</v>
      </c>
      <c r="Y6" s="233">
        <v>6</v>
      </c>
      <c r="Z6" s="210">
        <v>6</v>
      </c>
      <c r="AA6" s="210">
        <f t="shared" si="0"/>
        <v>0.41237265854400007</v>
      </c>
    </row>
    <row r="7" spans="1:27" x14ac:dyDescent="0.25">
      <c r="R7" s="223"/>
      <c r="S7" s="223"/>
      <c r="T7" s="223"/>
      <c r="U7" s="223"/>
      <c r="V7" s="223"/>
      <c r="W7" s="223"/>
      <c r="X7" s="201">
        <v>2026</v>
      </c>
      <c r="Y7" s="232">
        <v>5.2</v>
      </c>
      <c r="Z7" s="225">
        <v>5.2</v>
      </c>
      <c r="AA7" s="225">
        <f t="shared" si="0"/>
        <v>0.38239976423038785</v>
      </c>
    </row>
    <row r="8" spans="1:27" x14ac:dyDescent="0.25">
      <c r="R8" s="362"/>
      <c r="S8" s="362"/>
      <c r="T8" s="362"/>
      <c r="U8" s="362"/>
      <c r="V8" s="362"/>
      <c r="W8" s="362"/>
      <c r="X8" s="196">
        <v>2027</v>
      </c>
      <c r="Y8" s="234">
        <v>4.3</v>
      </c>
      <c r="Z8" s="226">
        <v>4.3</v>
      </c>
      <c r="AA8" s="226">
        <f t="shared" si="0"/>
        <v>0.33834392862390206</v>
      </c>
    </row>
    <row r="9" spans="1:27" ht="14.45" customHeight="1" x14ac:dyDescent="0.25">
      <c r="R9" s="223"/>
      <c r="S9" s="223"/>
      <c r="T9" s="223"/>
      <c r="U9" s="223"/>
      <c r="V9" s="223"/>
      <c r="W9" s="223"/>
      <c r="X9" s="196">
        <v>2028</v>
      </c>
      <c r="Y9" s="234">
        <v>3.3</v>
      </c>
      <c r="Z9" s="226">
        <v>3.3</v>
      </c>
      <c r="AA9" s="226">
        <f t="shared" si="0"/>
        <v>0.27783025145853696</v>
      </c>
    </row>
    <row r="10" spans="1:27" x14ac:dyDescent="0.25">
      <c r="R10" s="235"/>
      <c r="S10" s="235"/>
      <c r="T10" s="235"/>
      <c r="U10" s="235"/>
      <c r="V10" s="235"/>
      <c r="W10" s="235"/>
      <c r="X10" s="196">
        <v>2029</v>
      </c>
      <c r="Y10" s="234">
        <v>2.4</v>
      </c>
      <c r="Z10" s="226">
        <v>2.4</v>
      </c>
      <c r="AA10" s="226">
        <f t="shared" si="0"/>
        <v>0.21619840905862212</v>
      </c>
    </row>
    <row r="11" spans="1:27" x14ac:dyDescent="0.25">
      <c r="R11" s="235"/>
      <c r="S11" s="235"/>
      <c r="T11" s="235"/>
      <c r="U11" s="235"/>
      <c r="V11" s="235"/>
      <c r="W11" s="235"/>
      <c r="X11" s="198">
        <v>2030</v>
      </c>
      <c r="Y11" s="233">
        <v>1.7</v>
      </c>
      <c r="Z11" s="210">
        <v>1.7</v>
      </c>
      <c r="AA11" s="210">
        <f t="shared" si="0"/>
        <v>0.16385731472155235</v>
      </c>
    </row>
    <row r="12" spans="1:27" x14ac:dyDescent="0.25">
      <c r="R12" s="235"/>
      <c r="S12" s="235"/>
      <c r="T12" s="235"/>
      <c r="U12" s="235"/>
      <c r="V12" s="235"/>
      <c r="W12" s="235"/>
      <c r="X12" s="196">
        <v>2031</v>
      </c>
      <c r="Y12" s="234">
        <v>5.7</v>
      </c>
      <c r="Z12" s="226">
        <v>5.7</v>
      </c>
      <c r="AA12" s="226">
        <f t="shared" si="0"/>
        <v>0.54666241194719023</v>
      </c>
    </row>
    <row r="13" spans="1:27" x14ac:dyDescent="0.25">
      <c r="R13" s="223"/>
      <c r="S13" s="223"/>
      <c r="T13" s="223"/>
      <c r="U13" s="223"/>
      <c r="V13" s="223"/>
      <c r="W13" s="223"/>
      <c r="X13" s="196">
        <v>2032</v>
      </c>
      <c r="Y13" s="234">
        <v>5.0999999999999996</v>
      </c>
      <c r="Z13" s="226">
        <v>5.0999999999999996</v>
      </c>
      <c r="AA13" s="226">
        <f t="shared" si="0"/>
        <v>0.48667829635246074</v>
      </c>
    </row>
    <row r="14" spans="1:27" x14ac:dyDescent="0.25">
      <c r="R14" s="362"/>
      <c r="S14" s="362"/>
      <c r="T14" s="362"/>
      <c r="U14" s="362"/>
      <c r="V14" s="362"/>
      <c r="W14" s="362"/>
      <c r="X14" s="196">
        <v>2033</v>
      </c>
      <c r="Y14" s="234">
        <v>4.4000000000000004</v>
      </c>
      <c r="Z14" s="226">
        <v>0</v>
      </c>
      <c r="AA14" s="226">
        <f t="shared" si="0"/>
        <v>0</v>
      </c>
    </row>
    <row r="15" spans="1:27" x14ac:dyDescent="0.25">
      <c r="R15" s="223"/>
      <c r="S15" s="223"/>
      <c r="T15" s="223"/>
      <c r="U15" s="223"/>
      <c r="V15" s="223"/>
      <c r="W15" s="223"/>
      <c r="X15" s="196">
        <v>2034</v>
      </c>
      <c r="Y15" s="234">
        <v>3.5</v>
      </c>
      <c r="Z15" s="226">
        <v>0</v>
      </c>
      <c r="AA15" s="226">
        <f t="shared" si="0"/>
        <v>0</v>
      </c>
    </row>
    <row r="16" spans="1:27" x14ac:dyDescent="0.25">
      <c r="R16" s="235"/>
      <c r="S16" s="235"/>
      <c r="T16" s="235"/>
      <c r="U16" s="235"/>
      <c r="V16" s="235"/>
      <c r="W16" s="235"/>
      <c r="X16" s="198">
        <v>2035</v>
      </c>
      <c r="Y16" s="233">
        <v>2.7</v>
      </c>
      <c r="Z16" s="210">
        <v>0</v>
      </c>
      <c r="AA16" s="210">
        <f t="shared" si="0"/>
        <v>0</v>
      </c>
    </row>
    <row r="17" spans="2:29" x14ac:dyDescent="0.25">
      <c r="R17" s="235"/>
      <c r="S17" s="235"/>
      <c r="T17" s="235"/>
      <c r="U17" s="235"/>
      <c r="V17" s="235"/>
      <c r="W17" s="235"/>
      <c r="X17" t="s">
        <v>10</v>
      </c>
      <c r="Y17" t="s">
        <v>11</v>
      </c>
    </row>
    <row r="18" spans="2:29" ht="21.75" customHeight="1" x14ac:dyDescent="0.25">
      <c r="Q18" s="371" t="s">
        <v>12</v>
      </c>
      <c r="R18" s="371"/>
      <c r="S18" s="371"/>
      <c r="T18" s="371"/>
      <c r="U18" s="371"/>
      <c r="V18" s="371"/>
      <c r="W18" s="371"/>
      <c r="Y18" s="250" t="s">
        <v>13</v>
      </c>
    </row>
    <row r="19" spans="2:29" x14ac:dyDescent="0.25">
      <c r="B19" s="238">
        <v>-0.2</v>
      </c>
      <c r="Q19" s="371"/>
      <c r="R19" s="371"/>
      <c r="S19" s="371"/>
      <c r="T19" s="371"/>
      <c r="U19" s="371"/>
      <c r="V19" s="371"/>
      <c r="W19" s="371"/>
    </row>
    <row r="20" spans="2:29" x14ac:dyDescent="0.25">
      <c r="B20">
        <v>2025</v>
      </c>
      <c r="Y20" s="367" t="s">
        <v>14</v>
      </c>
      <c r="Z20" s="368"/>
      <c r="AA20" s="368"/>
      <c r="AB20" s="369"/>
    </row>
    <row r="21" spans="2:29" x14ac:dyDescent="0.25">
      <c r="Y21" s="228" t="s">
        <v>15</v>
      </c>
      <c r="Z21" s="228" t="s">
        <v>16</v>
      </c>
      <c r="AA21" s="229" t="s">
        <v>17</v>
      </c>
      <c r="AB21" s="227" t="s">
        <v>18</v>
      </c>
    </row>
    <row r="22" spans="2:29" x14ac:dyDescent="0.25">
      <c r="X22" s="220" t="s">
        <v>19</v>
      </c>
      <c r="Y22" s="230">
        <v>290</v>
      </c>
      <c r="Z22" s="256">
        <f>(SUM(L42:L45)+SUM($V$42:$V$45)-SUM(Q42:Q45))/1000</f>
        <v>284.66035069513731</v>
      </c>
      <c r="AA22" s="257">
        <f>(SUM(N42:N45)+SUM($V$42:$V$45)-SUM(S42:S45))/1000</f>
        <v>284.39301209302573</v>
      </c>
      <c r="AB22" s="258">
        <f>(SUM(P42:P45)+SUM($V$42:$V$45)-SUM(U42:U45))/1000</f>
        <v>283.90984637798817</v>
      </c>
    </row>
    <row r="23" spans="2:29" x14ac:dyDescent="0.25">
      <c r="X23" s="78" t="s">
        <v>20</v>
      </c>
      <c r="Y23" s="231">
        <v>305</v>
      </c>
      <c r="Z23" s="259">
        <f>(SUM(L46:L50)+SUM($V$46:$V$50)-SUM(Q46:Q50))/1000</f>
        <v>307.43493641215633</v>
      </c>
      <c r="AA23" s="251">
        <f>(SUM(N46:N50)+SUM($V$46:$V$50)-SUM(S46:S50))/1000</f>
        <v>303.29513973324862</v>
      </c>
      <c r="AB23" s="260">
        <f>(SUM(P46:P50)+SUM($V$46:$V$50)-SUM(U46:U50))/1000</f>
        <v>290.52814230538951</v>
      </c>
    </row>
    <row r="24" spans="2:29" x14ac:dyDescent="0.25">
      <c r="X24" s="221" t="s">
        <v>21</v>
      </c>
      <c r="Y24" s="231">
        <v>240</v>
      </c>
      <c r="Z24" s="259">
        <f>(SUM(L51:L55)+SUM($V$51:$V$55)-SUM(Q51:Q55))/1000</f>
        <v>258.75520940065894</v>
      </c>
      <c r="AA24" s="251">
        <f>(SUM(N51:N55)+SUM($V$51:$V$55)-SUM(S51:S55))/1000</f>
        <v>252.96223622005431</v>
      </c>
      <c r="AB24" s="260">
        <f>(SUM(P51:P55)+SUM($V$51:$V$55)-SUM(U51:U55))/1000</f>
        <v>232.13571095999106</v>
      </c>
    </row>
    <row r="25" spans="2:29" x14ac:dyDescent="0.25">
      <c r="X25" s="4" t="s">
        <v>22</v>
      </c>
      <c r="Y25" s="246">
        <f>SUM(BP41:BP50)/1000</f>
        <v>586.07299999999998</v>
      </c>
      <c r="Z25" s="247">
        <f>(SUM(L41:L50)+SUM($V$41:$V$50)-SUM(Q41:Q50))/1000</f>
        <v>671.20689041298601</v>
      </c>
      <c r="AA25" s="248">
        <f>(SUM(N41:N50)+SUM($V$41:$V$50)-SUM(S41:S50))/1000</f>
        <v>666.79975513196666</v>
      </c>
      <c r="AB25" s="249">
        <f>(SUM(P41:P50)+SUM($V$41:$V$50)-SUM(U41:U50))/1000</f>
        <v>653.54959198907</v>
      </c>
    </row>
    <row r="26" spans="2:29" x14ac:dyDescent="0.25">
      <c r="X26" s="236" t="s">
        <v>10</v>
      </c>
      <c r="Y26" s="374" t="s">
        <v>23</v>
      </c>
      <c r="Z26" s="374"/>
      <c r="AA26" s="374"/>
      <c r="AB26" s="374"/>
    </row>
    <row r="27" spans="2:29" x14ac:dyDescent="0.25">
      <c r="X27" s="237"/>
      <c r="Y27" s="370"/>
      <c r="Z27" s="370"/>
      <c r="AA27" s="370"/>
      <c r="AB27" s="370"/>
    </row>
    <row r="28" spans="2:29" x14ac:dyDescent="0.25">
      <c r="Y28" s="370" t="s">
        <v>24</v>
      </c>
      <c r="Z28" s="370"/>
      <c r="AA28" s="370"/>
      <c r="AB28" s="370"/>
      <c r="AC28" s="2"/>
    </row>
    <row r="29" spans="2:29" x14ac:dyDescent="0.25">
      <c r="Y29" s="370"/>
      <c r="Z29" s="370"/>
      <c r="AA29" s="370"/>
      <c r="AB29" s="370"/>
    </row>
    <row r="33" spans="1:69" x14ac:dyDescent="0.25">
      <c r="Z33" s="183"/>
    </row>
    <row r="37" spans="1:69" x14ac:dyDescent="0.25">
      <c r="A37" s="1" t="s">
        <v>25</v>
      </c>
      <c r="AJ37" t="s">
        <v>26</v>
      </c>
    </row>
    <row r="38" spans="1:69" x14ac:dyDescent="0.25">
      <c r="B38" s="367" t="s">
        <v>27</v>
      </c>
      <c r="C38" s="368"/>
      <c r="D38" s="368"/>
      <c r="E38" s="368"/>
      <c r="F38" s="368"/>
      <c r="G38" s="368"/>
      <c r="H38" s="368"/>
      <c r="I38" s="368"/>
      <c r="J38" s="368"/>
      <c r="K38" s="369"/>
      <c r="L38" s="367" t="s">
        <v>28</v>
      </c>
      <c r="M38" s="368"/>
      <c r="N38" s="368"/>
      <c r="O38" s="368"/>
      <c r="P38" s="368"/>
      <c r="Q38" s="368"/>
      <c r="R38" s="368"/>
      <c r="S38" s="368"/>
      <c r="T38" s="368"/>
      <c r="U38" s="368"/>
      <c r="V38" s="369"/>
      <c r="W38" s="367" t="s">
        <v>29</v>
      </c>
      <c r="X38" s="368"/>
      <c r="Y38" s="368"/>
      <c r="Z38" s="368"/>
      <c r="AA38" s="369"/>
      <c r="AJ38" t="s">
        <v>30</v>
      </c>
    </row>
    <row r="39" spans="1:69" x14ac:dyDescent="0.25">
      <c r="B39" s="361" t="s">
        <v>31</v>
      </c>
      <c r="C39" s="362"/>
      <c r="D39" s="362"/>
      <c r="E39" s="362"/>
      <c r="F39" s="362"/>
      <c r="G39" s="361" t="s">
        <v>32</v>
      </c>
      <c r="H39" s="362"/>
      <c r="I39" s="362"/>
      <c r="J39" s="362"/>
      <c r="K39" s="363"/>
      <c r="L39" s="364" t="s">
        <v>33</v>
      </c>
      <c r="M39" s="365"/>
      <c r="N39" s="365"/>
      <c r="O39" s="365"/>
      <c r="P39" s="366"/>
      <c r="Q39" s="361" t="s">
        <v>34</v>
      </c>
      <c r="R39" s="362"/>
      <c r="S39" s="362"/>
      <c r="T39" s="362"/>
      <c r="U39" s="363"/>
      <c r="V39" s="197" t="s">
        <v>35</v>
      </c>
      <c r="W39" s="199">
        <v>0.15</v>
      </c>
      <c r="X39" s="21">
        <v>0.15</v>
      </c>
      <c r="Y39" s="21">
        <v>0.15</v>
      </c>
      <c r="Z39" s="21">
        <v>0.15</v>
      </c>
      <c r="AA39" s="200">
        <v>0.15</v>
      </c>
      <c r="AO39" t="s">
        <v>36</v>
      </c>
      <c r="AP39" t="s">
        <v>37</v>
      </c>
      <c r="AQ39" t="s">
        <v>38</v>
      </c>
      <c r="AR39" t="s">
        <v>39</v>
      </c>
      <c r="AS39" t="s">
        <v>40</v>
      </c>
      <c r="AT39" t="s">
        <v>41</v>
      </c>
      <c r="AU39" t="s">
        <v>42</v>
      </c>
      <c r="AV39" t="s">
        <v>43</v>
      </c>
      <c r="AW39" t="s">
        <v>44</v>
      </c>
      <c r="AX39" t="s">
        <v>45</v>
      </c>
      <c r="BG39" t="s">
        <v>46</v>
      </c>
    </row>
    <row r="40" spans="1:69" x14ac:dyDescent="0.25">
      <c r="B40" s="196" t="s">
        <v>47</v>
      </c>
      <c r="C40" t="s">
        <v>48</v>
      </c>
      <c r="D40" t="s">
        <v>17</v>
      </c>
      <c r="E40" t="s">
        <v>49</v>
      </c>
      <c r="F40" t="s">
        <v>50</v>
      </c>
      <c r="G40" s="196" t="s">
        <v>47</v>
      </c>
      <c r="H40" t="s">
        <v>48</v>
      </c>
      <c r="I40" t="s">
        <v>17</v>
      </c>
      <c r="J40" t="s">
        <v>49</v>
      </c>
      <c r="K40" s="197" t="s">
        <v>50</v>
      </c>
      <c r="L40" s="196" t="s">
        <v>47</v>
      </c>
      <c r="M40" t="s">
        <v>48</v>
      </c>
      <c r="N40" t="s">
        <v>17</v>
      </c>
      <c r="O40" t="s">
        <v>49</v>
      </c>
      <c r="P40" s="197" t="s">
        <v>50</v>
      </c>
      <c r="Q40" s="196" t="s">
        <v>47</v>
      </c>
      <c r="R40" t="s">
        <v>48</v>
      </c>
      <c r="S40" t="s">
        <v>17</v>
      </c>
      <c r="T40" t="s">
        <v>49</v>
      </c>
      <c r="U40" s="197" t="s">
        <v>50</v>
      </c>
      <c r="V40" s="197" t="s">
        <v>17</v>
      </c>
      <c r="W40" s="196" t="s">
        <v>47</v>
      </c>
      <c r="X40" t="s">
        <v>48</v>
      </c>
      <c r="Y40" t="s">
        <v>17</v>
      </c>
      <c r="Z40" t="s">
        <v>49</v>
      </c>
      <c r="AA40" s="197" t="s">
        <v>50</v>
      </c>
      <c r="AB40" t="s">
        <v>51</v>
      </c>
      <c r="AC40" t="s">
        <v>52</v>
      </c>
      <c r="AD40" t="s">
        <v>53</v>
      </c>
      <c r="AE40" t="s">
        <v>54</v>
      </c>
      <c r="AF40" t="s">
        <v>55</v>
      </c>
      <c r="AG40" t="s">
        <v>56</v>
      </c>
      <c r="AH40" t="s">
        <v>57</v>
      </c>
      <c r="AJ40" s="196" t="s">
        <v>47</v>
      </c>
      <c r="AK40" t="s">
        <v>48</v>
      </c>
      <c r="AL40" t="s">
        <v>17</v>
      </c>
      <c r="AM40" t="s">
        <v>49</v>
      </c>
      <c r="AN40" s="197" t="s">
        <v>50</v>
      </c>
      <c r="AZ40" t="s">
        <v>58</v>
      </c>
      <c r="BF40" t="s">
        <v>59</v>
      </c>
      <c r="BG40" t="s">
        <v>60</v>
      </c>
      <c r="BH40" t="s">
        <v>61</v>
      </c>
      <c r="BI40" t="s">
        <v>62</v>
      </c>
      <c r="BJ40" t="s">
        <v>63</v>
      </c>
      <c r="BK40" t="s">
        <v>64</v>
      </c>
      <c r="BL40" t="s">
        <v>65</v>
      </c>
      <c r="BM40" t="s">
        <v>66</v>
      </c>
      <c r="BP40" s="245" t="s">
        <v>67</v>
      </c>
      <c r="BQ40" s="1" t="s">
        <v>68</v>
      </c>
    </row>
    <row r="41" spans="1:69" x14ac:dyDescent="0.25">
      <c r="A41" s="201">
        <v>2021</v>
      </c>
      <c r="B41" s="202">
        <v>55</v>
      </c>
      <c r="C41" s="203">
        <v>55</v>
      </c>
      <c r="D41" s="203">
        <v>55</v>
      </c>
      <c r="E41" s="203">
        <v>55</v>
      </c>
      <c r="F41" s="203">
        <v>55</v>
      </c>
      <c r="G41" s="202">
        <f>B41*$AC41</f>
        <v>48.342810722989441</v>
      </c>
      <c r="H41" s="203">
        <f t="shared" ref="H41:K41" si="1">C41*$AC41</f>
        <v>48.342810722989441</v>
      </c>
      <c r="I41" s="203">
        <f t="shared" si="1"/>
        <v>48.342810722989441</v>
      </c>
      <c r="J41" s="203">
        <f t="shared" si="1"/>
        <v>48.342810722989441</v>
      </c>
      <c r="K41" s="204">
        <f t="shared" si="1"/>
        <v>48.342810722989441</v>
      </c>
      <c r="L41" s="211">
        <v>39092.769</v>
      </c>
      <c r="M41" s="212">
        <v>39092.769</v>
      </c>
      <c r="N41" s="212">
        <v>39092.769</v>
      </c>
      <c r="O41" s="212">
        <v>39092.769</v>
      </c>
      <c r="P41" s="213">
        <v>39092.769</v>
      </c>
      <c r="Q41" s="211">
        <v>4744.5626748682453</v>
      </c>
      <c r="R41" s="212">
        <v>4744.5626748682453</v>
      </c>
      <c r="S41" s="212">
        <v>4744.5626748682453</v>
      </c>
      <c r="T41" s="212">
        <v>4744.5626748682453</v>
      </c>
      <c r="U41" s="213">
        <v>4744.5626748682453</v>
      </c>
      <c r="V41" s="213">
        <f>Model!O4+Model!P4</f>
        <v>44763.396980560516</v>
      </c>
      <c r="W41" s="211">
        <v>97811.724801804259</v>
      </c>
      <c r="X41" s="212">
        <v>97811.724801804259</v>
      </c>
      <c r="Y41" s="212">
        <v>97811.724801804259</v>
      </c>
      <c r="Z41" s="212">
        <v>97811.724801804259</v>
      </c>
      <c r="AA41" s="213">
        <v>97811.724801804259</v>
      </c>
      <c r="AC41" s="2">
        <f>'Govt supply'!X3/'Govt supply'!$X$5</f>
        <v>0.87896019496344435</v>
      </c>
      <c r="AD41">
        <f ca="1">Model!X4</f>
        <v>55</v>
      </c>
      <c r="AE41" s="20">
        <f ca="1">Model!AU4</f>
        <v>39092.769</v>
      </c>
      <c r="AF41" s="20">
        <f>Model!BW4</f>
        <v>4744.5626748682453</v>
      </c>
      <c r="AG41" s="20">
        <f ca="1">Model!BH4</f>
        <v>97811.724801804259</v>
      </c>
      <c r="AH41">
        <f>Model!AC4/1000</f>
        <v>19.3</v>
      </c>
      <c r="AJ41" s="87">
        <f t="shared" ref="AJ41:AJ70" si="2">L41+$V41-Q41</f>
        <v>79111.603305692275</v>
      </c>
      <c r="AK41" s="87">
        <f t="shared" ref="AK41:AK70" si="3">M41+$V41-R41</f>
        <v>79111.603305692275</v>
      </c>
      <c r="AL41" s="87">
        <f t="shared" ref="AL41:AL70" si="4">N41+$V41-S41</f>
        <v>79111.603305692275</v>
      </c>
      <c r="AM41" s="87">
        <f t="shared" ref="AM41:AM70" si="5">O41+$V41-T41</f>
        <v>79111.603305692275</v>
      </c>
      <c r="AN41" s="87">
        <f t="shared" ref="AN41:AN70" si="6">P41+$V41-U41</f>
        <v>79111.603305692275</v>
      </c>
      <c r="AO41" s="183">
        <f t="shared" ref="AO41:AO70" si="7">MAX(G41:K41)-MIN(G41:K41)</f>
        <v>0</v>
      </c>
      <c r="AP41" s="183">
        <f t="shared" ref="AP41:AP70" si="8">MAX(L41:P41)-MIN(L41:P41)</f>
        <v>0</v>
      </c>
      <c r="AQ41" s="183">
        <f t="shared" ref="AQ41:AQ70" si="9">MAX(Q41:U41)-MIN(Q41:U41)</f>
        <v>0</v>
      </c>
      <c r="AR41" s="183">
        <f t="shared" ref="AR41:AR70" si="10">MAX(W41:AA41)-MIN(W41:AA41)</f>
        <v>0</v>
      </c>
      <c r="AS41" s="183">
        <f>MAX(AJ41:AN41)-MIN(AJ41:AN41)</f>
        <v>0</v>
      </c>
      <c r="AT41" s="183">
        <f t="shared" ref="AT41:AT70" si="11">MIN(G41:K41)</f>
        <v>48.342810722989441</v>
      </c>
      <c r="AU41" s="87">
        <f t="shared" ref="AU41:AU70" si="12">MIN(L41:P41)</f>
        <v>39092.769</v>
      </c>
      <c r="AV41" s="87">
        <f t="shared" ref="AV41:AV70" si="13">MIN(Q41:U41)</f>
        <v>4744.5626748682453</v>
      </c>
      <c r="AW41" s="87">
        <f t="shared" ref="AW41:AW70" si="14">MIN(W41:AA41)</f>
        <v>97811.724801804259</v>
      </c>
      <c r="AX41" s="87">
        <f>MIN(AJ41:AN41)</f>
        <v>79111.603305692275</v>
      </c>
      <c r="AZ41" s="87">
        <f>AL41</f>
        <v>79111.603305692275</v>
      </c>
      <c r="BF41" s="37">
        <f>IF(Model!$B$5="Status quo",'Govt supply'!E3,'Govt supply'!M3)</f>
        <v>19.3</v>
      </c>
      <c r="BG41">
        <v>6593.058</v>
      </c>
      <c r="BH41">
        <v>19300</v>
      </c>
      <c r="BI41">
        <v>0</v>
      </c>
      <c r="BL41">
        <v>39092.769</v>
      </c>
      <c r="BM41">
        <v>37041.591251426522</v>
      </c>
      <c r="BP41" s="244">
        <v>73907</v>
      </c>
    </row>
    <row r="42" spans="1:69" x14ac:dyDescent="0.25">
      <c r="A42" s="196">
        <v>2022</v>
      </c>
      <c r="B42" s="205">
        <v>84.15</v>
      </c>
      <c r="C42" s="164">
        <v>84.15</v>
      </c>
      <c r="D42" s="164">
        <v>84.15</v>
      </c>
      <c r="E42" s="164">
        <v>84.15</v>
      </c>
      <c r="F42" s="164">
        <v>84.15</v>
      </c>
      <c r="G42" s="205">
        <f t="shared" ref="G42:G70" si="15">B42*$AC42</f>
        <v>79.36486596263201</v>
      </c>
      <c r="H42" s="164">
        <f t="shared" ref="H42:H70" si="16">C42*$AC42</f>
        <v>79.36486596263201</v>
      </c>
      <c r="I42" s="164">
        <f t="shared" ref="I42:I70" si="17">D42*$AC42</f>
        <v>79.36486596263201</v>
      </c>
      <c r="J42" s="164">
        <f t="shared" ref="J42:J70" si="18">E42*$AC42</f>
        <v>79.36486596263201</v>
      </c>
      <c r="K42" s="206">
        <f t="shared" ref="K42:K70" si="19">F42*$AC42</f>
        <v>79.36486596263201</v>
      </c>
      <c r="L42" s="214">
        <v>34302.540724803417</v>
      </c>
      <c r="M42" s="215">
        <v>34302.540724803417</v>
      </c>
      <c r="N42" s="215">
        <v>34302.540724803417</v>
      </c>
      <c r="O42" s="215">
        <v>34302.540724803417</v>
      </c>
      <c r="P42" s="216">
        <v>34302.540724803417</v>
      </c>
      <c r="Q42" s="214">
        <v>5279.6</v>
      </c>
      <c r="R42" s="215">
        <v>5279.6</v>
      </c>
      <c r="S42" s="215">
        <v>5279.6</v>
      </c>
      <c r="T42" s="215">
        <v>5279.6</v>
      </c>
      <c r="U42" s="216">
        <v>5279.6</v>
      </c>
      <c r="V42" s="216">
        <f>Model!O5+Model!P5</f>
        <v>43720.946512152914</v>
      </c>
      <c r="W42" s="214">
        <v>140057.45894631479</v>
      </c>
      <c r="X42" s="215">
        <v>140057.45894631479</v>
      </c>
      <c r="Y42" s="215">
        <v>140057.45894631479</v>
      </c>
      <c r="Z42" s="215">
        <v>140057.45894631479</v>
      </c>
      <c r="AA42" s="216">
        <v>140057.45894631479</v>
      </c>
      <c r="AB42" s="46" cm="1">
        <f t="array" aca="1" ref="AB42:AB70" ca="1">TRANSPOSE(Afforestation!B17:AD17)</f>
        <v>89538.905225076393</v>
      </c>
      <c r="AC42" s="2">
        <f>'Govt supply'!X4/'Govt supply'!$X$5</f>
        <v>0.94313566206336308</v>
      </c>
      <c r="AD42">
        <f ca="1">Model!X5</f>
        <v>84.15</v>
      </c>
      <c r="AE42" s="20">
        <f ca="1">Model!AU5</f>
        <v>34302.540724803417</v>
      </c>
      <c r="AF42" s="20">
        <f>Model!BW5</f>
        <v>5279.6</v>
      </c>
      <c r="AG42" s="20">
        <f ca="1">Model!BH5</f>
        <v>140057.45894631479</v>
      </c>
      <c r="AH42">
        <f ca="1">Model!AC5/1000</f>
        <v>19.95683</v>
      </c>
      <c r="AJ42" s="87">
        <f t="shared" si="2"/>
        <v>72743.887236956332</v>
      </c>
      <c r="AK42" s="87">
        <f t="shared" si="3"/>
        <v>72743.887236956332</v>
      </c>
      <c r="AL42" s="87">
        <f t="shared" si="4"/>
        <v>72743.887236956332</v>
      </c>
      <c r="AM42" s="87">
        <f t="shared" si="5"/>
        <v>72743.887236956332</v>
      </c>
      <c r="AN42" s="87">
        <f t="shared" si="6"/>
        <v>72743.887236956332</v>
      </c>
      <c r="AO42" s="183">
        <f t="shared" si="7"/>
        <v>0</v>
      </c>
      <c r="AP42" s="183">
        <f t="shared" si="8"/>
        <v>0</v>
      </c>
      <c r="AQ42" s="183">
        <f t="shared" si="9"/>
        <v>0</v>
      </c>
      <c r="AR42" s="183">
        <f t="shared" si="10"/>
        <v>0</v>
      </c>
      <c r="AS42" s="183">
        <f t="shared" ref="AS42:AS70" si="20">MAX(AJ42:AN42)-MIN(AJ42:AN42)</f>
        <v>0</v>
      </c>
      <c r="AT42" s="183">
        <f t="shared" si="11"/>
        <v>79.36486596263201</v>
      </c>
      <c r="AU42" s="87">
        <f t="shared" si="12"/>
        <v>34302.540724803417</v>
      </c>
      <c r="AV42" s="87">
        <f t="shared" si="13"/>
        <v>5279.6</v>
      </c>
      <c r="AW42" s="87">
        <f t="shared" si="14"/>
        <v>140057.45894631479</v>
      </c>
      <c r="AX42" s="87">
        <f t="shared" ref="AX42:AX70" si="21">MIN(AJ42:AN42)</f>
        <v>72743.887236956332</v>
      </c>
      <c r="AZ42" s="87">
        <v>74930</v>
      </c>
      <c r="BF42" s="37">
        <f>(IF(Model!$B$5="Status quo",'Govt supply'!E3,'Govt supply'!M3)*1000+Historical!Y17/1000)/1000</f>
        <v>19.95683</v>
      </c>
      <c r="BG42">
        <v>7911.7060000000001</v>
      </c>
      <c r="BH42">
        <v>19956.830000000002</v>
      </c>
      <c r="BI42">
        <v>0</v>
      </c>
      <c r="BK42">
        <v>4373.4773485979595</v>
      </c>
      <c r="BL42">
        <v>34302.540724803417</v>
      </c>
      <c r="BM42">
        <v>34302.540724803417</v>
      </c>
      <c r="BP42" s="244">
        <v>70507</v>
      </c>
    </row>
    <row r="43" spans="1:69" x14ac:dyDescent="0.25">
      <c r="A43" s="196">
        <v>2023</v>
      </c>
      <c r="B43" s="205">
        <v>63</v>
      </c>
      <c r="C43" s="164">
        <v>63</v>
      </c>
      <c r="D43" s="164">
        <v>63</v>
      </c>
      <c r="E43" s="164">
        <v>63</v>
      </c>
      <c r="F43" s="164">
        <v>63</v>
      </c>
      <c r="G43" s="205">
        <f t="shared" si="15"/>
        <v>63</v>
      </c>
      <c r="H43" s="164">
        <f t="shared" si="16"/>
        <v>63</v>
      </c>
      <c r="I43" s="164">
        <f t="shared" si="17"/>
        <v>63</v>
      </c>
      <c r="J43" s="164">
        <f t="shared" si="18"/>
        <v>63</v>
      </c>
      <c r="K43" s="206">
        <f t="shared" si="19"/>
        <v>63</v>
      </c>
      <c r="L43" s="214">
        <v>34062.453712507799</v>
      </c>
      <c r="M43" s="215">
        <v>34062.453712507799</v>
      </c>
      <c r="N43" s="215">
        <v>34062.453712507799</v>
      </c>
      <c r="O43" s="215">
        <v>34062.453712507799</v>
      </c>
      <c r="P43" s="216">
        <v>34062.453712507799</v>
      </c>
      <c r="Q43" s="214">
        <v>6179.4270146455237</v>
      </c>
      <c r="R43" s="215">
        <v>6179.4270146455237</v>
      </c>
      <c r="S43" s="215">
        <v>6179.4270146455237</v>
      </c>
      <c r="T43" s="215">
        <v>6179.4270146455237</v>
      </c>
      <c r="U43" s="216">
        <v>6179.4270146455237</v>
      </c>
      <c r="V43" s="216">
        <f>Model!O6+Model!P6</f>
        <v>43344.30988824652</v>
      </c>
      <c r="W43" s="214">
        <v>159900</v>
      </c>
      <c r="X43" s="215">
        <v>159900</v>
      </c>
      <c r="Y43" s="215">
        <v>159900</v>
      </c>
      <c r="Z43" s="215">
        <v>159900</v>
      </c>
      <c r="AA43" s="216">
        <v>159900</v>
      </c>
      <c r="AB43" s="46">
        <f ca="1"/>
        <v>76325.669666666668</v>
      </c>
      <c r="AC43" s="2">
        <f>'Govt supply'!X5/'Govt supply'!$X$5</f>
        <v>1</v>
      </c>
      <c r="AD43">
        <f ca="1">Model!X6</f>
        <v>63</v>
      </c>
      <c r="AE43" s="20">
        <f ca="1">Model!AU6</f>
        <v>34062.453712507799</v>
      </c>
      <c r="AF43" s="20">
        <f>Model!BW6</f>
        <v>6179.4270146455237</v>
      </c>
      <c r="AG43" s="20">
        <f>Model!BH6</f>
        <v>159900</v>
      </c>
      <c r="AH43">
        <f ca="1">Model!AC6/1000</f>
        <v>0</v>
      </c>
      <c r="AJ43" s="87">
        <f t="shared" si="2"/>
        <v>71227.336586108795</v>
      </c>
      <c r="AK43" s="87">
        <f t="shared" si="3"/>
        <v>71227.336586108795</v>
      </c>
      <c r="AL43" s="87">
        <f t="shared" si="4"/>
        <v>71227.336586108795</v>
      </c>
      <c r="AM43" s="87">
        <f t="shared" si="5"/>
        <v>71227.336586108795</v>
      </c>
      <c r="AN43" s="87">
        <f t="shared" si="6"/>
        <v>71227.336586108795</v>
      </c>
      <c r="AO43" s="183">
        <f t="shared" si="7"/>
        <v>0</v>
      </c>
      <c r="AP43" s="183">
        <f t="shared" si="8"/>
        <v>0</v>
      </c>
      <c r="AQ43" s="183">
        <f t="shared" si="9"/>
        <v>0</v>
      </c>
      <c r="AR43" s="183">
        <f t="shared" si="10"/>
        <v>0</v>
      </c>
      <c r="AS43" s="183">
        <f t="shared" si="20"/>
        <v>0</v>
      </c>
      <c r="AT43" s="183">
        <f t="shared" si="11"/>
        <v>63</v>
      </c>
      <c r="AU43" s="87">
        <f t="shared" si="12"/>
        <v>34062.453712507799</v>
      </c>
      <c r="AV43" s="87">
        <f t="shared" si="13"/>
        <v>6179.4270146455237</v>
      </c>
      <c r="AW43" s="87">
        <f t="shared" si="14"/>
        <v>159900</v>
      </c>
      <c r="AX43" s="87">
        <f t="shared" si="21"/>
        <v>71227.336586108795</v>
      </c>
      <c r="AZ43" s="87">
        <v>73650</v>
      </c>
      <c r="BF43" s="37">
        <f>IF(Model!$B$5="Status quo",'Govt supply'!E4,'Govt supply'!M4)</f>
        <v>0</v>
      </c>
      <c r="BG43">
        <v>5574.404757506999</v>
      </c>
      <c r="BH43">
        <v>0</v>
      </c>
      <c r="BI43">
        <v>22966.457109178049</v>
      </c>
      <c r="BJ43">
        <v>0</v>
      </c>
      <c r="BK43">
        <v>5521.5918458227507</v>
      </c>
      <c r="BL43">
        <v>34062.453712507799</v>
      </c>
      <c r="BM43">
        <v>34061.6319721623</v>
      </c>
      <c r="BP43" s="244">
        <v>67107</v>
      </c>
    </row>
    <row r="44" spans="1:69" x14ac:dyDescent="0.25">
      <c r="A44" s="196">
        <v>2024</v>
      </c>
      <c r="B44" s="205">
        <v>62</v>
      </c>
      <c r="C44" s="164">
        <v>62</v>
      </c>
      <c r="D44" s="164">
        <v>62</v>
      </c>
      <c r="E44" s="164">
        <v>62</v>
      </c>
      <c r="F44" s="164">
        <v>62</v>
      </c>
      <c r="G44" s="205">
        <f t="shared" si="15"/>
        <v>64.108000000000004</v>
      </c>
      <c r="H44" s="164">
        <f t="shared" si="16"/>
        <v>64.108000000000004</v>
      </c>
      <c r="I44" s="164">
        <f t="shared" si="17"/>
        <v>64.108000000000004</v>
      </c>
      <c r="J44" s="164">
        <f t="shared" si="18"/>
        <v>64.108000000000004</v>
      </c>
      <c r="K44" s="206">
        <f t="shared" si="19"/>
        <v>64.108000000000004</v>
      </c>
      <c r="L44" s="214">
        <v>34412.842896588416</v>
      </c>
      <c r="M44" s="215">
        <v>34412.842896588416</v>
      </c>
      <c r="N44" s="215">
        <v>34412.842896588416</v>
      </c>
      <c r="O44" s="215">
        <v>34412.842896588416</v>
      </c>
      <c r="P44" s="216">
        <v>34412.842896588416</v>
      </c>
      <c r="Q44" s="214">
        <v>6339.3965743747085</v>
      </c>
      <c r="R44" s="215">
        <v>6339.3965743747085</v>
      </c>
      <c r="S44" s="215">
        <v>6339.3965743747085</v>
      </c>
      <c r="T44" s="215">
        <v>6339.3965743747085</v>
      </c>
      <c r="U44" s="216">
        <v>6339.3965743747085</v>
      </c>
      <c r="V44" s="216">
        <f>Model!O7+Model!P7</f>
        <v>43074.319404063965</v>
      </c>
      <c r="W44" s="214">
        <v>150400</v>
      </c>
      <c r="X44" s="215">
        <v>150400</v>
      </c>
      <c r="Y44" s="215">
        <v>150400</v>
      </c>
      <c r="Z44" s="215">
        <v>150400</v>
      </c>
      <c r="AA44" s="216">
        <v>150400</v>
      </c>
      <c r="AB44" s="46">
        <f ca="1"/>
        <v>62600</v>
      </c>
      <c r="AC44" s="2">
        <f>'Govt supply'!X6/'Govt supply'!$X$5</f>
        <v>1.034</v>
      </c>
      <c r="AD44">
        <f ca="1">Model!X7</f>
        <v>62</v>
      </c>
      <c r="AE44" s="20">
        <f ca="1">Model!AU7</f>
        <v>34412.842896588416</v>
      </c>
      <c r="AF44" s="20">
        <f>Model!BW7</f>
        <v>6339.3965743747085</v>
      </c>
      <c r="AG44" s="20">
        <f>Model!BH7</f>
        <v>150400</v>
      </c>
      <c r="AH44">
        <f ca="1">Model!AC7/1000</f>
        <v>7</v>
      </c>
      <c r="AJ44" s="87">
        <f t="shared" si="2"/>
        <v>71147.765726277677</v>
      </c>
      <c r="AK44" s="87">
        <f t="shared" si="3"/>
        <v>71147.765726277677</v>
      </c>
      <c r="AL44" s="87">
        <f t="shared" si="4"/>
        <v>71147.765726277677</v>
      </c>
      <c r="AM44" s="87">
        <f t="shared" si="5"/>
        <v>71147.765726277677</v>
      </c>
      <c r="AN44" s="87">
        <f t="shared" si="6"/>
        <v>71147.765726277677</v>
      </c>
      <c r="AO44" s="183">
        <f t="shared" si="7"/>
        <v>0</v>
      </c>
      <c r="AP44" s="183">
        <f t="shared" si="8"/>
        <v>0</v>
      </c>
      <c r="AQ44" s="183">
        <f t="shared" si="9"/>
        <v>0</v>
      </c>
      <c r="AR44" s="183">
        <f t="shared" si="10"/>
        <v>0</v>
      </c>
      <c r="AS44" s="183">
        <f t="shared" si="20"/>
        <v>0</v>
      </c>
      <c r="AT44" s="183">
        <f t="shared" si="11"/>
        <v>64.108000000000004</v>
      </c>
      <c r="AU44" s="87">
        <f t="shared" si="12"/>
        <v>34412.842896588416</v>
      </c>
      <c r="AV44" s="87">
        <f t="shared" si="13"/>
        <v>6339.3965743747085</v>
      </c>
      <c r="AW44" s="87">
        <f t="shared" si="14"/>
        <v>150400</v>
      </c>
      <c r="AX44" s="87">
        <f t="shared" si="21"/>
        <v>71147.765726277677</v>
      </c>
      <c r="AZ44" s="87">
        <v>72122.053884700057</v>
      </c>
      <c r="BF44" s="37">
        <f>IF(Model!$B$5="Status quo",'Govt supply'!E5,'Govt supply'!M5)</f>
        <v>7</v>
      </c>
      <c r="BG44">
        <v>5011.8116588021785</v>
      </c>
      <c r="BH44">
        <v>7000</v>
      </c>
      <c r="BI44">
        <v>15756.380238392794</v>
      </c>
      <c r="BJ44">
        <v>0</v>
      </c>
      <c r="BK44">
        <v>6644.6509993934487</v>
      </c>
      <c r="BL44">
        <v>34412.842896588416</v>
      </c>
      <c r="BM44">
        <v>35048.369261527412</v>
      </c>
      <c r="BP44" s="244">
        <v>63707</v>
      </c>
    </row>
    <row r="45" spans="1:69" x14ac:dyDescent="0.25">
      <c r="A45" s="196">
        <v>2025</v>
      </c>
      <c r="B45" s="205">
        <v>74.399999999999991</v>
      </c>
      <c r="C45" s="164">
        <v>74.399999999999991</v>
      </c>
      <c r="D45" s="164">
        <v>65.037999999999997</v>
      </c>
      <c r="E45" s="164">
        <v>63.797999999999995</v>
      </c>
      <c r="F45" s="164">
        <v>62.557999999999993</v>
      </c>
      <c r="G45" s="205">
        <f t="shared" si="15"/>
        <v>78.622051199999987</v>
      </c>
      <c r="H45" s="164">
        <f t="shared" si="16"/>
        <v>78.622051199999987</v>
      </c>
      <c r="I45" s="164">
        <f t="shared" si="17"/>
        <v>68.728776424000003</v>
      </c>
      <c r="J45" s="164">
        <f t="shared" si="18"/>
        <v>67.418408903999989</v>
      </c>
      <c r="K45" s="206">
        <f t="shared" si="19"/>
        <v>66.108041383999989</v>
      </c>
      <c r="L45" s="214">
        <v>33786.150457864482</v>
      </c>
      <c r="M45" s="215">
        <v>33599.50346724243</v>
      </c>
      <c r="N45" s="215">
        <v>33518.811855752872</v>
      </c>
      <c r="O45" s="215">
        <v>33295.364564586002</v>
      </c>
      <c r="P45" s="216">
        <v>33035.646140715333</v>
      </c>
      <c r="Q45" s="214">
        <v>7371.4191452118275</v>
      </c>
      <c r="R45" s="215">
        <v>7371.4191452118275</v>
      </c>
      <c r="S45" s="215">
        <v>7371.4191452118275</v>
      </c>
      <c r="T45" s="215">
        <v>7371.4191452118275</v>
      </c>
      <c r="U45" s="216">
        <v>7371.4191452118275</v>
      </c>
      <c r="V45" s="216">
        <f>Model!O8+Model!P8</f>
        <v>43126.629833141873</v>
      </c>
      <c r="W45" s="214">
        <v>116807.30209297419</v>
      </c>
      <c r="X45" s="215">
        <v>116993.94908359624</v>
      </c>
      <c r="Y45" s="215">
        <v>117074.64069508581</v>
      </c>
      <c r="Z45" s="215">
        <v>117298.08798625268</v>
      </c>
      <c r="AA45" s="216">
        <v>111557.80641012333</v>
      </c>
      <c r="AB45" s="46">
        <f ca="1"/>
        <v>62800</v>
      </c>
      <c r="AC45" s="2">
        <f>'Govt supply'!X7/'Govt supply'!$X$5</f>
        <v>1.056748</v>
      </c>
      <c r="AD45">
        <f ca="1">Model!X8</f>
        <v>65.037999999999997</v>
      </c>
      <c r="AE45" s="20">
        <f ca="1">Model!AU8</f>
        <v>33518.811855752872</v>
      </c>
      <c r="AF45" s="20">
        <f>Model!BW8</f>
        <v>7371.4191452118275</v>
      </c>
      <c r="AG45" s="20">
        <f ca="1">Model!BH8</f>
        <v>117074.64069508581</v>
      </c>
      <c r="AH45">
        <f ca="1">Model!AC8/1000</f>
        <v>6</v>
      </c>
      <c r="AJ45" s="87">
        <f t="shared" si="2"/>
        <v>69541.361145794523</v>
      </c>
      <c r="AK45" s="87">
        <f t="shared" si="3"/>
        <v>69354.714155172478</v>
      </c>
      <c r="AL45" s="87">
        <f t="shared" si="4"/>
        <v>69274.022543682921</v>
      </c>
      <c r="AM45" s="87">
        <f t="shared" si="5"/>
        <v>69050.57525251605</v>
      </c>
      <c r="AN45" s="87">
        <f t="shared" si="6"/>
        <v>68790.856828645381</v>
      </c>
      <c r="AO45" s="183">
        <f t="shared" si="7"/>
        <v>12.514009815999998</v>
      </c>
      <c r="AP45" s="183">
        <f t="shared" si="8"/>
        <v>750.50431714914885</v>
      </c>
      <c r="AQ45" s="183">
        <f t="shared" si="9"/>
        <v>0</v>
      </c>
      <c r="AR45" s="183">
        <f t="shared" si="10"/>
        <v>5740.2815761293459</v>
      </c>
      <c r="AS45" s="183">
        <f t="shared" si="20"/>
        <v>750.50431714914157</v>
      </c>
      <c r="AT45" s="183">
        <f t="shared" si="11"/>
        <v>66.108041383999989</v>
      </c>
      <c r="AU45" s="87">
        <f t="shared" si="12"/>
        <v>33035.646140715333</v>
      </c>
      <c r="AV45" s="87">
        <f t="shared" si="13"/>
        <v>7371.4191452118275</v>
      </c>
      <c r="AW45" s="87">
        <f t="shared" si="14"/>
        <v>111557.80641012333</v>
      </c>
      <c r="AX45" s="87">
        <f t="shared" si="21"/>
        <v>68790.856828645381</v>
      </c>
      <c r="AZ45" s="87">
        <v>69700.308569491928</v>
      </c>
      <c r="BF45" s="37">
        <f>IF(Model!$B$5="Status quo",'Govt supply'!E6,'Govt supply'!M6)</f>
        <v>6</v>
      </c>
      <c r="BG45">
        <v>5186.1646310647311</v>
      </c>
      <c r="BH45">
        <v>6000</v>
      </c>
      <c r="BI45">
        <v>14013.622912062683</v>
      </c>
      <c r="BJ45">
        <v>0</v>
      </c>
      <c r="BK45">
        <v>8319.0243126254554</v>
      </c>
      <c r="BL45">
        <v>33518.811855752872</v>
      </c>
      <c r="BM45">
        <v>34524.587223575181</v>
      </c>
      <c r="BP45" s="244">
        <v>60307</v>
      </c>
    </row>
    <row r="46" spans="1:69" x14ac:dyDescent="0.25">
      <c r="A46" s="201">
        <v>2026</v>
      </c>
      <c r="B46" s="202">
        <v>89.279999999999987</v>
      </c>
      <c r="C46" s="203">
        <v>89.279999999999987</v>
      </c>
      <c r="D46" s="203">
        <v>68.224861999999987</v>
      </c>
      <c r="E46" s="203">
        <v>65.648141999999993</v>
      </c>
      <c r="F46" s="203">
        <v>63.121021999999989</v>
      </c>
      <c r="G46" s="202">
        <f t="shared" si="15"/>
        <v>96.233390668799984</v>
      </c>
      <c r="H46" s="203">
        <f t="shared" si="16"/>
        <v>96.233390668799984</v>
      </c>
      <c r="I46" s="203">
        <f t="shared" si="17"/>
        <v>73.538416198151509</v>
      </c>
      <c r="J46" s="203">
        <f t="shared" si="18"/>
        <v>70.761013617460307</v>
      </c>
      <c r="K46" s="204">
        <f t="shared" si="19"/>
        <v>68.037074031585107</v>
      </c>
      <c r="L46" s="211">
        <v>32560.90554991259</v>
      </c>
      <c r="M46" s="212">
        <v>32206.046687710015</v>
      </c>
      <c r="N46" s="212">
        <v>32039.037121732359</v>
      </c>
      <c r="O46" s="212">
        <v>31518.059583691378</v>
      </c>
      <c r="P46" s="213">
        <v>30820.52600400148</v>
      </c>
      <c r="Q46" s="211">
        <v>8802.7254148485081</v>
      </c>
      <c r="R46" s="212">
        <v>8802.7254148485081</v>
      </c>
      <c r="S46" s="212">
        <v>8802.7254148485081</v>
      </c>
      <c r="T46" s="212">
        <v>8802.7254148485081</v>
      </c>
      <c r="U46" s="213">
        <v>8802.7254148485081</v>
      </c>
      <c r="V46" s="213">
        <f>Model!O9+Model!P9</f>
        <v>42645.837668370375</v>
      </c>
      <c r="W46" s="211">
        <v>103672.76118176592</v>
      </c>
      <c r="X46" s="212">
        <v>104214.26703459055</v>
      </c>
      <c r="Y46" s="212">
        <v>104461.96821205776</v>
      </c>
      <c r="Z46" s="212">
        <v>105206.39304126562</v>
      </c>
      <c r="AA46" s="213">
        <v>94963.645044826175</v>
      </c>
      <c r="AB46" s="46">
        <f ca="1"/>
        <v>37954.34053498198</v>
      </c>
      <c r="AC46" s="2">
        <f>'Govt supply'!X8/'Govt supply'!$X$5</f>
        <v>1.0778829599999999</v>
      </c>
      <c r="AD46">
        <f ca="1">Model!X9</f>
        <v>68.224861999999987</v>
      </c>
      <c r="AE46" s="20">
        <f ca="1">Model!AU9</f>
        <v>32039.037121732359</v>
      </c>
      <c r="AF46" s="20">
        <f>Model!BW9</f>
        <v>8802.7254148485081</v>
      </c>
      <c r="AG46" s="20">
        <f ca="1">Model!BH9</f>
        <v>104461.96821205776</v>
      </c>
      <c r="AH46">
        <f ca="1">Model!AC9/1000</f>
        <v>5.2</v>
      </c>
      <c r="AJ46" s="87">
        <f t="shared" si="2"/>
        <v>66404.017803434457</v>
      </c>
      <c r="AK46" s="87">
        <f t="shared" si="3"/>
        <v>66049.158941231886</v>
      </c>
      <c r="AL46" s="87">
        <f t="shared" si="4"/>
        <v>65882.14937525423</v>
      </c>
      <c r="AM46" s="87">
        <f t="shared" si="5"/>
        <v>65361.171837213245</v>
      </c>
      <c r="AN46" s="87">
        <f t="shared" si="6"/>
        <v>64663.638257523344</v>
      </c>
      <c r="AO46" s="183">
        <f t="shared" si="7"/>
        <v>28.196316637214878</v>
      </c>
      <c r="AP46" s="183">
        <f t="shared" si="8"/>
        <v>1740.3795459111097</v>
      </c>
      <c r="AQ46" s="183">
        <f t="shared" si="9"/>
        <v>0</v>
      </c>
      <c r="AR46" s="183">
        <f t="shared" si="10"/>
        <v>10242.747996439444</v>
      </c>
      <c r="AS46" s="183">
        <f t="shared" si="20"/>
        <v>1740.3795459111134</v>
      </c>
      <c r="AT46" s="183">
        <f t="shared" si="11"/>
        <v>68.037074031585107</v>
      </c>
      <c r="AU46" s="87">
        <f t="shared" si="12"/>
        <v>30820.52600400148</v>
      </c>
      <c r="AV46" s="87">
        <f t="shared" si="13"/>
        <v>8802.7254148485081</v>
      </c>
      <c r="AW46" s="87">
        <f t="shared" si="14"/>
        <v>94963.645044826175</v>
      </c>
      <c r="AX46" s="87">
        <f t="shared" si="21"/>
        <v>64663.638257523344</v>
      </c>
      <c r="AZ46" s="87">
        <v>66526.613497394224</v>
      </c>
      <c r="BF46" s="37">
        <f>IF(Model!$B$5="Status quo",'Govt supply'!E7,'Govt supply'!M7)</f>
        <v>5.2</v>
      </c>
      <c r="BG46">
        <v>4593.174890235935</v>
      </c>
      <c r="BH46">
        <v>5200</v>
      </c>
      <c r="BI46">
        <v>11843.947724918669</v>
      </c>
      <c r="BJ46">
        <v>0</v>
      </c>
      <c r="BK46">
        <v>10401.914506577756</v>
      </c>
      <c r="BL46">
        <v>32039.037121732359</v>
      </c>
      <c r="BM46">
        <v>33373.811581567563</v>
      </c>
      <c r="BP46" s="244">
        <v>56907</v>
      </c>
    </row>
    <row r="47" spans="1:69" x14ac:dyDescent="0.25">
      <c r="A47" s="196">
        <v>2027</v>
      </c>
      <c r="B47" s="205">
        <v>107.13599999999998</v>
      </c>
      <c r="C47" s="164">
        <v>107.13599999999998</v>
      </c>
      <c r="D47" s="164">
        <v>71.567880237999987</v>
      </c>
      <c r="E47" s="164">
        <v>67.551938117999981</v>
      </c>
      <c r="F47" s="164">
        <v>63.689111197999985</v>
      </c>
      <c r="G47" s="205">
        <f t="shared" si="15"/>
        <v>117.78967017861119</v>
      </c>
      <c r="H47" s="164">
        <f t="shared" si="16"/>
        <v>117.78967017861119</v>
      </c>
      <c r="I47" s="164">
        <f t="shared" si="17"/>
        <v>78.684634563698154</v>
      </c>
      <c r="J47" s="164">
        <f t="shared" si="18"/>
        <v>74.269344672613997</v>
      </c>
      <c r="K47" s="206">
        <f t="shared" si="19"/>
        <v>70.022395851826772</v>
      </c>
      <c r="L47" s="214">
        <v>32501.18981010194</v>
      </c>
      <c r="M47" s="215">
        <v>32016.883516082104</v>
      </c>
      <c r="N47" s="215">
        <v>31775.904595526205</v>
      </c>
      <c r="O47" s="215">
        <v>30965.082719041566</v>
      </c>
      <c r="P47" s="216">
        <v>29771.674542078141</v>
      </c>
      <c r="Q47" s="214">
        <v>10491.059593582275</v>
      </c>
      <c r="R47" s="215">
        <v>10491.059593582275</v>
      </c>
      <c r="S47" s="215">
        <v>10491.059593582275</v>
      </c>
      <c r="T47" s="215">
        <v>10491.059593582275</v>
      </c>
      <c r="U47" s="216">
        <v>10491.059593582275</v>
      </c>
      <c r="V47" s="216">
        <f>Model!O10+Model!P10</f>
        <v>42471.708422497606</v>
      </c>
      <c r="W47" s="214">
        <v>92805.054273494898</v>
      </c>
      <c r="X47" s="215">
        <v>93830.866420339356</v>
      </c>
      <c r="Y47" s="215">
        <v>94319.546518362476</v>
      </c>
      <c r="Z47" s="215">
        <v>95874.793224054971</v>
      </c>
      <c r="AA47" s="216">
        <v>82525.453404578948</v>
      </c>
      <c r="AB47" s="46">
        <f ca="1"/>
        <v>38080.597980239108</v>
      </c>
      <c r="AC47" s="2">
        <f>'Govt supply'!X9/'Govt supply'!$X$5</f>
        <v>1.0994406192000001</v>
      </c>
      <c r="AD47">
        <f ca="1">Model!X10</f>
        <v>71.567880237999987</v>
      </c>
      <c r="AE47" s="20">
        <f ca="1">Model!AU10</f>
        <v>31775.904595526205</v>
      </c>
      <c r="AF47" s="20">
        <f>Model!BW10</f>
        <v>10491.059593582275</v>
      </c>
      <c r="AG47" s="20">
        <f ca="1">Model!BH10</f>
        <v>94319.546518362476</v>
      </c>
      <c r="AH47">
        <f ca="1">Model!AC10/1000</f>
        <v>4.3</v>
      </c>
      <c r="AJ47" s="87">
        <f t="shared" si="2"/>
        <v>64481.838639017267</v>
      </c>
      <c r="AK47" s="87">
        <f t="shared" si="3"/>
        <v>63997.532344997438</v>
      </c>
      <c r="AL47" s="87">
        <f t="shared" si="4"/>
        <v>63756.553424441532</v>
      </c>
      <c r="AM47" s="87">
        <f t="shared" si="5"/>
        <v>62945.731547956893</v>
      </c>
      <c r="AN47" s="87">
        <f t="shared" si="6"/>
        <v>61752.323370993472</v>
      </c>
      <c r="AO47" s="183">
        <f t="shared" si="7"/>
        <v>47.767274326784417</v>
      </c>
      <c r="AP47" s="183">
        <f t="shared" si="8"/>
        <v>2729.5152680237989</v>
      </c>
      <c r="AQ47" s="183">
        <f t="shared" si="9"/>
        <v>0</v>
      </c>
      <c r="AR47" s="183">
        <f t="shared" si="10"/>
        <v>13349.339819476023</v>
      </c>
      <c r="AS47" s="183">
        <f t="shared" si="20"/>
        <v>2729.5152680237952</v>
      </c>
      <c r="AT47" s="183">
        <f t="shared" si="11"/>
        <v>70.022395851826772</v>
      </c>
      <c r="AU47" s="87">
        <f t="shared" si="12"/>
        <v>29771.674542078141</v>
      </c>
      <c r="AV47" s="87">
        <f t="shared" si="13"/>
        <v>10491.059593582275</v>
      </c>
      <c r="AW47" s="87">
        <f t="shared" si="14"/>
        <v>82525.453404578948</v>
      </c>
      <c r="AX47" s="87">
        <f t="shared" si="21"/>
        <v>61752.323370993472</v>
      </c>
      <c r="AZ47" s="87">
        <v>63857.721327852705</v>
      </c>
      <c r="BF47" s="37">
        <f>IF(Model!$B$5="Status quo",'Govt supply'!E8,'Govt supply'!M8)</f>
        <v>4.3</v>
      </c>
      <c r="BG47">
        <v>4438.3437882456137</v>
      </c>
      <c r="BH47">
        <v>4300</v>
      </c>
      <c r="BI47">
        <v>10551.817965175831</v>
      </c>
      <c r="BJ47">
        <v>0</v>
      </c>
      <c r="BK47">
        <v>12485.742842104759</v>
      </c>
      <c r="BL47">
        <v>31775.904595526205</v>
      </c>
      <c r="BM47">
        <v>33364.415980359285</v>
      </c>
      <c r="BP47" s="244">
        <v>53507</v>
      </c>
    </row>
    <row r="48" spans="1:69" x14ac:dyDescent="0.25">
      <c r="A48" s="196">
        <v>2028</v>
      </c>
      <c r="B48" s="205">
        <v>128.56319999999997</v>
      </c>
      <c r="C48" s="164">
        <v>128.56319999999997</v>
      </c>
      <c r="D48" s="164">
        <v>75.074706369661982</v>
      </c>
      <c r="E48" s="164">
        <v>69.510944323421981</v>
      </c>
      <c r="F48" s="164">
        <v>64.262313198781982</v>
      </c>
      <c r="G48" s="205">
        <f t="shared" si="15"/>
        <v>144.17455629862008</v>
      </c>
      <c r="H48" s="164">
        <f t="shared" si="16"/>
        <v>144.17455629862008</v>
      </c>
      <c r="I48" s="164">
        <f t="shared" si="17"/>
        <v>84.190985290465747</v>
      </c>
      <c r="J48" s="164">
        <f t="shared" si="18"/>
        <v>77.951618781482196</v>
      </c>
      <c r="K48" s="206">
        <f t="shared" si="19"/>
        <v>72.065649362783063</v>
      </c>
      <c r="L48" s="214">
        <v>30922.218565258241</v>
      </c>
      <c r="M48" s="215">
        <v>30349.28009063637</v>
      </c>
      <c r="N48" s="215">
        <v>30049.505432444199</v>
      </c>
      <c r="O48" s="215">
        <v>29001.268395876079</v>
      </c>
      <c r="P48" s="216">
        <v>27356.300370388286</v>
      </c>
      <c r="Q48" s="214">
        <v>12440.868806763941</v>
      </c>
      <c r="R48" s="215">
        <v>12440.868806763941</v>
      </c>
      <c r="S48" s="215">
        <v>12440.868806763941</v>
      </c>
      <c r="T48" s="215">
        <v>12440.868806763941</v>
      </c>
      <c r="U48" s="216">
        <v>12440.868806763941</v>
      </c>
      <c r="V48" s="216">
        <f>Model!O11+Model!P11</f>
        <v>42503.967180799664</v>
      </c>
      <c r="W48" s="214">
        <v>82915.407338805118</v>
      </c>
      <c r="X48" s="215">
        <v>84514.157960271463</v>
      </c>
      <c r="Y48" s="215">
        <v>85302.61271648675</v>
      </c>
      <c r="Z48" s="215">
        <v>84606.096458747357</v>
      </c>
      <c r="AA48" s="216">
        <v>72901.724664759138</v>
      </c>
      <c r="AB48" s="46">
        <f ca="1"/>
        <v>37954.64047847531</v>
      </c>
      <c r="AC48" s="2">
        <f>'Govt supply'!X10/'Govt supply'!$X$5</f>
        <v>1.1214294315840001</v>
      </c>
      <c r="AD48">
        <f ca="1">Model!X11</f>
        <v>75.074706369661982</v>
      </c>
      <c r="AE48" s="20">
        <f ca="1">Model!AU11</f>
        <v>30049.505432444199</v>
      </c>
      <c r="AF48" s="20">
        <f>Model!BW11</f>
        <v>12440.868806763941</v>
      </c>
      <c r="AG48" s="20">
        <f ca="1">Model!BH11</f>
        <v>85302.61271648675</v>
      </c>
      <c r="AH48">
        <f ca="1">Model!AC11/1000</f>
        <v>3.3</v>
      </c>
      <c r="AJ48" s="87">
        <f t="shared" si="2"/>
        <v>60985.31693929396</v>
      </c>
      <c r="AK48" s="87">
        <f t="shared" si="3"/>
        <v>60412.378464672089</v>
      </c>
      <c r="AL48" s="87">
        <f t="shared" si="4"/>
        <v>60112.603806479921</v>
      </c>
      <c r="AM48" s="87">
        <f t="shared" si="5"/>
        <v>59064.366769911794</v>
      </c>
      <c r="AN48" s="87">
        <f t="shared" si="6"/>
        <v>57419.398744424005</v>
      </c>
      <c r="AO48" s="183">
        <f t="shared" si="7"/>
        <v>72.108906935837012</v>
      </c>
      <c r="AP48" s="183">
        <f t="shared" si="8"/>
        <v>3565.9181948699552</v>
      </c>
      <c r="AQ48" s="183">
        <f t="shared" si="9"/>
        <v>0</v>
      </c>
      <c r="AR48" s="183">
        <f t="shared" si="10"/>
        <v>12400.888051727612</v>
      </c>
      <c r="AS48" s="183">
        <f t="shared" si="20"/>
        <v>3565.9181948699552</v>
      </c>
      <c r="AT48" s="183">
        <f t="shared" si="11"/>
        <v>72.065649362783063</v>
      </c>
      <c r="AU48" s="87">
        <f t="shared" si="12"/>
        <v>27356.300370388286</v>
      </c>
      <c r="AV48" s="87">
        <f t="shared" si="13"/>
        <v>12440.868806763941</v>
      </c>
      <c r="AW48" s="87">
        <f t="shared" si="14"/>
        <v>72901.724664759138</v>
      </c>
      <c r="AX48" s="87">
        <f t="shared" si="21"/>
        <v>57419.398744424005</v>
      </c>
      <c r="AZ48" s="87">
        <v>60703.389645464289</v>
      </c>
      <c r="BF48" s="37">
        <f>IF(Model!$B$5="Status quo",'Govt supply'!E9,'Govt supply'!M9)</f>
        <v>3.3</v>
      </c>
      <c r="BG48">
        <v>4098.1251000483962</v>
      </c>
      <c r="BH48">
        <v>3300</v>
      </c>
      <c r="BI48">
        <v>8499.3551669894659</v>
      </c>
      <c r="BJ48">
        <v>0</v>
      </c>
      <c r="BK48">
        <v>14152.025165406336</v>
      </c>
      <c r="BL48">
        <v>30049.505432444199</v>
      </c>
      <c r="BM48">
        <v>31815.330342622627</v>
      </c>
      <c r="BP48" s="244">
        <v>50108</v>
      </c>
    </row>
    <row r="49" spans="1:68" x14ac:dyDescent="0.25">
      <c r="A49" s="196">
        <v>2029</v>
      </c>
      <c r="B49" s="205">
        <v>154.27583999999996</v>
      </c>
      <c r="C49" s="164">
        <v>154.27583999999996</v>
      </c>
      <c r="D49" s="164">
        <v>78.753366981775415</v>
      </c>
      <c r="E49" s="164">
        <v>71.526761708801217</v>
      </c>
      <c r="F49" s="164">
        <v>64.840674017571018</v>
      </c>
      <c r="G49" s="205">
        <f t="shared" si="15"/>
        <v>176.469656909511</v>
      </c>
      <c r="H49" s="164">
        <f t="shared" si="16"/>
        <v>176.469656909511</v>
      </c>
      <c r="I49" s="164">
        <f t="shared" si="17"/>
        <v>90.082670441092546</v>
      </c>
      <c r="J49" s="164">
        <f t="shared" si="18"/>
        <v>81.81646004066809</v>
      </c>
      <c r="K49" s="206">
        <f t="shared" si="19"/>
        <v>74.168525011189089</v>
      </c>
      <c r="L49" s="214">
        <v>30592.776023558781</v>
      </c>
      <c r="M49" s="215">
        <v>29967.314470262449</v>
      </c>
      <c r="N49" s="215">
        <v>29618.14745867642</v>
      </c>
      <c r="O49" s="215">
        <v>28394.787497110985</v>
      </c>
      <c r="P49" s="216">
        <v>26387.860537755441</v>
      </c>
      <c r="Q49" s="214">
        <v>14012.390674069144</v>
      </c>
      <c r="R49" s="215">
        <v>14012.390674069144</v>
      </c>
      <c r="S49" s="215">
        <v>14012.390674069144</v>
      </c>
      <c r="T49" s="215">
        <v>14012.390674069144</v>
      </c>
      <c r="U49" s="216">
        <v>14012.390674069144</v>
      </c>
      <c r="V49" s="216">
        <f>Model!O12+Model!P12</f>
        <v>42372.381337671752</v>
      </c>
      <c r="W49" s="214">
        <v>73361.316434928434</v>
      </c>
      <c r="X49" s="215">
        <v>75585.5286096911</v>
      </c>
      <c r="Y49" s="215">
        <v>76723.15037749242</v>
      </c>
      <c r="Z49" s="215">
        <v>74849.994081318466</v>
      </c>
      <c r="AA49" s="216">
        <v>65152.549246685783</v>
      </c>
      <c r="AB49" s="46">
        <f ca="1"/>
        <v>37539.444628622907</v>
      </c>
      <c r="AC49" s="2">
        <f>'Govt supply'!X11/'Govt supply'!$X$5</f>
        <v>1.1438580202156803</v>
      </c>
      <c r="AD49">
        <f ca="1">Model!X12</f>
        <v>78.753366981775415</v>
      </c>
      <c r="AE49" s="20">
        <f ca="1">Model!AU12</f>
        <v>29618.14745867642</v>
      </c>
      <c r="AF49" s="20">
        <f>Model!BW12</f>
        <v>14012.390674069144</v>
      </c>
      <c r="AG49" s="20">
        <f ca="1">Model!BH12</f>
        <v>76723.15037749242</v>
      </c>
      <c r="AH49">
        <f ca="1">Model!AC12/1000</f>
        <v>2.4</v>
      </c>
      <c r="AJ49" s="87">
        <f t="shared" si="2"/>
        <v>58952.766687161391</v>
      </c>
      <c r="AK49" s="87">
        <f t="shared" si="3"/>
        <v>58327.305133865055</v>
      </c>
      <c r="AL49" s="87">
        <f t="shared" si="4"/>
        <v>57978.138122279022</v>
      </c>
      <c r="AM49" s="87">
        <f t="shared" si="5"/>
        <v>56754.778160713584</v>
      </c>
      <c r="AN49" s="87">
        <f t="shared" si="6"/>
        <v>54747.851201358048</v>
      </c>
      <c r="AO49" s="183">
        <f t="shared" si="7"/>
        <v>102.30113189832191</v>
      </c>
      <c r="AP49" s="183">
        <f t="shared" si="8"/>
        <v>4204.9154858033398</v>
      </c>
      <c r="AQ49" s="183">
        <f t="shared" si="9"/>
        <v>0</v>
      </c>
      <c r="AR49" s="183">
        <f t="shared" si="10"/>
        <v>11570.601130806637</v>
      </c>
      <c r="AS49" s="183">
        <f t="shared" si="20"/>
        <v>4204.9154858033435</v>
      </c>
      <c r="AT49" s="183">
        <f t="shared" si="11"/>
        <v>74.168525011189089</v>
      </c>
      <c r="AU49" s="87">
        <f t="shared" si="12"/>
        <v>26387.860537755441</v>
      </c>
      <c r="AV49" s="87">
        <f t="shared" si="13"/>
        <v>14012.390674069144</v>
      </c>
      <c r="AW49" s="87">
        <f t="shared" si="14"/>
        <v>65152.549246685783</v>
      </c>
      <c r="AX49" s="87">
        <f t="shared" si="21"/>
        <v>54747.851201358048</v>
      </c>
      <c r="AZ49" s="87">
        <v>58295.868785954684</v>
      </c>
      <c r="BF49" s="37">
        <f>IF(Model!$B$5="Status quo",'Govt supply'!E10,'Govt supply'!M10)</f>
        <v>2.4</v>
      </c>
      <c r="BG49">
        <v>4042.8539980580772</v>
      </c>
      <c r="BH49">
        <v>2400</v>
      </c>
      <c r="BI49">
        <v>8006.4174567843784</v>
      </c>
      <c r="BJ49">
        <v>0</v>
      </c>
      <c r="BK49">
        <v>15168.876003833966</v>
      </c>
      <c r="BL49">
        <v>29618.14745867642</v>
      </c>
      <c r="BM49">
        <v>31497.431700106798</v>
      </c>
      <c r="BP49" s="244">
        <v>46708</v>
      </c>
    </row>
    <row r="50" spans="1:68" x14ac:dyDescent="0.25">
      <c r="A50" s="198">
        <v>2030</v>
      </c>
      <c r="B50" s="207">
        <v>185.13100799999995</v>
      </c>
      <c r="C50" s="208">
        <v>185.13100799999995</v>
      </c>
      <c r="D50" s="208">
        <v>82.61228196388241</v>
      </c>
      <c r="E50" s="208">
        <v>73.601037798356444</v>
      </c>
      <c r="F50" s="208">
        <v>65.424240083729146</v>
      </c>
      <c r="G50" s="207">
        <f t="shared" si="15"/>
        <v>215.99886005724147</v>
      </c>
      <c r="H50" s="208">
        <f t="shared" si="16"/>
        <v>215.99886005724147</v>
      </c>
      <c r="I50" s="208">
        <f t="shared" si="17"/>
        <v>96.386655718560206</v>
      </c>
      <c r="J50" s="208">
        <f t="shared" si="18"/>
        <v>85.872920129484399</v>
      </c>
      <c r="K50" s="209">
        <f t="shared" si="19"/>
        <v>76.332762571015564</v>
      </c>
      <c r="L50" s="217">
        <v>29401.107874837871</v>
      </c>
      <c r="M50" s="218">
        <v>28754.130737282729</v>
      </c>
      <c r="N50" s="218">
        <v>28355.806536382588</v>
      </c>
      <c r="O50" s="218">
        <v>27011.773485002232</v>
      </c>
      <c r="P50" s="219">
        <v>24735.042262679297</v>
      </c>
      <c r="Q50" s="217">
        <v>14973.21165809153</v>
      </c>
      <c r="R50" s="218">
        <v>14973.21165809153</v>
      </c>
      <c r="S50" s="218">
        <v>14973.21165809153</v>
      </c>
      <c r="T50" s="218">
        <v>14973.21165809153</v>
      </c>
      <c r="U50" s="219">
        <v>14973.21165809153</v>
      </c>
      <c r="V50" s="219">
        <f>Model!O13+Model!P13</f>
        <v>42183.100126502919</v>
      </c>
      <c r="W50" s="217">
        <v>66433.856673782808</v>
      </c>
      <c r="X50" s="218">
        <v>69224.886853473043</v>
      </c>
      <c r="Y50" s="218">
        <v>70760.832822174503</v>
      </c>
      <c r="Z50" s="218">
        <v>68531.709577380912</v>
      </c>
      <c r="AA50" s="219">
        <v>61110.995965071168</v>
      </c>
      <c r="AB50" s="46">
        <f ca="1"/>
        <v>36779.379103480664</v>
      </c>
      <c r="AC50" s="2">
        <f>'Govt supply'!X12/'Govt supply'!$X$5</f>
        <v>1.1667351806199939</v>
      </c>
      <c r="AD50">
        <f ca="1">Model!X13</f>
        <v>82.61228196388241</v>
      </c>
      <c r="AE50" s="20">
        <f ca="1">Model!AU13</f>
        <v>28355.806536382588</v>
      </c>
      <c r="AF50" s="20">
        <f>Model!BW13</f>
        <v>14973.21165809153</v>
      </c>
      <c r="AG50" s="20">
        <f ca="1">Model!BH13</f>
        <v>70760.832822174503</v>
      </c>
      <c r="AH50">
        <f ca="1">Model!AC13/1000</f>
        <v>1.7</v>
      </c>
      <c r="AJ50" s="87">
        <f t="shared" si="2"/>
        <v>56610.996343249266</v>
      </c>
      <c r="AK50" s="87">
        <f t="shared" si="3"/>
        <v>55964.019205694116</v>
      </c>
      <c r="AL50" s="87">
        <f t="shared" si="4"/>
        <v>55565.695004793975</v>
      </c>
      <c r="AM50" s="87">
        <f t="shared" si="5"/>
        <v>54221.661953413612</v>
      </c>
      <c r="AN50" s="87">
        <f t="shared" si="6"/>
        <v>51944.930731090688</v>
      </c>
      <c r="AO50" s="183">
        <f t="shared" si="7"/>
        <v>139.66609748622591</v>
      </c>
      <c r="AP50" s="183">
        <f t="shared" si="8"/>
        <v>4666.0656121585744</v>
      </c>
      <c r="AQ50" s="183">
        <f t="shared" si="9"/>
        <v>0</v>
      </c>
      <c r="AR50" s="183">
        <f t="shared" si="10"/>
        <v>9649.8368571033352</v>
      </c>
      <c r="AS50" s="183">
        <f t="shared" si="20"/>
        <v>4666.065612158578</v>
      </c>
      <c r="AT50" s="183">
        <f t="shared" si="11"/>
        <v>76.332762571015564</v>
      </c>
      <c r="AU50" s="87">
        <f t="shared" si="12"/>
        <v>24735.042262679297</v>
      </c>
      <c r="AV50" s="87">
        <f t="shared" si="13"/>
        <v>14973.21165809153</v>
      </c>
      <c r="AW50" s="87">
        <f t="shared" si="14"/>
        <v>61110.995965071168</v>
      </c>
      <c r="AX50" s="87">
        <f t="shared" si="21"/>
        <v>51944.930731090688</v>
      </c>
      <c r="AZ50" s="87">
        <v>55377.138276367004</v>
      </c>
      <c r="BF50" s="37">
        <f>IF(Model!$B$5="Status quo",'Govt supply'!E11,'Govt supply'!M11)</f>
        <v>1.7</v>
      </c>
      <c r="BG50">
        <v>3987.5828960677554</v>
      </c>
      <c r="BH50">
        <v>1700</v>
      </c>
      <c r="BI50">
        <v>2862.8387740689777</v>
      </c>
      <c r="BJ50">
        <v>4241.7638279454368</v>
      </c>
      <c r="BK50">
        <v>15563.621038300418</v>
      </c>
      <c r="BL50">
        <v>28355.806536382588</v>
      </c>
      <c r="BM50">
        <v>30299.180745435711</v>
      </c>
      <c r="BP50" s="244">
        <v>43308</v>
      </c>
    </row>
    <row r="51" spans="1:68" x14ac:dyDescent="0.25">
      <c r="A51" s="196">
        <v>2031</v>
      </c>
      <c r="B51" s="205">
        <v>166.61790719999996</v>
      </c>
      <c r="C51" s="164">
        <v>166.61790719999996</v>
      </c>
      <c r="D51" s="164">
        <v>80.588281055767297</v>
      </c>
      <c r="E51" s="164">
        <v>72.533822750280279</v>
      </c>
      <c r="F51" s="164">
        <v>65.129831003352365</v>
      </c>
      <c r="G51" s="205">
        <f t="shared" si="15"/>
        <v>198.2869535325477</v>
      </c>
      <c r="H51" s="164">
        <f t="shared" si="16"/>
        <v>198.2869535325477</v>
      </c>
      <c r="I51" s="164">
        <f t="shared" si="17"/>
        <v>95.905686306524601</v>
      </c>
      <c r="J51" s="164">
        <f t="shared" si="18"/>
        <v>86.320318043359023</v>
      </c>
      <c r="K51" s="206">
        <f t="shared" si="19"/>
        <v>77.509050442234923</v>
      </c>
      <c r="L51" s="214">
        <v>29138.34454500092</v>
      </c>
      <c r="M51" s="215">
        <v>28497.979096869673</v>
      </c>
      <c r="N51" s="215">
        <v>28040.004956836041</v>
      </c>
      <c r="O51" s="215">
        <v>26616.866770543551</v>
      </c>
      <c r="P51" s="216">
        <v>24145.758882674705</v>
      </c>
      <c r="Q51" s="214">
        <v>15480.035631084085</v>
      </c>
      <c r="R51" s="215">
        <v>15480.035631084085</v>
      </c>
      <c r="S51" s="215">
        <v>15480.035631084085</v>
      </c>
      <c r="T51" s="215">
        <v>15480.035631084085</v>
      </c>
      <c r="U51" s="216">
        <v>15480.035631084085</v>
      </c>
      <c r="V51" s="216">
        <f>Model!O14+Model!P14</f>
        <v>41474.633000127411</v>
      </c>
      <c r="W51" s="214">
        <v>65120.161203821175</v>
      </c>
      <c r="X51" s="215">
        <v>68551.556831642665</v>
      </c>
      <c r="Y51" s="215">
        <v>70545.476940377761</v>
      </c>
      <c r="Z51" s="215">
        <v>64039.49188187666</v>
      </c>
      <c r="AA51" s="216">
        <v>59089.886157435758</v>
      </c>
      <c r="AB51" s="46">
        <f ca="1"/>
        <v>35595.123446342128</v>
      </c>
      <c r="AC51" s="2">
        <f>'Govt supply'!X13/'Govt supply'!$X$5</f>
        <v>1.1900698842323938</v>
      </c>
      <c r="AD51">
        <f ca="1">Model!X14</f>
        <v>80.588281055767297</v>
      </c>
      <c r="AE51" s="20">
        <f ca="1">Model!AU14</f>
        <v>28040.004956836041</v>
      </c>
      <c r="AF51" s="20">
        <f ca="1">Model!BW14</f>
        <v>15480.035631084085</v>
      </c>
      <c r="AG51" s="20">
        <f ca="1">Model!BH14</f>
        <v>70545.476940377761</v>
      </c>
      <c r="AH51">
        <f ca="1">Model!AC14/1000</f>
        <v>5.7</v>
      </c>
      <c r="AJ51" s="87">
        <f t="shared" si="2"/>
        <v>55132.941914044248</v>
      </c>
      <c r="AK51" s="87">
        <f t="shared" si="3"/>
        <v>54492.576465912993</v>
      </c>
      <c r="AL51" s="87">
        <f t="shared" si="4"/>
        <v>54034.602325879358</v>
      </c>
      <c r="AM51" s="87">
        <f t="shared" si="5"/>
        <v>52611.464139586868</v>
      </c>
      <c r="AN51" s="87">
        <f t="shared" si="6"/>
        <v>50140.356251718025</v>
      </c>
      <c r="AO51" s="183">
        <f t="shared" si="7"/>
        <v>120.77790309031278</v>
      </c>
      <c r="AP51" s="183">
        <f t="shared" si="8"/>
        <v>4992.5856623262152</v>
      </c>
      <c r="AQ51" s="183">
        <f t="shared" si="9"/>
        <v>0</v>
      </c>
      <c r="AR51" s="183">
        <f t="shared" si="10"/>
        <v>11455.590782942003</v>
      </c>
      <c r="AS51" s="183">
        <f t="shared" si="20"/>
        <v>4992.5856623262225</v>
      </c>
      <c r="AT51" s="183">
        <f t="shared" si="11"/>
        <v>77.509050442234923</v>
      </c>
      <c r="AU51" s="87">
        <f t="shared" si="12"/>
        <v>24145.758882674705</v>
      </c>
      <c r="AV51" s="87">
        <f t="shared" si="13"/>
        <v>15480.035631084085</v>
      </c>
      <c r="AW51" s="87">
        <f t="shared" si="14"/>
        <v>59089.886157435758</v>
      </c>
      <c r="AX51" s="87">
        <f t="shared" si="21"/>
        <v>50140.356251718025</v>
      </c>
      <c r="AZ51" s="87">
        <v>52848.969092993066</v>
      </c>
      <c r="BF51" s="37">
        <f>IF(Model!$B$5="Status quo",'Govt supply'!E12,'Govt supply'!M12)</f>
        <v>5.7</v>
      </c>
      <c r="BG51">
        <v>3877.0406920871146</v>
      </c>
      <c r="BH51">
        <v>5700</v>
      </c>
      <c r="BI51">
        <v>0</v>
      </c>
      <c r="BJ51">
        <v>2734.2320641222541</v>
      </c>
      <c r="BK51">
        <v>15728.732200626675</v>
      </c>
      <c r="BL51">
        <v>28040.004956836041</v>
      </c>
      <c r="BM51">
        <v>30009.8420200826</v>
      </c>
    </row>
    <row r="52" spans="1:68" x14ac:dyDescent="0.25">
      <c r="A52" s="196">
        <v>2032</v>
      </c>
      <c r="B52" s="205">
        <v>149.95611647999996</v>
      </c>
      <c r="C52" s="164">
        <v>149.95611647999996</v>
      </c>
      <c r="D52" s="164">
        <v>78.613868169900996</v>
      </c>
      <c r="E52" s="164">
        <v>71.482082320401219</v>
      </c>
      <c r="F52" s="164">
        <v>64.836746763837283</v>
      </c>
      <c r="G52" s="205">
        <f t="shared" si="15"/>
        <v>182.02742334287879</v>
      </c>
      <c r="H52" s="164">
        <f t="shared" si="16"/>
        <v>182.02742334287879</v>
      </c>
      <c r="I52" s="164">
        <f t="shared" si="17"/>
        <v>95.427116931855053</v>
      </c>
      <c r="J52" s="164">
        <f t="shared" si="18"/>
        <v>86.770046900364946</v>
      </c>
      <c r="K52" s="206">
        <f t="shared" si="19"/>
        <v>78.70346490954978</v>
      </c>
      <c r="L52" s="214">
        <v>28705.563497283198</v>
      </c>
      <c r="M52" s="215">
        <v>28088.204509988151</v>
      </c>
      <c r="N52" s="215">
        <v>27567.613631630895</v>
      </c>
      <c r="O52" s="215">
        <v>26094.747202251205</v>
      </c>
      <c r="P52" s="216">
        <v>23486.498140803193</v>
      </c>
      <c r="Q52" s="214">
        <v>15859.673383081794</v>
      </c>
      <c r="R52" s="215">
        <v>15859.673383081794</v>
      </c>
      <c r="S52" s="215">
        <v>15859.673383081794</v>
      </c>
      <c r="T52" s="215">
        <v>15859.673383081794</v>
      </c>
      <c r="U52" s="216">
        <v>15859.673383081794</v>
      </c>
      <c r="V52" s="216">
        <f>Model!O15+Model!P15</f>
        <v>40872.120822271841</v>
      </c>
      <c r="W52" s="214">
        <v>65071.67977394531</v>
      </c>
      <c r="X52" s="215">
        <v>69120.434389061847</v>
      </c>
      <c r="Y52" s="215">
        <v>71634.945376154195</v>
      </c>
      <c r="Z52" s="215">
        <v>61501.826747032785</v>
      </c>
      <c r="AA52" s="216">
        <v>59160.470084039902</v>
      </c>
      <c r="AB52" s="46">
        <f ca="1"/>
        <v>34381.127555927204</v>
      </c>
      <c r="AC52" s="2">
        <f>'Govt supply'!X14/'Govt supply'!$X$5</f>
        <v>1.2138712819170419</v>
      </c>
      <c r="AD52">
        <f ca="1">Model!X15</f>
        <v>78.613868169900996</v>
      </c>
      <c r="AE52" s="20">
        <f ca="1">Model!AU15</f>
        <v>27567.613631630895</v>
      </c>
      <c r="AF52" s="20">
        <f ca="1">Model!BW15</f>
        <v>15859.673383081794</v>
      </c>
      <c r="AG52" s="20">
        <f ca="1">Model!BH15</f>
        <v>71634.945376154195</v>
      </c>
      <c r="AH52">
        <f ca="1">Model!AC15/1000</f>
        <v>5.0999999999999996</v>
      </c>
      <c r="AJ52" s="87">
        <f t="shared" si="2"/>
        <v>53718.010936473234</v>
      </c>
      <c r="AK52" s="87">
        <f t="shared" si="3"/>
        <v>53100.651949178195</v>
      </c>
      <c r="AL52" s="87">
        <f t="shared" si="4"/>
        <v>52580.061070820942</v>
      </c>
      <c r="AM52" s="87">
        <f t="shared" si="5"/>
        <v>51107.194641441252</v>
      </c>
      <c r="AN52" s="87">
        <f t="shared" si="6"/>
        <v>48498.945579993233</v>
      </c>
      <c r="AO52" s="183">
        <f t="shared" si="7"/>
        <v>103.32395843332901</v>
      </c>
      <c r="AP52" s="183">
        <f t="shared" si="8"/>
        <v>5219.065356480005</v>
      </c>
      <c r="AQ52" s="183">
        <f t="shared" si="9"/>
        <v>0</v>
      </c>
      <c r="AR52" s="183">
        <f t="shared" si="10"/>
        <v>12474.475292114294</v>
      </c>
      <c r="AS52" s="183">
        <f t="shared" si="20"/>
        <v>5219.0653564800014</v>
      </c>
      <c r="AT52" s="183">
        <f t="shared" si="11"/>
        <v>78.70346490954978</v>
      </c>
      <c r="AU52" s="87">
        <f t="shared" si="12"/>
        <v>23486.498140803193</v>
      </c>
      <c r="AV52" s="87">
        <f t="shared" si="13"/>
        <v>15859.673383081794</v>
      </c>
      <c r="AW52" s="87">
        <f t="shared" si="14"/>
        <v>59160.470084039902</v>
      </c>
      <c r="AX52" s="87">
        <f t="shared" si="21"/>
        <v>48498.945579993233</v>
      </c>
      <c r="AZ52" s="87">
        <v>50431.497938212779</v>
      </c>
      <c r="BF52" s="37">
        <f>IF(Model!$B$5="Status quo",'Govt supply'!E13,'Govt supply'!M13)</f>
        <v>5.0999999999999996</v>
      </c>
      <c r="BG52">
        <v>3766.4984881064738</v>
      </c>
      <c r="BH52">
        <v>5100</v>
      </c>
      <c r="BI52">
        <v>0</v>
      </c>
      <c r="BJ52">
        <v>2713.8159322571119</v>
      </c>
      <c r="BK52">
        <v>15987.299211267309</v>
      </c>
      <c r="BL52">
        <v>27567.613631630895</v>
      </c>
      <c r="BM52">
        <v>29540.084884014293</v>
      </c>
    </row>
    <row r="53" spans="1:68" x14ac:dyDescent="0.25">
      <c r="A53" s="196">
        <v>2033</v>
      </c>
      <c r="B53" s="205">
        <v>134.96050483199997</v>
      </c>
      <c r="C53" s="164">
        <v>134.96050483199997</v>
      </c>
      <c r="D53" s="164">
        <v>76.687828399738422</v>
      </c>
      <c r="E53" s="164">
        <v>70.4455921267554</v>
      </c>
      <c r="F53" s="164">
        <v>64.544981403400016</v>
      </c>
      <c r="G53" s="205">
        <f t="shared" si="15"/>
        <v>167.10117462876272</v>
      </c>
      <c r="H53" s="164">
        <f t="shared" si="16"/>
        <v>167.10117462876272</v>
      </c>
      <c r="I53" s="164">
        <f t="shared" si="17"/>
        <v>94.950935618365079</v>
      </c>
      <c r="J53" s="164">
        <f t="shared" si="18"/>
        <v>87.222118844715837</v>
      </c>
      <c r="K53" s="206">
        <f t="shared" si="19"/>
        <v>79.916285303805935</v>
      </c>
      <c r="L53" s="214">
        <v>28279.474806195081</v>
      </c>
      <c r="M53" s="215">
        <v>27693.257002006703</v>
      </c>
      <c r="N53" s="215">
        <v>27112.335138373543</v>
      </c>
      <c r="O53" s="215">
        <v>25609.546498518903</v>
      </c>
      <c r="P53" s="216">
        <v>22904.910523020335</v>
      </c>
      <c r="Q53" s="214">
        <v>16293.36711152498</v>
      </c>
      <c r="R53" s="215">
        <v>16293.36711152498</v>
      </c>
      <c r="S53" s="215">
        <v>16293.36711152498</v>
      </c>
      <c r="T53" s="215">
        <v>16293.36711152498</v>
      </c>
      <c r="U53" s="216">
        <v>16293.36711152498</v>
      </c>
      <c r="V53" s="216">
        <f>Model!O16+Model!P16</f>
        <v>39943.65211367164</v>
      </c>
      <c r="W53" s="214">
        <v>66882.024965633202</v>
      </c>
      <c r="X53" s="215">
        <v>71516.997384938106</v>
      </c>
      <c r="Y53" s="215">
        <v>70212.430235663618</v>
      </c>
      <c r="Z53" s="215">
        <v>61582.100246396847</v>
      </c>
      <c r="AA53" s="216">
        <v>61945.379558902539</v>
      </c>
      <c r="AB53" s="46">
        <f ca="1"/>
        <v>33145.02067742747</v>
      </c>
      <c r="AC53" s="2">
        <f>'Govt supply'!X15/'Govt supply'!$X$5</f>
        <v>1.2381487075553825</v>
      </c>
      <c r="AD53">
        <f ca="1">Model!X16</f>
        <v>76.687828399738422</v>
      </c>
      <c r="AE53" s="20">
        <f ca="1">Model!AU16</f>
        <v>27112.335138373543</v>
      </c>
      <c r="AF53" s="20">
        <f ca="1">Model!BW16</f>
        <v>16293.36711152498</v>
      </c>
      <c r="AG53" s="20">
        <f ca="1">Model!BH16</f>
        <v>70212.430235663618</v>
      </c>
      <c r="AH53">
        <f ca="1">Model!AC16/1000</f>
        <v>0</v>
      </c>
      <c r="AJ53" s="87">
        <f t="shared" si="2"/>
        <v>51929.759808341732</v>
      </c>
      <c r="AK53" s="87">
        <f t="shared" si="3"/>
        <v>51343.542004153358</v>
      </c>
      <c r="AL53" s="87">
        <f t="shared" si="4"/>
        <v>50762.620140520208</v>
      </c>
      <c r="AM53" s="87">
        <f t="shared" si="5"/>
        <v>49259.831500665568</v>
      </c>
      <c r="AN53" s="87">
        <f t="shared" si="6"/>
        <v>46555.195525166993</v>
      </c>
      <c r="AO53" s="183">
        <f t="shared" si="7"/>
        <v>87.184889324956785</v>
      </c>
      <c r="AP53" s="183">
        <f t="shared" si="8"/>
        <v>5374.5642831747464</v>
      </c>
      <c r="AQ53" s="183">
        <f t="shared" si="9"/>
        <v>0</v>
      </c>
      <c r="AR53" s="183">
        <f t="shared" si="10"/>
        <v>9934.8971385412588</v>
      </c>
      <c r="AS53" s="183">
        <f t="shared" si="20"/>
        <v>5374.5642831747391</v>
      </c>
      <c r="AT53" s="183">
        <f t="shared" si="11"/>
        <v>79.916285303805935</v>
      </c>
      <c r="AU53" s="87">
        <f t="shared" si="12"/>
        <v>22904.910523020335</v>
      </c>
      <c r="AV53" s="87">
        <f t="shared" si="13"/>
        <v>16293.36711152498</v>
      </c>
      <c r="AW53" s="87">
        <f t="shared" si="14"/>
        <v>61582.100246396847</v>
      </c>
      <c r="AX53" s="87">
        <f t="shared" si="21"/>
        <v>46555.195525166993</v>
      </c>
      <c r="AZ53" s="87">
        <v>48032.97224724172</v>
      </c>
      <c r="BF53" s="37">
        <f>IF(Model!$B$5="Status quo",'Govt supply'!E14,'Govt supply'!M14)</f>
        <v>4.4000000000000004</v>
      </c>
      <c r="BG53">
        <v>3655.9562841258321</v>
      </c>
      <c r="BH53">
        <v>0</v>
      </c>
      <c r="BI53">
        <v>0</v>
      </c>
      <c r="BJ53">
        <v>6876.6419177073112</v>
      </c>
      <c r="BK53">
        <v>16579.736936540397</v>
      </c>
      <c r="BL53">
        <v>27112.335138373543</v>
      </c>
      <c r="BM53">
        <v>29072.833920902092</v>
      </c>
    </row>
    <row r="54" spans="1:68" x14ac:dyDescent="0.25">
      <c r="A54" s="196">
        <v>2034</v>
      </c>
      <c r="B54" s="205">
        <v>121.46445434879998</v>
      </c>
      <c r="C54" s="164">
        <v>121.46445434879998</v>
      </c>
      <c r="D54" s="164">
        <v>74.808976603944828</v>
      </c>
      <c r="E54" s="164">
        <v>69.424131040917445</v>
      </c>
      <c r="F54" s="164">
        <v>64.254528987084726</v>
      </c>
      <c r="G54" s="205">
        <f t="shared" si="15"/>
        <v>153.39887830920418</v>
      </c>
      <c r="H54" s="164">
        <f t="shared" si="16"/>
        <v>153.39887830920418</v>
      </c>
      <c r="I54" s="164">
        <f t="shared" si="17"/>
        <v>94.477130449629442</v>
      </c>
      <c r="J54" s="164">
        <f t="shared" si="18"/>
        <v>87.676546083896795</v>
      </c>
      <c r="K54" s="206">
        <f t="shared" si="19"/>
        <v>81.147795260337602</v>
      </c>
      <c r="L54" s="214">
        <v>27893.815329398527</v>
      </c>
      <c r="M54" s="215">
        <v>27341.507129059584</v>
      </c>
      <c r="N54" s="215">
        <v>26705.92705709059</v>
      </c>
      <c r="O54" s="215">
        <v>25186.209416031706</v>
      </c>
      <c r="P54" s="216">
        <v>22413.149175706349</v>
      </c>
      <c r="Q54" s="214">
        <v>16890.169972046238</v>
      </c>
      <c r="R54" s="215">
        <v>16890.169972046238</v>
      </c>
      <c r="S54" s="215">
        <v>16890.169972046238</v>
      </c>
      <c r="T54" s="215">
        <v>16890.169972046238</v>
      </c>
      <c r="U54" s="216">
        <v>16890.169972046238</v>
      </c>
      <c r="V54" s="216">
        <f>Model!O17+Model!P17</f>
        <v>38948.915455223985</v>
      </c>
      <c r="W54" s="214">
        <v>69340.426972022484</v>
      </c>
      <c r="X54" s="215">
        <v>74527.707591666345</v>
      </c>
      <c r="Y54" s="215">
        <v>70358.720514360844</v>
      </c>
      <c r="Z54" s="215">
        <v>63248.108166152961</v>
      </c>
      <c r="AA54" s="216">
        <v>66384.447718984011</v>
      </c>
      <c r="AB54" s="46">
        <f ca="1"/>
        <v>31894.618246021564</v>
      </c>
      <c r="AC54" s="2">
        <f>'Govt supply'!X16/'Govt supply'!$X$5</f>
        <v>1.2629116817064903</v>
      </c>
      <c r="AD54">
        <f ca="1">Model!X17</f>
        <v>74.808976603944828</v>
      </c>
      <c r="AE54" s="20">
        <f ca="1">Model!AU17</f>
        <v>26705.92705709059</v>
      </c>
      <c r="AF54" s="20">
        <f ca="1">Model!BW17</f>
        <v>16890.169972046238</v>
      </c>
      <c r="AG54" s="20">
        <f ca="1">Model!BH17</f>
        <v>70358.720514360844</v>
      </c>
      <c r="AH54">
        <f ca="1">Model!AC17/1000</f>
        <v>0</v>
      </c>
      <c r="AJ54" s="87">
        <f t="shared" si="2"/>
        <v>49952.560812576281</v>
      </c>
      <c r="AK54" s="87">
        <f t="shared" si="3"/>
        <v>49400.252612237338</v>
      </c>
      <c r="AL54" s="87">
        <f t="shared" si="4"/>
        <v>48764.672540268337</v>
      </c>
      <c r="AM54" s="87">
        <f t="shared" si="5"/>
        <v>47244.95489920945</v>
      </c>
      <c r="AN54" s="87">
        <f t="shared" si="6"/>
        <v>44471.894658884092</v>
      </c>
      <c r="AO54" s="183">
        <f t="shared" si="7"/>
        <v>72.251083048866576</v>
      </c>
      <c r="AP54" s="183">
        <f t="shared" si="8"/>
        <v>5480.6661536921783</v>
      </c>
      <c r="AQ54" s="183">
        <f t="shared" si="9"/>
        <v>0</v>
      </c>
      <c r="AR54" s="183">
        <f t="shared" si="10"/>
        <v>11279.599425513385</v>
      </c>
      <c r="AS54" s="183">
        <f t="shared" si="20"/>
        <v>5480.6661536921893</v>
      </c>
      <c r="AT54" s="183">
        <f t="shared" si="11"/>
        <v>81.147795260337602</v>
      </c>
      <c r="AU54" s="87">
        <f t="shared" si="12"/>
        <v>22413.149175706349</v>
      </c>
      <c r="AV54" s="87">
        <f t="shared" si="13"/>
        <v>16890.169972046238</v>
      </c>
      <c r="AW54" s="87">
        <f t="shared" si="14"/>
        <v>63248.108166152961</v>
      </c>
      <c r="AX54" s="87">
        <f t="shared" si="21"/>
        <v>44471.894658884092</v>
      </c>
      <c r="AZ54" s="87">
        <v>45710.434732651433</v>
      </c>
      <c r="BF54" s="37">
        <f>IF(Model!$B$5="Status quo",'Govt supply'!E15,'Govt supply'!M15)</f>
        <v>3.5</v>
      </c>
      <c r="BG54">
        <v>3545.4140801451908</v>
      </c>
      <c r="BH54">
        <v>0</v>
      </c>
      <c r="BI54">
        <v>0</v>
      </c>
      <c r="BJ54">
        <v>5795.5328040375898</v>
      </c>
      <c r="BK54">
        <v>17364.98017290781</v>
      </c>
      <c r="BL54">
        <v>26705.92705709059</v>
      </c>
      <c r="BM54">
        <v>28645.733094164243</v>
      </c>
    </row>
    <row r="55" spans="1:68" x14ac:dyDescent="0.25">
      <c r="A55" s="196">
        <v>2035</v>
      </c>
      <c r="B55" s="205">
        <v>109.31800891391998</v>
      </c>
      <c r="C55" s="164">
        <v>109.31800891391998</v>
      </c>
      <c r="D55" s="164">
        <v>72.976156677148182</v>
      </c>
      <c r="E55" s="164">
        <v>68.417481140824151</v>
      </c>
      <c r="F55" s="164">
        <v>63.965383606642845</v>
      </c>
      <c r="G55" s="205">
        <f t="shared" si="15"/>
        <v>140.82017028784946</v>
      </c>
      <c r="H55" s="164">
        <f t="shared" si="16"/>
        <v>140.82017028784946</v>
      </c>
      <c r="I55" s="164">
        <f t="shared" si="17"/>
        <v>94.005689568685796</v>
      </c>
      <c r="J55" s="164">
        <f t="shared" si="18"/>
        <v>88.133340888993914</v>
      </c>
      <c r="K55" s="206">
        <f t="shared" si="19"/>
        <v>82.398282785299401</v>
      </c>
      <c r="L55" s="214">
        <v>27654.123799385117</v>
      </c>
      <c r="M55" s="215">
        <v>27135.360160530727</v>
      </c>
      <c r="N55" s="215">
        <v>26452.468012727139</v>
      </c>
      <c r="O55" s="215">
        <v>24924.214381077756</v>
      </c>
      <c r="P55" s="216">
        <v>22101.506814390406</v>
      </c>
      <c r="Q55" s="214">
        <v>17427.465071846429</v>
      </c>
      <c r="R55" s="215">
        <v>17427.465071846429</v>
      </c>
      <c r="S55" s="215">
        <v>17427.465071846429</v>
      </c>
      <c r="T55" s="215">
        <v>17427.465071846429</v>
      </c>
      <c r="U55" s="216">
        <v>17427.465071846429</v>
      </c>
      <c r="V55" s="216">
        <f>Model!O18+Model!P18</f>
        <v>37795.277201684694</v>
      </c>
      <c r="W55" s="214">
        <v>72125.07343633112</v>
      </c>
      <c r="X55" s="215">
        <v>77831.117694829358</v>
      </c>
      <c r="Y55" s="215">
        <v>71645.022765327449</v>
      </c>
      <c r="Z55" s="215">
        <v>66062.664048768958</v>
      </c>
      <c r="AA55" s="216">
        <v>72021.711168287351</v>
      </c>
      <c r="AB55" s="46">
        <f ca="1"/>
        <v>30637.721246405563</v>
      </c>
      <c r="AC55" s="2">
        <f>'Govt supply'!X17/'Govt supply'!$X$5</f>
        <v>1.2881699153406201</v>
      </c>
      <c r="AD55">
        <f ca="1">Model!X18</f>
        <v>72.976156677148182</v>
      </c>
      <c r="AE55" s="20">
        <f ca="1">Model!AU18</f>
        <v>26452.468012727139</v>
      </c>
      <c r="AF55" s="20">
        <f ca="1">Model!BW18</f>
        <v>17427.465071846429</v>
      </c>
      <c r="AG55" s="20">
        <f ca="1">Model!BH18</f>
        <v>71645.022765327449</v>
      </c>
      <c r="AH55">
        <f ca="1">Model!AC18/1000</f>
        <v>0</v>
      </c>
      <c r="AJ55" s="87">
        <f t="shared" si="2"/>
        <v>48021.935929223386</v>
      </c>
      <c r="AK55" s="87">
        <f t="shared" si="3"/>
        <v>47503.172290368995</v>
      </c>
      <c r="AL55" s="87">
        <f t="shared" si="4"/>
        <v>46820.280142565403</v>
      </c>
      <c r="AM55" s="87">
        <f t="shared" si="5"/>
        <v>45292.026510916025</v>
      </c>
      <c r="AN55" s="87">
        <f t="shared" si="6"/>
        <v>42469.318944228668</v>
      </c>
      <c r="AO55" s="183">
        <f t="shared" si="7"/>
        <v>58.421887502550064</v>
      </c>
      <c r="AP55" s="183">
        <f t="shared" si="8"/>
        <v>5552.6169849947109</v>
      </c>
      <c r="AQ55" s="183">
        <f t="shared" si="9"/>
        <v>0</v>
      </c>
      <c r="AR55" s="183">
        <f t="shared" si="10"/>
        <v>11768.453646060399</v>
      </c>
      <c r="AS55" s="183">
        <f t="shared" si="20"/>
        <v>5552.6169849947182</v>
      </c>
      <c r="AT55" s="183">
        <f t="shared" si="11"/>
        <v>82.398282785299401</v>
      </c>
      <c r="AU55" s="87">
        <f t="shared" si="12"/>
        <v>22101.506814390406</v>
      </c>
      <c r="AV55" s="87">
        <f t="shared" si="13"/>
        <v>17427.465071846429</v>
      </c>
      <c r="AW55" s="87">
        <f t="shared" si="14"/>
        <v>66062.664048768958</v>
      </c>
      <c r="AX55" s="87">
        <f t="shared" si="21"/>
        <v>42469.318944228668</v>
      </c>
      <c r="AZ55" s="87">
        <v>43236.865732369064</v>
      </c>
      <c r="BF55" s="37">
        <f>IF(Model!$B$5="Status quo",'Govt supply'!E16,'Govt supply'!M16)</f>
        <v>2.7</v>
      </c>
      <c r="BG55">
        <v>3434.8718761645496</v>
      </c>
      <c r="BH55">
        <v>0</v>
      </c>
      <c r="BI55">
        <v>0</v>
      </c>
      <c r="BJ55">
        <v>5253.5372031103871</v>
      </c>
      <c r="BK55">
        <v>17764.058933452201</v>
      </c>
      <c r="BL55">
        <v>26452.468012727139</v>
      </c>
      <c r="BM55">
        <v>28366.519354143813</v>
      </c>
    </row>
    <row r="56" spans="1:68" x14ac:dyDescent="0.25">
      <c r="A56" s="201">
        <v>2036</v>
      </c>
      <c r="B56" s="202">
        <v>98.386208022527981</v>
      </c>
      <c r="C56" s="203">
        <v>98.386208022527981</v>
      </c>
      <c r="D56" s="203">
        <v>71.188240838558059</v>
      </c>
      <c r="E56" s="203">
        <v>67.425427664282211</v>
      </c>
      <c r="F56" s="203">
        <v>63.677539380412959</v>
      </c>
      <c r="G56" s="202">
        <f t="shared" si="15"/>
        <v>129.27291632424578</v>
      </c>
      <c r="H56" s="203">
        <f t="shared" si="16"/>
        <v>129.27291632424578</v>
      </c>
      <c r="I56" s="203">
        <f t="shared" si="17"/>
        <v>93.536601177738063</v>
      </c>
      <c r="J56" s="203">
        <f t="shared" si="18"/>
        <v>88.592515595025588</v>
      </c>
      <c r="K56" s="204">
        <f t="shared" si="19"/>
        <v>83.668040323020875</v>
      </c>
      <c r="L56" s="211">
        <v>27185.407296402896</v>
      </c>
      <c r="M56" s="212">
        <v>26698.070056791465</v>
      </c>
      <c r="N56" s="212">
        <v>25975.939974035929</v>
      </c>
      <c r="O56" s="212">
        <v>24444.53026822293</v>
      </c>
      <c r="P56" s="213">
        <v>21584.638421123123</v>
      </c>
      <c r="Q56" s="211">
        <v>18090.685339016687</v>
      </c>
      <c r="R56" s="212">
        <v>18090.685339016687</v>
      </c>
      <c r="S56" s="212">
        <v>18090.685339016687</v>
      </c>
      <c r="T56" s="212">
        <v>18090.685339016687</v>
      </c>
      <c r="U56" s="213">
        <v>18090.685339016687</v>
      </c>
      <c r="V56" s="213">
        <f>Model!O19+Model!P19</f>
        <v>37031.19413206671</v>
      </c>
      <c r="W56" s="211">
        <v>72467.18802671622</v>
      </c>
      <c r="X56" s="212">
        <v>78660.5695248259</v>
      </c>
      <c r="Y56" s="212">
        <v>73196.604678079515</v>
      </c>
      <c r="Z56" s="212">
        <v>69145.655667334024</v>
      </c>
      <c r="AA56" s="213">
        <v>77964.59463395222</v>
      </c>
      <c r="AB56" s="46">
        <f ca="1"/>
        <v>29406.958780189743</v>
      </c>
      <c r="AC56" s="2">
        <f>'Govt supply'!X18/'Govt supply'!$X$5</f>
        <v>1.3139333136474325</v>
      </c>
      <c r="AD56">
        <f ca="1">Model!X19</f>
        <v>71.188240838558059</v>
      </c>
      <c r="AE56" s="20">
        <f ca="1">Model!AU19</f>
        <v>25975.939974035929</v>
      </c>
      <c r="AF56" s="20">
        <f ca="1">Model!BW19</f>
        <v>18090.685339016687</v>
      </c>
      <c r="AG56" s="20">
        <f ca="1">Model!BH19</f>
        <v>73196.604678079515</v>
      </c>
      <c r="AH56">
        <f ca="1">Model!AC19/1000</f>
        <v>0</v>
      </c>
      <c r="AJ56" s="87">
        <f t="shared" si="2"/>
        <v>46125.91608945292</v>
      </c>
      <c r="AK56" s="87">
        <f t="shared" si="3"/>
        <v>45638.578849841484</v>
      </c>
      <c r="AL56" s="87">
        <f t="shared" si="4"/>
        <v>44916.448767085953</v>
      </c>
      <c r="AM56" s="87">
        <f t="shared" si="5"/>
        <v>43385.039061272953</v>
      </c>
      <c r="AN56" s="87">
        <f t="shared" si="6"/>
        <v>40525.147214173143</v>
      </c>
      <c r="AO56" s="183">
        <f t="shared" si="7"/>
        <v>45.604876001224909</v>
      </c>
      <c r="AP56" s="183">
        <f t="shared" si="8"/>
        <v>5600.7688752797731</v>
      </c>
      <c r="AQ56" s="183">
        <f t="shared" si="9"/>
        <v>0</v>
      </c>
      <c r="AR56" s="183">
        <f t="shared" si="10"/>
        <v>9514.9138574918761</v>
      </c>
      <c r="AS56" s="183">
        <f t="shared" si="20"/>
        <v>5600.7688752797767</v>
      </c>
      <c r="AT56" s="183">
        <f t="shared" si="11"/>
        <v>83.668040323020875</v>
      </c>
      <c r="AU56" s="87">
        <f t="shared" si="12"/>
        <v>21584.638421123123</v>
      </c>
      <c r="AV56" s="87">
        <f t="shared" si="13"/>
        <v>18090.685339016687</v>
      </c>
      <c r="AW56" s="87">
        <f t="shared" si="14"/>
        <v>69145.655667334024</v>
      </c>
      <c r="AX56" s="87">
        <f t="shared" si="21"/>
        <v>40525.147214173143</v>
      </c>
      <c r="BF56" s="37">
        <f>IF(Model!$B$5="Status quo",'Govt supply'!E17,'Govt supply'!M17)</f>
        <v>0</v>
      </c>
      <c r="BG56">
        <v>3324.3296721839083</v>
      </c>
      <c r="BH56">
        <v>0</v>
      </c>
      <c r="BI56">
        <v>0</v>
      </c>
      <c r="BJ56">
        <v>4704.1434476964459</v>
      </c>
      <c r="BK56">
        <v>17947.466854155577</v>
      </c>
      <c r="BL56">
        <v>25975.939974035929</v>
      </c>
      <c r="BM56">
        <v>27861.411813054488</v>
      </c>
    </row>
    <row r="57" spans="1:68" x14ac:dyDescent="0.25">
      <c r="A57" s="196">
        <v>2037</v>
      </c>
      <c r="B57" s="205">
        <v>88.54758722027519</v>
      </c>
      <c r="C57" s="164">
        <v>88.54758722027519</v>
      </c>
      <c r="D57" s="164">
        <v>69.444128938013392</v>
      </c>
      <c r="E57" s="164">
        <v>66.447758963150122</v>
      </c>
      <c r="F57" s="164">
        <v>63.390990453201105</v>
      </c>
      <c r="G57" s="205">
        <f t="shared" si="15"/>
        <v>118.67253718565765</v>
      </c>
      <c r="H57" s="164">
        <f t="shared" si="16"/>
        <v>118.67253718565765</v>
      </c>
      <c r="I57" s="164">
        <f t="shared" si="17"/>
        <v>93.069853537861164</v>
      </c>
      <c r="J57" s="164">
        <f t="shared" si="18"/>
        <v>89.054082601275681</v>
      </c>
      <c r="K57" s="206">
        <f t="shared" si="19"/>
        <v>84.957364824398624</v>
      </c>
      <c r="L57" s="214">
        <v>27082.417269265141</v>
      </c>
      <c r="M57" s="215">
        <v>26623.450757768514</v>
      </c>
      <c r="N57" s="215">
        <v>25870.395304446076</v>
      </c>
      <c r="O57" s="215">
        <v>24339.27129471783</v>
      </c>
      <c r="P57" s="216">
        <v>21450.429884230747</v>
      </c>
      <c r="Q57" s="214">
        <v>19988.80451795302</v>
      </c>
      <c r="R57" s="215">
        <v>19988.80451795302</v>
      </c>
      <c r="S57" s="215">
        <v>19988.80451795302</v>
      </c>
      <c r="T57" s="215">
        <v>19988.80451795302</v>
      </c>
      <c r="U57" s="216">
        <v>19988.80451795302</v>
      </c>
      <c r="V57" s="216">
        <f>Model!O20+Model!P20</f>
        <v>35769.23039353772</v>
      </c>
      <c r="W57" s="214">
        <v>73268.934654495228</v>
      </c>
      <c r="X57" s="215">
        <v>79921.282664101542</v>
      </c>
      <c r="Y57" s="215">
        <v>75210.373270677592</v>
      </c>
      <c r="Z57" s="215">
        <v>72690.548269660343</v>
      </c>
      <c r="AA57" s="216">
        <v>84398.328646765629</v>
      </c>
      <c r="AB57" s="46">
        <f ca="1"/>
        <v>28220.17456447985</v>
      </c>
      <c r="AC57" s="2">
        <f>'Govt supply'!X19/'Govt supply'!$X$5</f>
        <v>1.3402119799203811</v>
      </c>
      <c r="AD57">
        <f ca="1">Model!X20</f>
        <v>69.444128938013392</v>
      </c>
      <c r="AE57" s="20">
        <f ca="1">Model!AU20</f>
        <v>25870.395304446076</v>
      </c>
      <c r="AF57" s="20">
        <f ca="1">Model!BW20</f>
        <v>19988.80451795302</v>
      </c>
      <c r="AG57" s="20">
        <f ca="1">Model!BH20</f>
        <v>75210.373270677592</v>
      </c>
      <c r="AH57">
        <f ca="1">Model!AC20/1000</f>
        <v>0</v>
      </c>
      <c r="AJ57" s="87">
        <f t="shared" si="2"/>
        <v>42862.843144849845</v>
      </c>
      <c r="AK57" s="87">
        <f t="shared" si="3"/>
        <v>42403.876633353211</v>
      </c>
      <c r="AL57" s="87">
        <f t="shared" si="4"/>
        <v>41650.821180030776</v>
      </c>
      <c r="AM57" s="87">
        <f t="shared" si="5"/>
        <v>40119.697170302534</v>
      </c>
      <c r="AN57" s="87">
        <f t="shared" si="6"/>
        <v>37230.855759815444</v>
      </c>
      <c r="AO57" s="183">
        <f t="shared" si="7"/>
        <v>33.715172361259022</v>
      </c>
      <c r="AP57" s="183">
        <f t="shared" si="8"/>
        <v>5631.9873850343938</v>
      </c>
      <c r="AQ57" s="183">
        <f t="shared" si="9"/>
        <v>0</v>
      </c>
      <c r="AR57" s="183">
        <f t="shared" si="10"/>
        <v>11707.780377105286</v>
      </c>
      <c r="AS57" s="183">
        <f t="shared" si="20"/>
        <v>5631.9873850344011</v>
      </c>
      <c r="AT57" s="183">
        <f t="shared" si="11"/>
        <v>84.957364824398624</v>
      </c>
      <c r="AU57" s="87">
        <f t="shared" si="12"/>
        <v>21450.429884230747</v>
      </c>
      <c r="AV57" s="87">
        <f t="shared" si="13"/>
        <v>19988.80451795302</v>
      </c>
      <c r="AW57" s="87">
        <f t="shared" si="14"/>
        <v>72690.548269660343</v>
      </c>
      <c r="AX57" s="87">
        <f t="shared" si="21"/>
        <v>37230.855759815444</v>
      </c>
      <c r="BF57" s="37">
        <f>IF(Model!$B$5="Status quo",'Govt supply'!E18,'Govt supply'!M18)</f>
        <v>0</v>
      </c>
      <c r="BG57">
        <v>3213.7874682032671</v>
      </c>
      <c r="BH57">
        <v>0</v>
      </c>
      <c r="BI57">
        <v>0</v>
      </c>
      <c r="BJ57">
        <v>4464.0405107551633</v>
      </c>
      <c r="BK57">
        <v>18192.567325487646</v>
      </c>
      <c r="BL57">
        <v>25870.395304446076</v>
      </c>
      <c r="BM57">
        <v>27725.816742737734</v>
      </c>
    </row>
    <row r="58" spans="1:68" x14ac:dyDescent="0.25">
      <c r="A58" s="196">
        <v>2038</v>
      </c>
      <c r="B58" s="205">
        <v>79.692828498247678</v>
      </c>
      <c r="C58" s="164">
        <v>79.692828498247678</v>
      </c>
      <c r="D58" s="164">
        <v>67.742747779032072</v>
      </c>
      <c r="E58" s="164">
        <v>65.48426645818445</v>
      </c>
      <c r="F58" s="164">
        <v>63.105730996161704</v>
      </c>
      <c r="G58" s="205">
        <f t="shared" si="15"/>
        <v>108.94138913643374</v>
      </c>
      <c r="H58" s="164">
        <f t="shared" si="16"/>
        <v>108.94138913643374</v>
      </c>
      <c r="I58" s="164">
        <f t="shared" si="17"/>
        <v>92.605434968707257</v>
      </c>
      <c r="J58" s="164">
        <f t="shared" si="18"/>
        <v>89.518054371628338</v>
      </c>
      <c r="K58" s="206">
        <f t="shared" si="19"/>
        <v>86.266557816342626</v>
      </c>
      <c r="L58" s="214">
        <v>26743.259928631225</v>
      </c>
      <c r="M58" s="215">
        <v>26309.14154614753</v>
      </c>
      <c r="N58" s="215">
        <v>25533.467572014226</v>
      </c>
      <c r="O58" s="215">
        <v>24004.837803100294</v>
      </c>
      <c r="P58" s="216">
        <v>21092.494786031311</v>
      </c>
      <c r="Q58" s="214">
        <v>20955.707870014165</v>
      </c>
      <c r="R58" s="215">
        <v>20955.707870014165</v>
      </c>
      <c r="S58" s="215">
        <v>20955.707870014165</v>
      </c>
      <c r="T58" s="215">
        <v>20955.707870014165</v>
      </c>
      <c r="U58" s="216">
        <v>20955.707870014165</v>
      </c>
      <c r="V58" s="216">
        <f>Model!O21+Model!P21</f>
        <v>35079.743489411558</v>
      </c>
      <c r="W58" s="214">
        <v>72437.16743979053</v>
      </c>
      <c r="X58" s="215">
        <v>79523.633831880536</v>
      </c>
      <c r="Y58" s="215">
        <v>75588.398412589886</v>
      </c>
      <c r="Z58" s="215">
        <v>74597.203180486569</v>
      </c>
      <c r="AA58" s="216">
        <v>89217.326574660838</v>
      </c>
      <c r="AB58" s="46">
        <f ca="1"/>
        <v>27086.740451767808</v>
      </c>
      <c r="AC58" s="2">
        <f>'Govt supply'!X20/'Govt supply'!$X$5</f>
        <v>1.3670162195187889</v>
      </c>
      <c r="AD58">
        <f ca="1">Model!X21</f>
        <v>67.742747779032072</v>
      </c>
      <c r="AE58" s="20">
        <f ca="1">Model!AU21</f>
        <v>25533.467572014226</v>
      </c>
      <c r="AF58" s="20">
        <f ca="1">Model!BW21</f>
        <v>20955.707870014165</v>
      </c>
      <c r="AG58" s="20">
        <f ca="1">Model!BH21</f>
        <v>75588.398412589886</v>
      </c>
      <c r="AH58">
        <f ca="1">Model!AC21/1000</f>
        <v>0</v>
      </c>
      <c r="AJ58" s="87">
        <f t="shared" si="2"/>
        <v>40867.295548028618</v>
      </c>
      <c r="AK58" s="87">
        <f t="shared" si="3"/>
        <v>40433.177165544919</v>
      </c>
      <c r="AL58" s="87">
        <f t="shared" si="4"/>
        <v>39657.503191411619</v>
      </c>
      <c r="AM58" s="87">
        <f t="shared" si="5"/>
        <v>38128.873422497687</v>
      </c>
      <c r="AN58" s="87">
        <f t="shared" si="6"/>
        <v>35216.530405428704</v>
      </c>
      <c r="AO58" s="183">
        <f t="shared" si="7"/>
        <v>22.674831320091116</v>
      </c>
      <c r="AP58" s="183">
        <f t="shared" si="8"/>
        <v>5650.7651425999138</v>
      </c>
      <c r="AQ58" s="183">
        <f t="shared" si="9"/>
        <v>0</v>
      </c>
      <c r="AR58" s="183">
        <f t="shared" si="10"/>
        <v>16780.159134870308</v>
      </c>
      <c r="AS58" s="183">
        <f t="shared" si="20"/>
        <v>5650.7651425999138</v>
      </c>
      <c r="AT58" s="183">
        <f t="shared" si="11"/>
        <v>86.266557816342626</v>
      </c>
      <c r="AU58" s="87">
        <f t="shared" si="12"/>
        <v>21092.494786031311</v>
      </c>
      <c r="AV58" s="87">
        <f t="shared" si="13"/>
        <v>20955.707870014165</v>
      </c>
      <c r="AW58" s="87">
        <f t="shared" si="14"/>
        <v>72437.16743979053</v>
      </c>
      <c r="AX58" s="87">
        <f t="shared" si="21"/>
        <v>35216.530405428704</v>
      </c>
      <c r="BF58" s="37">
        <f>IF(Model!$B$5="Status quo",'Govt supply'!E19,'Govt supply'!M19)</f>
        <v>0</v>
      </c>
      <c r="BG58">
        <v>3103.2452642226249</v>
      </c>
      <c r="BH58">
        <v>0</v>
      </c>
      <c r="BI58">
        <v>0</v>
      </c>
      <c r="BJ58">
        <v>5308.0678307989256</v>
      </c>
      <c r="BK58">
        <v>17122.154476992677</v>
      </c>
      <c r="BL58">
        <v>25533.467572014226</v>
      </c>
      <c r="BM58">
        <v>27358.180982271479</v>
      </c>
    </row>
    <row r="59" spans="1:68" x14ac:dyDescent="0.25">
      <c r="A59" s="196">
        <v>2039</v>
      </c>
      <c r="B59" s="205">
        <v>71.723545648422913</v>
      </c>
      <c r="C59" s="164">
        <v>71.723545648422913</v>
      </c>
      <c r="D59" s="164">
        <v>66.083050458445783</v>
      </c>
      <c r="E59" s="164">
        <v>64.534744594540783</v>
      </c>
      <c r="F59" s="164">
        <v>62.821755206678979</v>
      </c>
      <c r="G59" s="205">
        <f t="shared" si="15"/>
        <v>100.00819522724619</v>
      </c>
      <c r="H59" s="164">
        <f t="shared" si="16"/>
        <v>100.00819522724619</v>
      </c>
      <c r="I59" s="164">
        <f t="shared" si="17"/>
        <v>92.143333848213402</v>
      </c>
      <c r="J59" s="164">
        <f t="shared" si="18"/>
        <v>89.984443434904534</v>
      </c>
      <c r="K59" s="206">
        <f t="shared" si="19"/>
        <v>87.595925472292478</v>
      </c>
      <c r="L59" s="214">
        <v>26556.640665093448</v>
      </c>
      <c r="M59" s="215">
        <v>26143.649856882159</v>
      </c>
      <c r="N59" s="215">
        <v>25353.53632171404</v>
      </c>
      <c r="O59" s="215">
        <v>23828.829623211815</v>
      </c>
      <c r="P59" s="216">
        <v>20896.614468756074</v>
      </c>
      <c r="Q59" s="214">
        <v>21904.691283512951</v>
      </c>
      <c r="R59" s="215">
        <v>21904.691283512951</v>
      </c>
      <c r="S59" s="215">
        <v>21904.691283512951</v>
      </c>
      <c r="T59" s="215">
        <v>21904.691283512951</v>
      </c>
      <c r="U59" s="216">
        <v>21904.691283512951</v>
      </c>
      <c r="V59" s="216">
        <f>Model!O22+Model!P22</f>
        <v>34428.4301476935</v>
      </c>
      <c r="W59" s="214">
        <v>66860.111063654724</v>
      </c>
      <c r="X59" s="215">
        <v>74359.568263956025</v>
      </c>
      <c r="Y59" s="215">
        <v>71214.446379833491</v>
      </c>
      <c r="Z59" s="215">
        <v>71747.957846232399</v>
      </c>
      <c r="AA59" s="216">
        <v>89300.296394862409</v>
      </c>
      <c r="AB59" s="46">
        <f ca="1"/>
        <v>26014.685403082403</v>
      </c>
      <c r="AC59" s="2">
        <f>'Govt supply'!X21/'Govt supply'!$X$5</f>
        <v>1.3943565439091647</v>
      </c>
      <c r="AD59">
        <f ca="1">Model!X22</f>
        <v>66.083050458445783</v>
      </c>
      <c r="AE59" s="20">
        <f ca="1">Model!AU22</f>
        <v>25353.53632171404</v>
      </c>
      <c r="AF59" s="20">
        <f ca="1">Model!BW22</f>
        <v>21904.691283512951</v>
      </c>
      <c r="AG59" s="20">
        <f ca="1">Model!BH22</f>
        <v>71214.446379833491</v>
      </c>
      <c r="AH59">
        <f ca="1">Model!AC22/1000</f>
        <v>0</v>
      </c>
      <c r="AJ59" s="87">
        <f t="shared" si="2"/>
        <v>39080.379529273996</v>
      </c>
      <c r="AK59" s="87">
        <f t="shared" si="3"/>
        <v>38667.388721062714</v>
      </c>
      <c r="AL59" s="87">
        <f t="shared" si="4"/>
        <v>37877.275185894585</v>
      </c>
      <c r="AM59" s="87">
        <f t="shared" si="5"/>
        <v>36352.56848739236</v>
      </c>
      <c r="AN59" s="87">
        <f t="shared" si="6"/>
        <v>33420.353332936618</v>
      </c>
      <c r="AO59" s="183">
        <f t="shared" si="7"/>
        <v>12.412269754953712</v>
      </c>
      <c r="AP59" s="183">
        <f t="shared" si="8"/>
        <v>5660.0261963373741</v>
      </c>
      <c r="AQ59" s="183">
        <f t="shared" si="9"/>
        <v>0</v>
      </c>
      <c r="AR59" s="183">
        <f t="shared" si="10"/>
        <v>22440.185331207686</v>
      </c>
      <c r="AS59" s="183">
        <f t="shared" si="20"/>
        <v>5660.0261963373778</v>
      </c>
      <c r="AT59" s="183">
        <f t="shared" si="11"/>
        <v>87.595925472292478</v>
      </c>
      <c r="AU59" s="87">
        <f t="shared" si="12"/>
        <v>20896.614468756074</v>
      </c>
      <c r="AV59" s="87">
        <f t="shared" si="13"/>
        <v>21904.691283512951</v>
      </c>
      <c r="AW59" s="87">
        <f t="shared" si="14"/>
        <v>66860.111063654724</v>
      </c>
      <c r="AX59" s="87">
        <f t="shared" si="21"/>
        <v>33420.353332936618</v>
      </c>
      <c r="BG59">
        <v>2992.7030602419845</v>
      </c>
      <c r="BH59">
        <v>0</v>
      </c>
      <c r="BI59">
        <v>0</v>
      </c>
      <c r="BJ59">
        <v>6419.4475231118158</v>
      </c>
      <c r="BK59">
        <v>15941.385738360241</v>
      </c>
      <c r="BL59">
        <v>25353.53632171404</v>
      </c>
      <c r="BM59">
        <v>27147.369405131954</v>
      </c>
    </row>
    <row r="60" spans="1:68" x14ac:dyDescent="0.25">
      <c r="A60" s="198">
        <v>2040</v>
      </c>
      <c r="B60" s="207">
        <v>64.551191083580619</v>
      </c>
      <c r="C60" s="208">
        <v>64.551191083580619</v>
      </c>
      <c r="D60" s="208">
        <v>64.464015722213858</v>
      </c>
      <c r="E60" s="208">
        <v>63.598990797919946</v>
      </c>
      <c r="F60" s="208">
        <v>62.539057308248928</v>
      </c>
      <c r="G60" s="207">
        <f t="shared" si="15"/>
        <v>91.807523218612005</v>
      </c>
      <c r="H60" s="208">
        <f t="shared" si="16"/>
        <v>91.807523218612005</v>
      </c>
      <c r="I60" s="208">
        <f t="shared" si="17"/>
        <v>91.683538612310826</v>
      </c>
      <c r="J60" s="208">
        <f t="shared" si="18"/>
        <v>90.453262385200404</v>
      </c>
      <c r="K60" s="209">
        <f t="shared" si="19"/>
        <v>88.945778683820521</v>
      </c>
      <c r="L60" s="217">
        <v>26097.342007562547</v>
      </c>
      <c r="M60" s="218">
        <v>25701.714503122774</v>
      </c>
      <c r="N60" s="218">
        <v>24905.145612365039</v>
      </c>
      <c r="O60" s="218">
        <v>23385.299476124797</v>
      </c>
      <c r="P60" s="219">
        <v>20435.662307036102</v>
      </c>
      <c r="Q60" s="217">
        <v>22918.727120929725</v>
      </c>
      <c r="R60" s="218">
        <v>22918.727120929725</v>
      </c>
      <c r="S60" s="218">
        <v>22918.727120929725</v>
      </c>
      <c r="T60" s="218">
        <v>22918.727120929725</v>
      </c>
      <c r="U60" s="219">
        <v>22918.727120929725</v>
      </c>
      <c r="V60" s="219">
        <f>Model!O23+Model!P23</f>
        <v>33766.611775048696</v>
      </c>
      <c r="W60" s="217">
        <v>58898.475539463187</v>
      </c>
      <c r="X60" s="218">
        <v>66169.519565782015</v>
      </c>
      <c r="Y60" s="218">
        <v>63820.966572417208</v>
      </c>
      <c r="Z60" s="218">
        <v>65874.324175056361</v>
      </c>
      <c r="AA60" s="219">
        <v>86376.29989277506</v>
      </c>
      <c r="AB60" s="46">
        <f ca="1"/>
        <v>25010.719539846643</v>
      </c>
      <c r="AC60" s="2">
        <f>'Govt supply'!X22/'Govt supply'!$X$5</f>
        <v>1.4222436747873481</v>
      </c>
      <c r="AD60">
        <f ca="1">Model!X23</f>
        <v>64.464015722213858</v>
      </c>
      <c r="AE60" s="20">
        <f ca="1">Model!AU23</f>
        <v>24905.145612365039</v>
      </c>
      <c r="AF60" s="20">
        <f ca="1">Model!BW23</f>
        <v>22918.727120929725</v>
      </c>
      <c r="AG60" s="20">
        <f ca="1">Model!BH23</f>
        <v>63820.966572417208</v>
      </c>
      <c r="AH60">
        <f ca="1">Model!AC23/1000</f>
        <v>0</v>
      </c>
      <c r="AJ60" s="87">
        <f t="shared" si="2"/>
        <v>36945.226661681518</v>
      </c>
      <c r="AK60" s="87">
        <f t="shared" si="3"/>
        <v>36549.599157241748</v>
      </c>
      <c r="AL60" s="87">
        <f t="shared" si="4"/>
        <v>35753.030266484006</v>
      </c>
      <c r="AM60" s="87">
        <f t="shared" si="5"/>
        <v>34233.184130243768</v>
      </c>
      <c r="AN60" s="87">
        <f t="shared" si="6"/>
        <v>31283.546961155072</v>
      </c>
      <c r="AO60" s="183">
        <f t="shared" si="7"/>
        <v>2.8617445347914838</v>
      </c>
      <c r="AP60" s="183">
        <f t="shared" si="8"/>
        <v>5661.6797005264452</v>
      </c>
      <c r="AQ60" s="183">
        <f t="shared" si="9"/>
        <v>0</v>
      </c>
      <c r="AR60" s="183">
        <f t="shared" si="10"/>
        <v>27477.824353311873</v>
      </c>
      <c r="AS60" s="183">
        <f t="shared" si="20"/>
        <v>5661.6797005264452</v>
      </c>
      <c r="AT60" s="183">
        <f t="shared" si="11"/>
        <v>88.945778683820521</v>
      </c>
      <c r="AU60" s="87">
        <f t="shared" si="12"/>
        <v>20435.662307036102</v>
      </c>
      <c r="AV60" s="87">
        <f t="shared" si="13"/>
        <v>22918.727120929725</v>
      </c>
      <c r="AW60" s="87">
        <f t="shared" si="14"/>
        <v>58898.475539463187</v>
      </c>
      <c r="AX60" s="87">
        <f t="shared" si="21"/>
        <v>31283.546961155072</v>
      </c>
      <c r="BG60">
        <v>2882.1608562613428</v>
      </c>
      <c r="BH60">
        <v>0</v>
      </c>
      <c r="BI60">
        <v>0</v>
      </c>
      <c r="BJ60">
        <v>6786.4565002267627</v>
      </c>
      <c r="BK60">
        <v>15236.528255876934</v>
      </c>
      <c r="BL60">
        <v>24905.145612365039</v>
      </c>
      <c r="BM60">
        <v>26668.21356962499</v>
      </c>
    </row>
    <row r="61" spans="1:68" x14ac:dyDescent="0.25">
      <c r="A61" s="196">
        <v>2041</v>
      </c>
      <c r="B61" s="205">
        <v>58.096071975222557</v>
      </c>
      <c r="C61" s="164">
        <v>58.096071975222557</v>
      </c>
      <c r="D61" s="164">
        <v>62.884647337019622</v>
      </c>
      <c r="E61" s="164">
        <v>62.676805431350111</v>
      </c>
      <c r="F61" s="164">
        <v>62.257631550361815</v>
      </c>
      <c r="G61" s="205">
        <f t="shared" si="15"/>
        <v>84.279306314685812</v>
      </c>
      <c r="H61" s="164">
        <f t="shared" si="16"/>
        <v>84.279306314685812</v>
      </c>
      <c r="I61" s="164">
        <f t="shared" si="17"/>
        <v>91.226037754635399</v>
      </c>
      <c r="J61" s="164">
        <f t="shared" si="18"/>
        <v>90.924523882227305</v>
      </c>
      <c r="K61" s="206">
        <f t="shared" si="19"/>
        <v>90.316433133338208</v>
      </c>
      <c r="L61" s="214">
        <v>25862.810886411207</v>
      </c>
      <c r="M61" s="215">
        <v>25480.828514242985</v>
      </c>
      <c r="N61" s="215">
        <v>24684.989752735364</v>
      </c>
      <c r="O61" s="215">
        <v>23171.191697056725</v>
      </c>
      <c r="P61" s="216">
        <v>20205.820598788654</v>
      </c>
      <c r="Q61" s="214">
        <v>23885.272732426893</v>
      </c>
      <c r="R61" s="215">
        <v>23885.272732426893</v>
      </c>
      <c r="S61" s="215">
        <v>23885.272732426893</v>
      </c>
      <c r="T61" s="215">
        <v>23885.272732426893</v>
      </c>
      <c r="U61" s="216">
        <v>23885.272732426893</v>
      </c>
      <c r="V61" s="216">
        <f>Model!O24+Model!P24</f>
        <v>33374.275030648118</v>
      </c>
      <c r="W61" s="214">
        <v>55671.606936145028</v>
      </c>
      <c r="X61" s="215">
        <v>62142.836119568776</v>
      </c>
      <c r="Y61" s="215">
        <v>60451.80839759142</v>
      </c>
      <c r="Z61" s="215">
        <v>64018.964055909215</v>
      </c>
      <c r="AA61" s="216">
        <v>87486.310871895985</v>
      </c>
      <c r="AB61" s="46">
        <f ca="1"/>
        <v>24080.328926639631</v>
      </c>
      <c r="AC61" s="2">
        <f>'Govt supply'!X23/'Govt supply'!$X$5</f>
        <v>1.4506885482830951</v>
      </c>
      <c r="AD61">
        <f ca="1">Model!X24</f>
        <v>62.884647337019622</v>
      </c>
      <c r="AE61" s="20">
        <f ca="1">Model!AU24</f>
        <v>24684.989752735364</v>
      </c>
      <c r="AF61" s="20">
        <f ca="1">Model!BW24</f>
        <v>23885.272732426893</v>
      </c>
      <c r="AG61" s="20">
        <f ca="1">Model!BH24</f>
        <v>60451.80839759142</v>
      </c>
      <c r="AH61">
        <f ca="1">Model!AC24/1000</f>
        <v>0</v>
      </c>
      <c r="AJ61" s="87">
        <f t="shared" si="2"/>
        <v>35351.813184632432</v>
      </c>
      <c r="AK61" s="87">
        <f t="shared" si="3"/>
        <v>34969.830812464206</v>
      </c>
      <c r="AL61" s="87">
        <f t="shared" si="4"/>
        <v>34173.992050956585</v>
      </c>
      <c r="AM61" s="87">
        <f t="shared" si="5"/>
        <v>32660.19399527795</v>
      </c>
      <c r="AN61" s="87">
        <f t="shared" si="6"/>
        <v>29694.822897009879</v>
      </c>
      <c r="AO61" s="183">
        <f t="shared" si="7"/>
        <v>6.9467314399495876</v>
      </c>
      <c r="AP61" s="183">
        <f t="shared" si="8"/>
        <v>5656.9902876225533</v>
      </c>
      <c r="AQ61" s="183">
        <f t="shared" si="9"/>
        <v>0</v>
      </c>
      <c r="AR61" s="183">
        <f t="shared" si="10"/>
        <v>31814.703935750957</v>
      </c>
      <c r="AS61" s="183">
        <f t="shared" si="20"/>
        <v>5656.9902876225533</v>
      </c>
      <c r="AT61" s="183">
        <f t="shared" si="11"/>
        <v>84.279306314685812</v>
      </c>
      <c r="AU61" s="87">
        <f t="shared" si="12"/>
        <v>20205.820598788654</v>
      </c>
      <c r="AV61" s="87">
        <f t="shared" si="13"/>
        <v>23885.272732426893</v>
      </c>
      <c r="AW61" s="87">
        <f t="shared" si="14"/>
        <v>55671.606936145028</v>
      </c>
      <c r="AX61" s="87">
        <f t="shared" si="21"/>
        <v>29694.822897009879</v>
      </c>
      <c r="BG61">
        <v>2716.3475502903812</v>
      </c>
      <c r="BH61">
        <v>0</v>
      </c>
      <c r="BI61">
        <v>0</v>
      </c>
      <c r="BJ61">
        <v>6621.1218808485683</v>
      </c>
      <c r="BK61">
        <v>15347.520321596416</v>
      </c>
      <c r="BL61">
        <v>24684.989752735364</v>
      </c>
      <c r="BM61">
        <v>26418.135682599524</v>
      </c>
    </row>
    <row r="62" spans="1:68" x14ac:dyDescent="0.25">
      <c r="A62" s="196">
        <v>2042</v>
      </c>
      <c r="B62" s="205">
        <v>52.286464777700303</v>
      </c>
      <c r="C62" s="164">
        <v>52.286464777700303</v>
      </c>
      <c r="D62" s="164">
        <v>61.343973477262644</v>
      </c>
      <c r="E62" s="164">
        <v>61.767991752595535</v>
      </c>
      <c r="F62" s="164">
        <v>61.977472208385187</v>
      </c>
      <c r="G62" s="205">
        <f t="shared" si="15"/>
        <v>77.368403196881573</v>
      </c>
      <c r="H62" s="164">
        <f t="shared" si="16"/>
        <v>77.368403196881573</v>
      </c>
      <c r="I62" s="164">
        <f t="shared" si="17"/>
        <v>90.770819826239759</v>
      </c>
      <c r="J62" s="164">
        <f t="shared" si="18"/>
        <v>91.398240651653694</v>
      </c>
      <c r="K62" s="206">
        <f t="shared" si="19"/>
        <v>91.708209367922933</v>
      </c>
      <c r="L62" s="214">
        <v>25689.998959886976</v>
      </c>
      <c r="M62" s="215">
        <v>25318.043183418064</v>
      </c>
      <c r="N62" s="215">
        <v>24529.30519849142</v>
      </c>
      <c r="O62" s="215">
        <v>23023.086516654188</v>
      </c>
      <c r="P62" s="216">
        <v>20043.178105994204</v>
      </c>
      <c r="Q62" s="214">
        <v>24782.347314356895</v>
      </c>
      <c r="R62" s="215">
        <v>24782.347314356895</v>
      </c>
      <c r="S62" s="215">
        <v>24782.347314356895</v>
      </c>
      <c r="T62" s="215">
        <v>24782.347314356895</v>
      </c>
      <c r="U62" s="216">
        <v>24782.347314356895</v>
      </c>
      <c r="V62" s="216">
        <f>Model!O25+Model!P25</f>
        <v>32978.670029371242</v>
      </c>
      <c r="W62" s="214">
        <v>52590.867991827625</v>
      </c>
      <c r="X62" s="215">
        <v>58350.261965074758</v>
      </c>
      <c r="Y62" s="215">
        <v>57030.862726309613</v>
      </c>
      <c r="Z62" s="215">
        <v>62104.237066464637</v>
      </c>
      <c r="AA62" s="216">
        <v>88551.492293111398</v>
      </c>
      <c r="AB62" s="46">
        <f ca="1"/>
        <v>23227.925034082495</v>
      </c>
      <c r="AC62" s="2">
        <f>'Govt supply'!X24/'Govt supply'!$X$5</f>
        <v>1.4797023192487568</v>
      </c>
      <c r="AD62">
        <f ca="1">Model!X25</f>
        <v>61.343973477262644</v>
      </c>
      <c r="AE62" s="20">
        <f ca="1">Model!AU25</f>
        <v>24529.30519849142</v>
      </c>
      <c r="AF62" s="20">
        <f ca="1">Model!BW25</f>
        <v>24782.347314356895</v>
      </c>
      <c r="AG62" s="20">
        <f ca="1">Model!BH25</f>
        <v>57030.862726309613</v>
      </c>
      <c r="AH62">
        <f ca="1">Model!AC25/1000</f>
        <v>0</v>
      </c>
      <c r="AJ62" s="87">
        <f t="shared" si="2"/>
        <v>33886.321674901323</v>
      </c>
      <c r="AK62" s="87">
        <f t="shared" si="3"/>
        <v>33514.365898432414</v>
      </c>
      <c r="AL62" s="87">
        <f t="shared" si="4"/>
        <v>32725.627913505767</v>
      </c>
      <c r="AM62" s="87">
        <f t="shared" si="5"/>
        <v>31219.409231668531</v>
      </c>
      <c r="AN62" s="87">
        <f t="shared" si="6"/>
        <v>28239.500821008554</v>
      </c>
      <c r="AO62" s="183">
        <f t="shared" si="7"/>
        <v>14.33980617104136</v>
      </c>
      <c r="AP62" s="183">
        <f t="shared" si="8"/>
        <v>5646.820853892772</v>
      </c>
      <c r="AQ62" s="183">
        <f t="shared" si="9"/>
        <v>0</v>
      </c>
      <c r="AR62" s="183">
        <f t="shared" si="10"/>
        <v>35960.624301283773</v>
      </c>
      <c r="AS62" s="183">
        <f t="shared" si="20"/>
        <v>5646.8208538927684</v>
      </c>
      <c r="AT62" s="183">
        <f t="shared" si="11"/>
        <v>77.368403196881573</v>
      </c>
      <c r="AU62" s="87">
        <f t="shared" si="12"/>
        <v>20043.178105994204</v>
      </c>
      <c r="AV62" s="87">
        <f t="shared" si="13"/>
        <v>24782.347314356895</v>
      </c>
      <c r="AW62" s="87">
        <f t="shared" si="14"/>
        <v>52590.867991827625</v>
      </c>
      <c r="AX62" s="87">
        <f t="shared" si="21"/>
        <v>28239.500821008554</v>
      </c>
      <c r="BG62">
        <v>2550.5342443194199</v>
      </c>
      <c r="BH62">
        <v>0</v>
      </c>
      <c r="BI62">
        <v>0</v>
      </c>
      <c r="BJ62">
        <v>6464.0834899403526</v>
      </c>
      <c r="BK62">
        <v>15514.687464231649</v>
      </c>
      <c r="BL62">
        <v>24529.30519849142</v>
      </c>
      <c r="BM62">
        <v>26234.008136521523</v>
      </c>
    </row>
    <row r="63" spans="1:68" x14ac:dyDescent="0.25">
      <c r="A63" s="196">
        <v>2043</v>
      </c>
      <c r="B63" s="205">
        <v>50</v>
      </c>
      <c r="C63" s="164">
        <v>50</v>
      </c>
      <c r="D63" s="164">
        <v>59.84104612706971</v>
      </c>
      <c r="E63" s="164">
        <v>60.872355872182901</v>
      </c>
      <c r="F63" s="164">
        <v>61.698573583447455</v>
      </c>
      <c r="G63" s="205">
        <f t="shared" si="15"/>
        <v>75.464818281686604</v>
      </c>
      <c r="H63" s="164">
        <f t="shared" si="16"/>
        <v>75.464818281686604</v>
      </c>
      <c r="I63" s="164">
        <f t="shared" si="17"/>
        <v>90.317873435306836</v>
      </c>
      <c r="J63" s="164">
        <f t="shared" si="18"/>
        <v>91.874425485448825</v>
      </c>
      <c r="K63" s="206">
        <f t="shared" si="19"/>
        <v>93.121432874282632</v>
      </c>
      <c r="L63" s="214">
        <v>25370.412353367268</v>
      </c>
      <c r="M63" s="215">
        <v>25004.996795082094</v>
      </c>
      <c r="N63" s="215">
        <v>24229.06506841776</v>
      </c>
      <c r="O63" s="215">
        <v>22732.189548632748</v>
      </c>
      <c r="P63" s="216">
        <v>19738.6235962303</v>
      </c>
      <c r="Q63" s="214">
        <v>25240.062752253223</v>
      </c>
      <c r="R63" s="215">
        <v>25240.062752253223</v>
      </c>
      <c r="S63" s="215">
        <v>25240.062752253223</v>
      </c>
      <c r="T63" s="215">
        <v>25240.062752253223</v>
      </c>
      <c r="U63" s="216">
        <v>25240.062752253223</v>
      </c>
      <c r="V63" s="216">
        <f>Model!O26+Model!P26</f>
        <v>32732.989541250503</v>
      </c>
      <c r="W63" s="214">
        <v>50735.282360753961</v>
      </c>
      <c r="X63" s="215">
        <v>55861.142996943912</v>
      </c>
      <c r="Y63" s="215">
        <v>54776.644271227604</v>
      </c>
      <c r="Z63" s="215">
        <v>61346.894131167632</v>
      </c>
      <c r="AA63" s="216">
        <v>90787.715310216838</v>
      </c>
      <c r="AB63" s="46">
        <f ca="1"/>
        <v>22457.032927294727</v>
      </c>
      <c r="AC63" s="2">
        <f>'Govt supply'!X25/'Govt supply'!$X$5</f>
        <v>1.5092963656337322</v>
      </c>
      <c r="AD63">
        <f ca="1">Model!X26</f>
        <v>59.84104612706971</v>
      </c>
      <c r="AE63" s="20">
        <f ca="1">Model!AU26</f>
        <v>24229.06506841776</v>
      </c>
      <c r="AF63" s="20">
        <f ca="1">Model!BW26</f>
        <v>25240.062752253223</v>
      </c>
      <c r="AG63" s="20">
        <f ca="1">Model!BH26</f>
        <v>54776.644271227604</v>
      </c>
      <c r="AH63">
        <f ca="1">Model!AC26/1000</f>
        <v>0</v>
      </c>
      <c r="AJ63" s="87">
        <f t="shared" si="2"/>
        <v>32863.339142364544</v>
      </c>
      <c r="AK63" s="87">
        <f t="shared" si="3"/>
        <v>32497.923584079377</v>
      </c>
      <c r="AL63" s="87">
        <f t="shared" si="4"/>
        <v>31721.991857415043</v>
      </c>
      <c r="AM63" s="87">
        <f t="shared" si="5"/>
        <v>30225.116337630032</v>
      </c>
      <c r="AN63" s="87">
        <f t="shared" si="6"/>
        <v>27231.55038522758</v>
      </c>
      <c r="AO63" s="183">
        <f t="shared" si="7"/>
        <v>17.656614592596029</v>
      </c>
      <c r="AP63" s="183">
        <f t="shared" si="8"/>
        <v>5631.7887571369683</v>
      </c>
      <c r="AQ63" s="183">
        <f t="shared" si="9"/>
        <v>0</v>
      </c>
      <c r="AR63" s="183">
        <f t="shared" si="10"/>
        <v>40052.432949462876</v>
      </c>
      <c r="AS63" s="183">
        <f t="shared" si="20"/>
        <v>5631.7887571369647</v>
      </c>
      <c r="AT63" s="183">
        <f t="shared" si="11"/>
        <v>75.464818281686604</v>
      </c>
      <c r="AU63" s="87">
        <f t="shared" si="12"/>
        <v>19738.6235962303</v>
      </c>
      <c r="AV63" s="87">
        <f t="shared" si="13"/>
        <v>25240.062752253223</v>
      </c>
      <c r="AW63" s="87">
        <f t="shared" si="14"/>
        <v>50735.282360753961</v>
      </c>
      <c r="AX63" s="87">
        <f t="shared" si="21"/>
        <v>27231.55038522758</v>
      </c>
      <c r="BG63">
        <v>2384.7209383484578</v>
      </c>
      <c r="BH63">
        <v>0</v>
      </c>
      <c r="BI63">
        <v>0</v>
      </c>
      <c r="BJ63">
        <v>6183.6283031093881</v>
      </c>
      <c r="BK63">
        <v>15660.715826959915</v>
      </c>
      <c r="BL63">
        <v>24229.06506841776</v>
      </c>
      <c r="BM63">
        <v>25907.214344432963</v>
      </c>
    </row>
    <row r="64" spans="1:68" x14ac:dyDescent="0.25">
      <c r="A64" s="196">
        <v>2044</v>
      </c>
      <c r="B64" s="205">
        <v>50</v>
      </c>
      <c r="C64" s="164">
        <v>50</v>
      </c>
      <c r="D64" s="164">
        <v>58.374940496956505</v>
      </c>
      <c r="E64" s="164">
        <v>59.989706712036252</v>
      </c>
      <c r="F64" s="164">
        <v>61.420930002321946</v>
      </c>
      <c r="G64" s="205">
        <f t="shared" si="15"/>
        <v>76.974114647320349</v>
      </c>
      <c r="H64" s="164">
        <f t="shared" si="16"/>
        <v>76.974114647320349</v>
      </c>
      <c r="I64" s="164">
        <f t="shared" si="17"/>
        <v>89.867187246864674</v>
      </c>
      <c r="J64" s="164">
        <f t="shared" si="18"/>
        <v>92.353091242228032</v>
      </c>
      <c r="K64" s="206">
        <f t="shared" si="19"/>
        <v>94.556434154875348</v>
      </c>
      <c r="L64" s="214">
        <v>25059.147653820401</v>
      </c>
      <c r="M64" s="215">
        <v>24697.667368136365</v>
      </c>
      <c r="N64" s="215">
        <v>23938.0117447472</v>
      </c>
      <c r="O64" s="215">
        <v>22452.411704125312</v>
      </c>
      <c r="P64" s="216">
        <v>19445.863487134477</v>
      </c>
      <c r="Q64" s="214">
        <v>25122.049858007049</v>
      </c>
      <c r="R64" s="215">
        <v>25122.049858007049</v>
      </c>
      <c r="S64" s="215">
        <v>25122.049858007049</v>
      </c>
      <c r="T64" s="215">
        <v>25122.049858007049</v>
      </c>
      <c r="U64" s="216">
        <v>25122.049858007049</v>
      </c>
      <c r="V64" s="216">
        <f>Model!O27+Model!P27</f>
        <v>32498.96036275625</v>
      </c>
      <c r="W64" s="214">
        <v>50153.744625884399</v>
      </c>
      <c r="X64" s="215">
        <v>54715.760592093458</v>
      </c>
      <c r="Y64" s="215">
        <v>53816.038673606992</v>
      </c>
      <c r="Z64" s="215">
        <v>61871.888574168916</v>
      </c>
      <c r="AA64" s="216">
        <v>94319.257970208957</v>
      </c>
      <c r="AB64" s="46">
        <f ca="1"/>
        <v>21770.50390399911</v>
      </c>
      <c r="AC64" s="2">
        <f>'Govt supply'!X26/'Govt supply'!$X$5</f>
        <v>1.5394822929464069</v>
      </c>
      <c r="AD64">
        <f ca="1">Model!X27</f>
        <v>58.374940496956505</v>
      </c>
      <c r="AE64" s="20">
        <f ca="1">Model!AU27</f>
        <v>23938.0117447472</v>
      </c>
      <c r="AF64" s="20">
        <f ca="1">Model!BW27</f>
        <v>25122.049858007049</v>
      </c>
      <c r="AG64" s="20">
        <f ca="1">Model!BH27</f>
        <v>53816.038673606992</v>
      </c>
      <c r="AH64">
        <f ca="1">Model!AC27/1000</f>
        <v>0</v>
      </c>
      <c r="AJ64" s="87">
        <f t="shared" si="2"/>
        <v>32436.058158569598</v>
      </c>
      <c r="AK64" s="87">
        <f t="shared" si="3"/>
        <v>32074.577872885566</v>
      </c>
      <c r="AL64" s="87">
        <f t="shared" si="4"/>
        <v>31314.922249496398</v>
      </c>
      <c r="AM64" s="87">
        <f t="shared" si="5"/>
        <v>29829.322208874517</v>
      </c>
      <c r="AN64" s="87">
        <f t="shared" si="6"/>
        <v>26822.773991883681</v>
      </c>
      <c r="AO64" s="183">
        <f t="shared" si="7"/>
        <v>17.582319507554999</v>
      </c>
      <c r="AP64" s="183">
        <f t="shared" si="8"/>
        <v>5613.284166685924</v>
      </c>
      <c r="AQ64" s="183">
        <f t="shared" si="9"/>
        <v>0</v>
      </c>
      <c r="AR64" s="183">
        <f t="shared" si="10"/>
        <v>44165.513344324558</v>
      </c>
      <c r="AS64" s="183">
        <f t="shared" si="20"/>
        <v>5613.2841666859167</v>
      </c>
      <c r="AT64" s="183">
        <f t="shared" si="11"/>
        <v>76.974114647320349</v>
      </c>
      <c r="AU64" s="87">
        <f t="shared" si="12"/>
        <v>19445.863487134477</v>
      </c>
      <c r="AV64" s="87">
        <f t="shared" si="13"/>
        <v>25122.049858007049</v>
      </c>
      <c r="AW64" s="87">
        <f t="shared" si="14"/>
        <v>50153.744625884399</v>
      </c>
      <c r="AX64" s="87">
        <f t="shared" si="21"/>
        <v>26822.773991883681</v>
      </c>
      <c r="BG64">
        <v>2218.9076323774957</v>
      </c>
      <c r="BH64">
        <v>0</v>
      </c>
      <c r="BI64">
        <v>0</v>
      </c>
      <c r="BJ64">
        <v>5959.9489224339814</v>
      </c>
      <c r="BK64">
        <v>15759.155189935722</v>
      </c>
      <c r="BL64">
        <v>23938.0117447472</v>
      </c>
      <c r="BM64">
        <v>25591.77268282594</v>
      </c>
    </row>
    <row r="65" spans="1:69" x14ac:dyDescent="0.25">
      <c r="A65" s="196">
        <v>2045</v>
      </c>
      <c r="B65" s="205">
        <v>50</v>
      </c>
      <c r="C65" s="164">
        <v>50</v>
      </c>
      <c r="D65" s="164">
        <v>56.944754454781069</v>
      </c>
      <c r="E65" s="164">
        <v>59.119855964711732</v>
      </c>
      <c r="F65" s="164">
        <v>61.1445358173115</v>
      </c>
      <c r="G65" s="205">
        <f t="shared" si="15"/>
        <v>78.513596940266751</v>
      </c>
      <c r="H65" s="164">
        <f t="shared" si="16"/>
        <v>78.513596940266751</v>
      </c>
      <c r="I65" s="164">
        <f t="shared" si="17"/>
        <v>89.418749982502803</v>
      </c>
      <c r="J65" s="164">
        <f t="shared" si="18"/>
        <v>92.834250847600046</v>
      </c>
      <c r="K65" s="206">
        <f t="shared" si="19"/>
        <v>96.013548805201978</v>
      </c>
      <c r="L65" s="214">
        <v>24674.515472320505</v>
      </c>
      <c r="M65" s="215">
        <v>24315.414095612061</v>
      </c>
      <c r="N65" s="215">
        <v>23572.974807135037</v>
      </c>
      <c r="O65" s="215">
        <v>22100.714667777898</v>
      </c>
      <c r="P65" s="216">
        <v>19081.727105418191</v>
      </c>
      <c r="Q65" s="214">
        <v>24681.846649559302</v>
      </c>
      <c r="R65" s="215">
        <v>24681.846649559302</v>
      </c>
      <c r="S65" s="215">
        <v>24681.846649559302</v>
      </c>
      <c r="T65" s="215">
        <v>24681.846649559302</v>
      </c>
      <c r="U65" s="216">
        <v>24681.846649559302</v>
      </c>
      <c r="V65" s="216">
        <f>Model!O28+Model!P28</f>
        <v>32178.068136495749</v>
      </c>
      <c r="W65" s="214">
        <v>50158.101829009589</v>
      </c>
      <c r="X65" s="215">
        <v>54218.296038935652</v>
      </c>
      <c r="Y65" s="215">
        <v>53699.257035096627</v>
      </c>
      <c r="Z65" s="215">
        <v>63227.367075015689</v>
      </c>
      <c r="AA65" s="216">
        <v>98693.724033415434</v>
      </c>
      <c r="AB65" s="46">
        <f ca="1"/>
        <v>21170.740914082271</v>
      </c>
      <c r="AC65" s="2">
        <f>'Govt supply'!X27/'Govt supply'!$X$5</f>
        <v>1.570271938805335</v>
      </c>
      <c r="AD65">
        <f ca="1">Model!X28</f>
        <v>56.944754454781069</v>
      </c>
      <c r="AE65" s="20">
        <f ca="1">Model!AU28</f>
        <v>23572.974807135037</v>
      </c>
      <c r="AF65" s="20">
        <f ca="1">Model!BW28</f>
        <v>24681.846649559302</v>
      </c>
      <c r="AG65" s="20">
        <f ca="1">Model!BH28</f>
        <v>53699.257035096627</v>
      </c>
      <c r="AH65">
        <f ca="1">Model!AC28/1000</f>
        <v>0</v>
      </c>
      <c r="AJ65" s="87">
        <f t="shared" si="2"/>
        <v>32170.736959256952</v>
      </c>
      <c r="AK65" s="87">
        <f t="shared" si="3"/>
        <v>31811.635582548508</v>
      </c>
      <c r="AL65" s="87">
        <f t="shared" si="4"/>
        <v>31069.196294071488</v>
      </c>
      <c r="AM65" s="87">
        <f t="shared" si="5"/>
        <v>29596.936154714349</v>
      </c>
      <c r="AN65" s="87">
        <f t="shared" si="6"/>
        <v>26577.948592354638</v>
      </c>
      <c r="AO65" s="183">
        <f t="shared" si="7"/>
        <v>17.499951864935227</v>
      </c>
      <c r="AP65" s="183">
        <f t="shared" si="8"/>
        <v>5592.788366902314</v>
      </c>
      <c r="AQ65" s="183">
        <f t="shared" si="9"/>
        <v>0</v>
      </c>
      <c r="AR65" s="183">
        <f t="shared" si="10"/>
        <v>48535.622204405845</v>
      </c>
      <c r="AS65" s="183">
        <f t="shared" si="20"/>
        <v>5592.788366902314</v>
      </c>
      <c r="AT65" s="183">
        <f t="shared" si="11"/>
        <v>78.513596940266751</v>
      </c>
      <c r="AU65" s="87">
        <f t="shared" si="12"/>
        <v>19081.727105418191</v>
      </c>
      <c r="AV65" s="87">
        <f t="shared" si="13"/>
        <v>24681.846649559302</v>
      </c>
      <c r="AW65" s="87">
        <f t="shared" si="14"/>
        <v>50158.101829009589</v>
      </c>
      <c r="AX65" s="87">
        <f t="shared" si="21"/>
        <v>26577.948592354638</v>
      </c>
      <c r="BG65">
        <v>2053.0943264065336</v>
      </c>
      <c r="BH65">
        <v>0</v>
      </c>
      <c r="BI65">
        <v>0</v>
      </c>
      <c r="BJ65">
        <v>5638.0507504828383</v>
      </c>
      <c r="BK65">
        <v>15881.829730245667</v>
      </c>
      <c r="BL65">
        <v>23572.974807135037</v>
      </c>
      <c r="BM65">
        <v>25204.709085383052</v>
      </c>
    </row>
    <row r="66" spans="1:69" x14ac:dyDescent="0.25">
      <c r="A66" s="201">
        <v>2046</v>
      </c>
      <c r="B66" s="202">
        <v>50</v>
      </c>
      <c r="C66" s="203">
        <v>50</v>
      </c>
      <c r="D66" s="203">
        <v>55.549607970638938</v>
      </c>
      <c r="E66" s="203">
        <v>58.262618053223413</v>
      </c>
      <c r="F66" s="203">
        <v>60.869385406133603</v>
      </c>
      <c r="G66" s="202">
        <f t="shared" si="15"/>
        <v>80.083868879072085</v>
      </c>
      <c r="H66" s="203">
        <f t="shared" si="16"/>
        <v>80.083868879072085</v>
      </c>
      <c r="I66" s="203">
        <f t="shared" si="17"/>
        <v>88.97255042009013</v>
      </c>
      <c r="J66" s="203">
        <f t="shared" si="18"/>
        <v>93.317917294516036</v>
      </c>
      <c r="K66" s="204">
        <f t="shared" si="19"/>
        <v>97.493117592290147</v>
      </c>
      <c r="L66" s="211">
        <v>24437.389295485551</v>
      </c>
      <c r="M66" s="212">
        <v>24079.729638686138</v>
      </c>
      <c r="N66" s="212">
        <v>23353.945414675643</v>
      </c>
      <c r="O66" s="212">
        <v>21897.201112591771</v>
      </c>
      <c r="P66" s="213">
        <v>18866.231012889282</v>
      </c>
      <c r="Q66" s="211">
        <v>23466.280037594101</v>
      </c>
      <c r="R66" s="212">
        <v>23466.280037594101</v>
      </c>
      <c r="S66" s="212">
        <v>23466.280037594101</v>
      </c>
      <c r="T66" s="212">
        <v>23466.280037594101</v>
      </c>
      <c r="U66" s="213">
        <v>23466.280037594101</v>
      </c>
      <c r="V66" s="213">
        <f>Model!O29+Model!P29</f>
        <v>31935.522302313373</v>
      </c>
      <c r="W66" s="211">
        <v>49523.329488719282</v>
      </c>
      <c r="X66" s="212">
        <v>53136.902335553481</v>
      </c>
      <c r="Y66" s="212">
        <v>53130.493559979426</v>
      </c>
      <c r="Z66" s="212">
        <v>64115.347901982357</v>
      </c>
      <c r="AA66" s="213">
        <v>102612.67496008459</v>
      </c>
      <c r="AB66" s="46">
        <f ca="1"/>
        <v>20659.928036842844</v>
      </c>
      <c r="AC66" s="2">
        <f>'Govt supply'!X28/'Govt supply'!$X$5</f>
        <v>1.6016773775814417</v>
      </c>
      <c r="AD66">
        <f ca="1">Model!X29</f>
        <v>55.549607970638938</v>
      </c>
      <c r="AE66" s="20">
        <f ca="1">Model!AU29</f>
        <v>23353.945414675643</v>
      </c>
      <c r="AF66" s="20">
        <f ca="1">Model!BW29</f>
        <v>23466.280037594101</v>
      </c>
      <c r="AG66" s="20">
        <f ca="1">Model!BH29</f>
        <v>53130.493559979426</v>
      </c>
      <c r="AH66">
        <f ca="1">Model!AC29/1000</f>
        <v>0</v>
      </c>
      <c r="AJ66" s="87">
        <f t="shared" si="2"/>
        <v>32906.631560204827</v>
      </c>
      <c r="AK66" s="87">
        <f t="shared" si="3"/>
        <v>32548.971903405414</v>
      </c>
      <c r="AL66" s="87">
        <f t="shared" si="4"/>
        <v>31823.18767939492</v>
      </c>
      <c r="AM66" s="87">
        <f t="shared" si="5"/>
        <v>30366.443377311043</v>
      </c>
      <c r="AN66" s="87">
        <f t="shared" si="6"/>
        <v>27335.473277608558</v>
      </c>
      <c r="AO66" s="183">
        <f t="shared" si="7"/>
        <v>17.409248713218062</v>
      </c>
      <c r="AP66" s="183">
        <f t="shared" si="8"/>
        <v>5571.1582825962687</v>
      </c>
      <c r="AQ66" s="183">
        <f t="shared" si="9"/>
        <v>0</v>
      </c>
      <c r="AR66" s="183">
        <f t="shared" si="10"/>
        <v>53089.345471365312</v>
      </c>
      <c r="AS66" s="183">
        <f t="shared" si="20"/>
        <v>5571.1582825962687</v>
      </c>
      <c r="AT66" s="183">
        <f t="shared" si="11"/>
        <v>80.083868879072085</v>
      </c>
      <c r="AU66" s="87">
        <f t="shared" si="12"/>
        <v>18866.231012889282</v>
      </c>
      <c r="AV66" s="87">
        <f t="shared" si="13"/>
        <v>23466.280037594101</v>
      </c>
      <c r="AW66" s="87">
        <f t="shared" si="14"/>
        <v>49523.329488719282</v>
      </c>
      <c r="AX66" s="87">
        <f t="shared" si="21"/>
        <v>27335.473277608558</v>
      </c>
      <c r="BG66">
        <v>1887.2810204355719</v>
      </c>
      <c r="BH66">
        <v>0</v>
      </c>
      <c r="BI66">
        <v>0</v>
      </c>
      <c r="BJ66">
        <v>5451.3823360179522</v>
      </c>
      <c r="BK66">
        <v>16015.282058222119</v>
      </c>
      <c r="BL66">
        <v>23353.945414675643</v>
      </c>
      <c r="BM66">
        <v>24966.163939883983</v>
      </c>
    </row>
    <row r="67" spans="1:69" x14ac:dyDescent="0.25">
      <c r="A67" s="196">
        <v>2047</v>
      </c>
      <c r="B67" s="205">
        <v>50</v>
      </c>
      <c r="C67" s="164">
        <v>50</v>
      </c>
      <c r="D67" s="164">
        <v>54.188642575358287</v>
      </c>
      <c r="E67" s="164">
        <v>57.417810091451678</v>
      </c>
      <c r="F67" s="164">
        <v>60.595473171806006</v>
      </c>
      <c r="G67" s="205">
        <f t="shared" si="15"/>
        <v>81.685546256653524</v>
      </c>
      <c r="H67" s="164">
        <f t="shared" si="16"/>
        <v>81.685546256653524</v>
      </c>
      <c r="I67" s="164">
        <f t="shared" si="17"/>
        <v>88.52857739349389</v>
      </c>
      <c r="J67" s="164">
        <f t="shared" si="18"/>
        <v>93.804103643620479</v>
      </c>
      <c r="K67" s="206">
        <f t="shared" si="19"/>
        <v>98.995486534387354</v>
      </c>
      <c r="L67" s="214">
        <v>24116.03786595885</v>
      </c>
      <c r="M67" s="215">
        <v>23759.25305637054</v>
      </c>
      <c r="N67" s="215">
        <v>23048.648156860301</v>
      </c>
      <c r="O67" s="215">
        <v>21609.24420911949</v>
      </c>
      <c r="P67" s="216">
        <v>18567.143194236549</v>
      </c>
      <c r="Q67" s="214">
        <v>22201.271910583535</v>
      </c>
      <c r="R67" s="215">
        <v>22201.271910583535</v>
      </c>
      <c r="S67" s="215">
        <v>22201.271910583535</v>
      </c>
      <c r="T67" s="215">
        <v>22201.271910583535</v>
      </c>
      <c r="U67" s="216">
        <v>22201.271910583535</v>
      </c>
      <c r="V67" s="216">
        <f>Model!O30+Model!P30</f>
        <v>31692.149552725223</v>
      </c>
      <c r="W67" s="214">
        <v>46391.733406510553</v>
      </c>
      <c r="X67" s="215">
        <v>49607.813240192991</v>
      </c>
      <c r="Y67" s="215">
        <v>50280.984057564514</v>
      </c>
      <c r="Z67" s="215">
        <v>62705.24234730826</v>
      </c>
      <c r="AA67" s="216">
        <v>104244.67042029343</v>
      </c>
      <c r="AB67" s="46">
        <f ca="1"/>
        <v>20240.258095865138</v>
      </c>
      <c r="AC67" s="2">
        <f>'Govt supply'!X29/'Govt supply'!$X$5</f>
        <v>1.6337109251330706</v>
      </c>
      <c r="AD67">
        <f ca="1">Model!X30</f>
        <v>54.188642575358287</v>
      </c>
      <c r="AE67" s="20">
        <f ca="1">Model!AU30</f>
        <v>23048.648156860301</v>
      </c>
      <c r="AF67" s="20">
        <f ca="1">Model!BW30</f>
        <v>22201.271910583535</v>
      </c>
      <c r="AG67" s="20">
        <f ca="1">Model!BH30</f>
        <v>50280.984057564514</v>
      </c>
      <c r="AH67">
        <f ca="1">Model!AC30/1000</f>
        <v>0</v>
      </c>
      <c r="AJ67" s="87">
        <f t="shared" si="2"/>
        <v>33606.915508100537</v>
      </c>
      <c r="AK67" s="87">
        <f t="shared" si="3"/>
        <v>33250.130698512228</v>
      </c>
      <c r="AL67" s="87">
        <f t="shared" si="4"/>
        <v>32539.525799001989</v>
      </c>
      <c r="AM67" s="87">
        <f t="shared" si="5"/>
        <v>31100.121851261174</v>
      </c>
      <c r="AN67" s="87">
        <f t="shared" si="6"/>
        <v>28058.020836378237</v>
      </c>
      <c r="AO67" s="183">
        <f t="shared" si="7"/>
        <v>17.30994027773383</v>
      </c>
      <c r="AP67" s="183">
        <f t="shared" si="8"/>
        <v>5548.8946717223007</v>
      </c>
      <c r="AQ67" s="183">
        <f t="shared" si="9"/>
        <v>0</v>
      </c>
      <c r="AR67" s="183">
        <f t="shared" si="10"/>
        <v>57852.937013782881</v>
      </c>
      <c r="AS67" s="183">
        <f t="shared" si="20"/>
        <v>5548.8946717223007</v>
      </c>
      <c r="AT67" s="183">
        <f t="shared" si="11"/>
        <v>81.685546256653524</v>
      </c>
      <c r="AU67" s="87">
        <f t="shared" si="12"/>
        <v>18567.143194236549</v>
      </c>
      <c r="AV67" s="87">
        <f t="shared" si="13"/>
        <v>22201.271910583535</v>
      </c>
      <c r="AW67" s="87">
        <f t="shared" si="14"/>
        <v>46391.733406510553</v>
      </c>
      <c r="AX67" s="87">
        <f t="shared" si="21"/>
        <v>28058.020836378237</v>
      </c>
      <c r="BG67">
        <v>1721.46771446461</v>
      </c>
      <c r="BH67">
        <v>0</v>
      </c>
      <c r="BI67">
        <v>0</v>
      </c>
      <c r="BJ67">
        <v>5165.4796639653068</v>
      </c>
      <c r="BK67">
        <v>16161.700778430386</v>
      </c>
      <c r="BL67">
        <v>23048.648156860301</v>
      </c>
      <c r="BM67">
        <v>24643.983157773051</v>
      </c>
    </row>
    <row r="68" spans="1:69" x14ac:dyDescent="0.25">
      <c r="A68" s="196">
        <v>2048</v>
      </c>
      <c r="B68" s="205">
        <v>50</v>
      </c>
      <c r="C68" s="164">
        <v>50</v>
      </c>
      <c r="D68" s="164">
        <v>52.861020832262014</v>
      </c>
      <c r="E68" s="164">
        <v>56.585251845125633</v>
      </c>
      <c r="F68" s="164">
        <v>60.322793542532885</v>
      </c>
      <c r="G68" s="205">
        <f t="shared" si="15"/>
        <v>83.319257181786597</v>
      </c>
      <c r="H68" s="164">
        <f t="shared" si="16"/>
        <v>83.319257181786597</v>
      </c>
      <c r="I68" s="164">
        <f t="shared" si="17"/>
        <v>88.086819792300361</v>
      </c>
      <c r="J68" s="164">
        <f t="shared" si="18"/>
        <v>94.292823023603745</v>
      </c>
      <c r="K68" s="206">
        <f t="shared" si="19"/>
        <v>100.52100698188227</v>
      </c>
      <c r="L68" s="214">
        <v>23863.477294121429</v>
      </c>
      <c r="M68" s="215">
        <v>23507.223618072399</v>
      </c>
      <c r="N68" s="215">
        <v>22809.749040803676</v>
      </c>
      <c r="O68" s="215">
        <v>21388.906578777442</v>
      </c>
      <c r="P68" s="216">
        <v>18337.185343761696</v>
      </c>
      <c r="Q68" s="214">
        <v>21426.60650923297</v>
      </c>
      <c r="R68" s="215">
        <v>21426.60650923297</v>
      </c>
      <c r="S68" s="215">
        <v>21426.60650923297</v>
      </c>
      <c r="T68" s="215">
        <v>21426.60650923297</v>
      </c>
      <c r="U68" s="216">
        <v>21426.60650923297</v>
      </c>
      <c r="V68" s="216">
        <f>Model!O31+Model!P31</f>
        <v>31476.719470251192</v>
      </c>
      <c r="W68" s="214">
        <v>43146.218539805777</v>
      </c>
      <c r="X68" s="215">
        <v>46008.529591783139</v>
      </c>
      <c r="Y68" s="215">
        <v>47178.790966878412</v>
      </c>
      <c r="Z68" s="215">
        <v>61023.891718648396</v>
      </c>
      <c r="AA68" s="216">
        <v>105615.04102664931</v>
      </c>
      <c r="AB68" s="46">
        <f ca="1"/>
        <v>19914.154796728981</v>
      </c>
      <c r="AC68" s="2">
        <f>'Govt supply'!X30/'Govt supply'!$X$5</f>
        <v>1.666385143635732</v>
      </c>
      <c r="AD68">
        <f ca="1">Model!X31</f>
        <v>52.861020832262014</v>
      </c>
      <c r="AE68" s="20">
        <f ca="1">Model!AU31</f>
        <v>22809.749040803676</v>
      </c>
      <c r="AF68" s="20">
        <f ca="1">Model!BW31</f>
        <v>21426.60650923297</v>
      </c>
      <c r="AG68" s="20">
        <f ca="1">Model!BH31</f>
        <v>47178.790966878412</v>
      </c>
      <c r="AH68">
        <f ca="1">Model!AC31/1000</f>
        <v>0</v>
      </c>
      <c r="AJ68" s="87">
        <f t="shared" si="2"/>
        <v>33913.590255139658</v>
      </c>
      <c r="AK68" s="87">
        <f t="shared" si="3"/>
        <v>33557.336579090625</v>
      </c>
      <c r="AL68" s="87">
        <f t="shared" si="4"/>
        <v>32859.862001821894</v>
      </c>
      <c r="AM68" s="87">
        <f t="shared" si="5"/>
        <v>31439.019539795667</v>
      </c>
      <c r="AN68" s="87">
        <f t="shared" si="6"/>
        <v>28387.298304779917</v>
      </c>
      <c r="AO68" s="183">
        <f t="shared" si="7"/>
        <v>17.201749800095669</v>
      </c>
      <c r="AP68" s="183">
        <f t="shared" si="8"/>
        <v>5526.2919503597332</v>
      </c>
      <c r="AQ68" s="183">
        <f t="shared" si="9"/>
        <v>0</v>
      </c>
      <c r="AR68" s="183">
        <f t="shared" si="10"/>
        <v>62468.822486843535</v>
      </c>
      <c r="AS68" s="183">
        <f t="shared" si="20"/>
        <v>5526.2919503597404</v>
      </c>
      <c r="AT68" s="183">
        <f t="shared" si="11"/>
        <v>83.319257181786597</v>
      </c>
      <c r="AU68" s="87">
        <f t="shared" si="12"/>
        <v>18337.185343761696</v>
      </c>
      <c r="AV68" s="87">
        <f t="shared" si="13"/>
        <v>21426.60650923297</v>
      </c>
      <c r="AW68" s="87">
        <f t="shared" si="14"/>
        <v>43146.218539805777</v>
      </c>
      <c r="AX68" s="87">
        <f t="shared" si="21"/>
        <v>28387.298304779917</v>
      </c>
      <c r="BG68">
        <v>1555.6544084936475</v>
      </c>
      <c r="BH68">
        <v>0</v>
      </c>
      <c r="BI68">
        <v>0</v>
      </c>
      <c r="BJ68">
        <v>4959.768898697479</v>
      </c>
      <c r="BK68">
        <v>16294.32573361255</v>
      </c>
      <c r="BL68">
        <v>22809.749040803676</v>
      </c>
      <c r="BM68">
        <v>24390.937422627991</v>
      </c>
    </row>
    <row r="69" spans="1:69" x14ac:dyDescent="0.25">
      <c r="A69" s="196">
        <v>2049</v>
      </c>
      <c r="B69" s="205">
        <v>50</v>
      </c>
      <c r="C69" s="164">
        <v>50</v>
      </c>
      <c r="D69" s="164">
        <v>51.565925821871595</v>
      </c>
      <c r="E69" s="164">
        <v>55.764765693371317</v>
      </c>
      <c r="F69" s="164">
        <v>60.051340971591493</v>
      </c>
      <c r="G69" s="205">
        <f t="shared" si="15"/>
        <v>84.985642325422333</v>
      </c>
      <c r="H69" s="164">
        <f t="shared" si="16"/>
        <v>84.985642325422333</v>
      </c>
      <c r="I69" s="164">
        <f t="shared" si="17"/>
        <v>87.647266561536782</v>
      </c>
      <c r="J69" s="164">
        <f t="shared" si="18"/>
        <v>94.784088631556742</v>
      </c>
      <c r="K69" s="206">
        <f t="shared" si="19"/>
        <v>102.0700356994731</v>
      </c>
      <c r="L69" s="214">
        <v>23562.204793676006</v>
      </c>
      <c r="M69" s="215">
        <v>23206.273597659081</v>
      </c>
      <c r="N69" s="215">
        <v>22519.507750277153</v>
      </c>
      <c r="O69" s="215">
        <v>21118.071547719388</v>
      </c>
      <c r="P69" s="216">
        <v>18058.680937887242</v>
      </c>
      <c r="Q69" s="214">
        <v>21561.782762771447</v>
      </c>
      <c r="R69" s="215">
        <v>21561.782762771447</v>
      </c>
      <c r="S69" s="215">
        <v>21561.782762771447</v>
      </c>
      <c r="T69" s="215">
        <v>21561.782762771447</v>
      </c>
      <c r="U69" s="216">
        <v>21561.782762771447</v>
      </c>
      <c r="V69" s="216">
        <f>Model!O32+Model!P32</f>
        <v>31270.759876656426</v>
      </c>
      <c r="W69" s="214">
        <v>38535.2193101792</v>
      </c>
      <c r="X69" s="215">
        <v>41082.676146439051</v>
      </c>
      <c r="Y69" s="215">
        <v>42621.824592330013</v>
      </c>
      <c r="Z69" s="215">
        <v>57868.361546657761</v>
      </c>
      <c r="AA69" s="216">
        <v>105518.90146449083</v>
      </c>
      <c r="AB69" s="46">
        <f ca="1"/>
        <v>19684.487310993834</v>
      </c>
      <c r="AC69" s="2">
        <f>'Govt supply'!X31/'Govt supply'!$X$5</f>
        <v>1.6997128465084468</v>
      </c>
      <c r="AD69">
        <f ca="1">Model!X32</f>
        <v>51.565925821871595</v>
      </c>
      <c r="AE69" s="20">
        <f ca="1">Model!AU32</f>
        <v>22519.507750277153</v>
      </c>
      <c r="AF69" s="20">
        <f ca="1">Model!BW32</f>
        <v>21561.782762771447</v>
      </c>
      <c r="AG69" s="20">
        <f ca="1">Model!BH32</f>
        <v>42621.824592330013</v>
      </c>
      <c r="AH69">
        <f ca="1">Model!AC32/1000</f>
        <v>0</v>
      </c>
      <c r="AJ69" s="87">
        <f t="shared" si="2"/>
        <v>33271.181907560982</v>
      </c>
      <c r="AK69" s="87">
        <f t="shared" si="3"/>
        <v>32915.250711544068</v>
      </c>
      <c r="AL69" s="87">
        <f t="shared" si="4"/>
        <v>32228.484864162132</v>
      </c>
      <c r="AM69" s="87">
        <f t="shared" si="5"/>
        <v>30827.048661604367</v>
      </c>
      <c r="AN69" s="87">
        <f t="shared" si="6"/>
        <v>27767.658051772221</v>
      </c>
      <c r="AO69" s="183">
        <f t="shared" si="7"/>
        <v>17.084393374050762</v>
      </c>
      <c r="AP69" s="183">
        <f t="shared" si="8"/>
        <v>5503.5238557887642</v>
      </c>
      <c r="AQ69" s="183">
        <f t="shared" si="9"/>
        <v>0</v>
      </c>
      <c r="AR69" s="183">
        <f t="shared" si="10"/>
        <v>66983.682154311624</v>
      </c>
      <c r="AS69" s="183">
        <f t="shared" si="20"/>
        <v>5503.5238557887606</v>
      </c>
      <c r="AT69" s="183">
        <f t="shared" si="11"/>
        <v>84.985642325422333</v>
      </c>
      <c r="AU69" s="87">
        <f t="shared" si="12"/>
        <v>18058.680937887242</v>
      </c>
      <c r="AV69" s="87">
        <f t="shared" si="13"/>
        <v>21561.782762771447</v>
      </c>
      <c r="AW69" s="87">
        <f t="shared" si="14"/>
        <v>38535.2193101792</v>
      </c>
      <c r="AX69" s="87">
        <f t="shared" si="21"/>
        <v>27767.658051772221</v>
      </c>
      <c r="BG69">
        <v>1389.8411025226862</v>
      </c>
      <c r="BH69">
        <v>0</v>
      </c>
      <c r="BI69">
        <v>0</v>
      </c>
      <c r="BJ69">
        <v>4692.0511843004606</v>
      </c>
      <c r="BK69">
        <v>16437.615463454007</v>
      </c>
      <c r="BL69">
        <v>22519.507750277153</v>
      </c>
      <c r="BM69">
        <v>24089.380959919028</v>
      </c>
    </row>
    <row r="70" spans="1:69" x14ac:dyDescent="0.25">
      <c r="A70" s="198">
        <v>2050</v>
      </c>
      <c r="B70" s="207">
        <v>50</v>
      </c>
      <c r="C70" s="208">
        <v>50</v>
      </c>
      <c r="D70" s="208">
        <v>50.302560639235743</v>
      </c>
      <c r="E70" s="208">
        <v>54.956176590817435</v>
      </c>
      <c r="F70" s="208">
        <v>59.781109937219334</v>
      </c>
      <c r="G70" s="207">
        <f t="shared" si="15"/>
        <v>86.685355171930794</v>
      </c>
      <c r="H70" s="208">
        <f t="shared" si="16"/>
        <v>86.685355171930794</v>
      </c>
      <c r="I70" s="208">
        <f t="shared" si="17"/>
        <v>87.209906701394729</v>
      </c>
      <c r="J70" s="208">
        <f t="shared" si="18"/>
        <v>95.277913733327154</v>
      </c>
      <c r="K70" s="209">
        <f t="shared" si="19"/>
        <v>103.64293494960198</v>
      </c>
      <c r="L70" s="217">
        <v>23305.878825755062</v>
      </c>
      <c r="M70" s="218">
        <v>22950.143387310243</v>
      </c>
      <c r="N70" s="218">
        <v>22271.411166192418</v>
      </c>
      <c r="O70" s="218">
        <v>20889.987345877158</v>
      </c>
      <c r="P70" s="219">
        <v>17825.185694702392</v>
      </c>
      <c r="Q70" s="217">
        <v>21753.146369474176</v>
      </c>
      <c r="R70" s="218">
        <v>21753.146369474176</v>
      </c>
      <c r="S70" s="218">
        <v>21753.146369474176</v>
      </c>
      <c r="T70" s="218">
        <v>21753.146369474176</v>
      </c>
      <c r="U70" s="219">
        <v>21753.146369474176</v>
      </c>
      <c r="V70" s="219">
        <f>Model!O33+Model!P33</f>
        <v>31137.00286531062</v>
      </c>
      <c r="W70" s="217">
        <v>33712.541091101069</v>
      </c>
      <c r="X70" s="218">
        <v>35979.777675372337</v>
      </c>
      <c r="Y70" s="218">
        <v>37575.368275598754</v>
      </c>
      <c r="Z70" s="218">
        <v>54203.329050241759</v>
      </c>
      <c r="AA70" s="219">
        <v>104918.67061924959</v>
      </c>
      <c r="AB70" s="46">
        <f ca="1"/>
        <v>19554.77576950402</v>
      </c>
      <c r="AC70" s="2">
        <f>'Govt supply'!X32/'Govt supply'!$X$5</f>
        <v>1.7337071034386158</v>
      </c>
      <c r="AD70">
        <f ca="1">Model!X33</f>
        <v>50.302560639235743</v>
      </c>
      <c r="AE70" s="20">
        <f ca="1">Model!AU33</f>
        <v>22271.411166192418</v>
      </c>
      <c r="AF70" s="20">
        <f ca="1">Model!BW33</f>
        <v>21753.146369474176</v>
      </c>
      <c r="AG70" s="20">
        <f ca="1">Model!BH33</f>
        <v>37575.368275598754</v>
      </c>
      <c r="AH70">
        <f ca="1">Model!AC33/1000</f>
        <v>0</v>
      </c>
      <c r="AJ70" s="87">
        <f t="shared" si="2"/>
        <v>32689.735321591506</v>
      </c>
      <c r="AK70" s="87">
        <f t="shared" si="3"/>
        <v>32333.999883146687</v>
      </c>
      <c r="AL70" s="87">
        <f t="shared" si="4"/>
        <v>31655.267662028862</v>
      </c>
      <c r="AM70" s="87">
        <f t="shared" si="5"/>
        <v>30273.843841713599</v>
      </c>
      <c r="AN70" s="87">
        <f t="shared" si="6"/>
        <v>27209.042190538836</v>
      </c>
      <c r="AO70" s="183">
        <f t="shared" si="7"/>
        <v>16.957579777671185</v>
      </c>
      <c r="AP70" s="183">
        <f t="shared" si="8"/>
        <v>5480.6931310526707</v>
      </c>
      <c r="AQ70" s="183">
        <f t="shared" si="9"/>
        <v>0</v>
      </c>
      <c r="AR70" s="183">
        <f t="shared" si="10"/>
        <v>71206.129528148522</v>
      </c>
      <c r="AS70" s="183">
        <f t="shared" si="20"/>
        <v>5480.6931310526707</v>
      </c>
      <c r="AT70" s="183">
        <f t="shared" si="11"/>
        <v>86.685355171930794</v>
      </c>
      <c r="AU70" s="87">
        <f t="shared" si="12"/>
        <v>17825.185694702392</v>
      </c>
      <c r="AV70" s="87">
        <f t="shared" si="13"/>
        <v>21753.146369474176</v>
      </c>
      <c r="AW70" s="87">
        <f t="shared" si="14"/>
        <v>33712.541091101069</v>
      </c>
      <c r="AX70" s="87">
        <f t="shared" si="21"/>
        <v>27209.042190538836</v>
      </c>
      <c r="BG70">
        <v>1224.0277965517241</v>
      </c>
      <c r="BH70">
        <v>0</v>
      </c>
      <c r="BI70">
        <v>0</v>
      </c>
      <c r="BJ70">
        <v>4462.6522217728452</v>
      </c>
      <c r="BK70">
        <v>16584.731147867849</v>
      </c>
      <c r="BL70">
        <v>22271.411166192418</v>
      </c>
      <c r="BM70">
        <v>23832.888740920491</v>
      </c>
      <c r="BQ70" s="87">
        <f>BQ74*(1-0.24)</f>
        <v>28955.24</v>
      </c>
    </row>
    <row r="71" spans="1:69" x14ac:dyDescent="0.25">
      <c r="AB71" s="87">
        <f ca="1">SUM(_xlfn.ANCHORARRAY(AB42))</f>
        <v>993726.0032450665</v>
      </c>
      <c r="AL71" s="87"/>
    </row>
    <row r="72" spans="1:69" x14ac:dyDescent="0.25">
      <c r="AI72" s="38" t="s">
        <v>69</v>
      </c>
      <c r="AJ72" s="87">
        <f>SUM(AJ46:AJ50)</f>
        <v>307434.93641215638</v>
      </c>
      <c r="AK72" s="87">
        <f t="shared" ref="AK72:AN72" si="22">SUM(AK46:AK50)</f>
        <v>304750.39409046061</v>
      </c>
      <c r="AL72" s="87">
        <f t="shared" si="22"/>
        <v>303295.13973324868</v>
      </c>
      <c r="AM72" s="87">
        <f t="shared" si="22"/>
        <v>298347.71026920911</v>
      </c>
      <c r="AN72" s="87">
        <f t="shared" si="22"/>
        <v>290528.14230538957</v>
      </c>
    </row>
    <row r="73" spans="1:69" x14ac:dyDescent="0.25">
      <c r="D73" s="183">
        <f>D50*1.041</f>
        <v>85.999385524401589</v>
      </c>
      <c r="AI73" s="38" t="s">
        <v>70</v>
      </c>
      <c r="AJ73" s="87">
        <f>AJ72-3870</f>
        <v>303564.93641215638</v>
      </c>
      <c r="AK73" s="87">
        <f t="shared" ref="AK73:AN73" si="23">AK72-3870</f>
        <v>300880.39409046061</v>
      </c>
      <c r="AL73" s="87">
        <f t="shared" si="23"/>
        <v>299425.13973324868</v>
      </c>
      <c r="AM73" s="87">
        <f t="shared" si="23"/>
        <v>294477.71026920911</v>
      </c>
      <c r="AN73" s="87">
        <f t="shared" si="23"/>
        <v>286658.14230538957</v>
      </c>
    </row>
    <row r="74" spans="1:69" x14ac:dyDescent="0.25">
      <c r="AJ74" s="192">
        <f>AJ73/305000-1</f>
        <v>-4.7051265175200863E-3</v>
      </c>
      <c r="AK74" s="192">
        <f>AK73/305000-1</f>
        <v>-1.3506904621440663E-2</v>
      </c>
      <c r="BP74" s="38" t="s">
        <v>71</v>
      </c>
      <c r="BQ74">
        <v>38099</v>
      </c>
    </row>
  </sheetData>
  <mergeCells count="16">
    <mergeCell ref="X2:AA2"/>
    <mergeCell ref="Y3:Z3"/>
    <mergeCell ref="AA3:AA4"/>
    <mergeCell ref="Y20:AB20"/>
    <mergeCell ref="Y26:AB27"/>
    <mergeCell ref="Q39:U39"/>
    <mergeCell ref="L39:P39"/>
    <mergeCell ref="G39:K39"/>
    <mergeCell ref="B39:F39"/>
    <mergeCell ref="R8:W8"/>
    <mergeCell ref="R14:W14"/>
    <mergeCell ref="B38:K38"/>
    <mergeCell ref="L38:V38"/>
    <mergeCell ref="W38:AA38"/>
    <mergeCell ref="Y28:AB29"/>
    <mergeCell ref="Q18:W19"/>
  </mergeCells>
  <conditionalFormatting sqref="Z22:AB22">
    <cfRule type="cellIs" dxfId="8" priority="10" operator="greaterThan">
      <formula>$Y$22*1.01</formula>
    </cfRule>
    <cfRule type="cellIs" dxfId="7" priority="11" operator="between">
      <formula>$Y$22</formula>
      <formula>$Y$22*1.01</formula>
    </cfRule>
    <cfRule type="cellIs" dxfId="6" priority="12" operator="lessThan">
      <formula>$Y$22</formula>
    </cfRule>
  </conditionalFormatting>
  <conditionalFormatting sqref="Z24:AB24">
    <cfRule type="cellIs" dxfId="5" priority="7" operator="greaterThan">
      <formula>$Y$24*1.01</formula>
    </cfRule>
    <cfRule type="cellIs" dxfId="4" priority="8" operator="between">
      <formula>$Y$24</formula>
      <formula>$Y$24*1.01</formula>
    </cfRule>
    <cfRule type="cellIs" dxfId="3" priority="9" operator="lessThan">
      <formula>$Y$24</formula>
    </cfRule>
  </conditionalFormatting>
  <conditionalFormatting sqref="Z23:AB23">
    <cfRule type="cellIs" dxfId="2" priority="4" operator="greaterThan">
      <formula>$Y$23*1.01</formula>
    </cfRule>
    <cfRule type="cellIs" dxfId="1" priority="5" operator="between">
      <formula>$Y$23</formula>
      <formula>$Y$23*1.01</formula>
    </cfRule>
    <cfRule type="cellIs" dxfId="0" priority="6" operator="lessThan">
      <formula>$Y$23</formula>
    </cfRule>
  </conditionalFormatting>
  <pageMargins left="0.7" right="0.7" top="0.75" bottom="0.75" header="0.3" footer="0.3"/>
  <pageSetup paperSize="9" scale="50" orientation="landscape" r:id="rId1"/>
  <ignoredErrors>
    <ignoredError sqref="Z22 Z24:AB24 Z23 AB23 AB22 Z25 AB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9570" r:id="rId4" name="Button 2">
              <controlPr defaultSize="0" print="0" autoFill="0" autoPict="0" macro="[0]!Dashboard2">
                <anchor moveWithCells="1" sizeWithCells="1">
                  <from>
                    <xdr:col>30</xdr:col>
                    <xdr:colOff>66675</xdr:colOff>
                    <xdr:row>17</xdr:row>
                    <xdr:rowOff>161925</xdr:rowOff>
                  </from>
                  <to>
                    <xdr:col>33</xdr:col>
                    <xdr:colOff>38100</xdr:colOff>
                    <xdr:row>21</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FD6E3-515B-4533-B6BC-7CCFC5069239}">
  <sheetPr codeName="Sheet1">
    <tabColor theme="7" tint="-0.499984740745262"/>
    <pageSetUpPr fitToPage="1"/>
  </sheetPr>
  <dimension ref="A1:BZ117"/>
  <sheetViews>
    <sheetView tabSelected="1" zoomScale="80" zoomScaleNormal="80" workbookViewId="0">
      <selection activeCell="P14" sqref="P14"/>
    </sheetView>
  </sheetViews>
  <sheetFormatPr defaultRowHeight="15" x14ac:dyDescent="0.25"/>
  <cols>
    <col min="1" max="1" width="28.42578125" customWidth="1"/>
    <col min="2" max="2" width="33.42578125" bestFit="1" customWidth="1"/>
    <col min="3" max="9" width="8.7109375" customWidth="1"/>
    <col min="10" max="10" width="13.28515625" customWidth="1"/>
    <col min="15" max="15" width="11.42578125" customWidth="1"/>
    <col min="16" max="16" width="10.7109375" customWidth="1"/>
    <col min="17" max="17" width="8.140625" bestFit="1" customWidth="1"/>
    <col min="18" max="23" width="8.140625" customWidth="1"/>
    <col min="24" max="26" width="10.5703125" customWidth="1"/>
    <col min="27" max="27" width="8.140625" customWidth="1"/>
    <col min="28" max="28" width="9.85546875" customWidth="1"/>
    <col min="30" max="30" width="6.85546875" bestFit="1" customWidth="1"/>
    <col min="31" max="31" width="11.140625" bestFit="1" customWidth="1"/>
    <col min="32" max="33" width="9.140625" customWidth="1"/>
    <col min="34" max="35" width="9.85546875" customWidth="1"/>
    <col min="36" max="36" width="10.85546875" customWidth="1"/>
    <col min="37" max="37" width="18.85546875" customWidth="1"/>
    <col min="38" max="42" width="10.85546875" customWidth="1"/>
    <col min="43" max="43" width="14.28515625" customWidth="1"/>
    <col min="44" max="44" width="10.85546875" customWidth="1"/>
    <col min="45" max="45" width="9.140625" bestFit="1" customWidth="1"/>
    <col min="46" max="46" width="12.7109375" customWidth="1"/>
    <col min="47" max="47" width="7.85546875" bestFit="1" customWidth="1"/>
    <col min="48" max="48" width="7.85546875" customWidth="1"/>
    <col min="49" max="49" width="8.140625" customWidth="1"/>
    <col min="50" max="53" width="11.5703125" customWidth="1"/>
    <col min="54" max="54" width="8.5703125" customWidth="1"/>
    <col min="55" max="55" width="10.42578125" customWidth="1"/>
    <col min="56" max="56" width="9.42578125" customWidth="1"/>
    <col min="57" max="57" width="11.5703125" customWidth="1"/>
    <col min="58" max="60" width="10.85546875" customWidth="1"/>
    <col min="61" max="65" width="8.5703125" customWidth="1"/>
    <col min="66" max="66" width="18.42578125" customWidth="1"/>
    <col min="67" max="67" width="9.28515625" hidden="1" customWidth="1"/>
    <col min="68" max="71" width="9.28515625" customWidth="1"/>
    <col min="72" max="72" width="12.140625" customWidth="1"/>
    <col min="73" max="73" width="9.28515625" customWidth="1"/>
    <col min="74" max="74" width="17.7109375" customWidth="1"/>
    <col min="75" max="75" width="13.7109375" customWidth="1"/>
    <col min="78" max="78" width="22.28515625" customWidth="1"/>
  </cols>
  <sheetData>
    <row r="1" spans="1:78" ht="45" customHeight="1" x14ac:dyDescent="0.25">
      <c r="A1" s="179" t="s">
        <v>72</v>
      </c>
      <c r="M1" s="20"/>
      <c r="N1" s="1"/>
      <c r="O1" s="240"/>
      <c r="S1" s="131" t="s">
        <v>73</v>
      </c>
      <c r="T1" s="130"/>
      <c r="U1" s="130"/>
      <c r="V1" s="130"/>
      <c r="W1" s="130"/>
      <c r="X1" s="39" t="s">
        <v>74</v>
      </c>
      <c r="Y1" s="39"/>
      <c r="Z1" s="39"/>
      <c r="AA1" s="143" t="s">
        <v>75</v>
      </c>
      <c r="AB1" s="144"/>
      <c r="AC1" s="144"/>
      <c r="AD1" s="155">
        <f ca="1">AD6/M6</f>
        <v>0</v>
      </c>
      <c r="AE1" s="145"/>
      <c r="AF1" s="145"/>
      <c r="AG1" s="152" t="s">
        <v>76</v>
      </c>
      <c r="AH1" s="102"/>
      <c r="AI1" s="102"/>
      <c r="AJ1" s="102"/>
      <c r="AK1" s="102"/>
      <c r="AL1" s="102"/>
      <c r="AM1" s="102"/>
      <c r="AN1" s="102"/>
      <c r="AO1" s="239"/>
      <c r="AP1" s="104" t="s">
        <v>76</v>
      </c>
      <c r="AQ1" s="104" t="s">
        <v>77</v>
      </c>
      <c r="AR1" s="134"/>
      <c r="AS1" s="134"/>
      <c r="AT1" s="149"/>
      <c r="AU1" s="145"/>
      <c r="AV1" s="145"/>
      <c r="AW1" s="145"/>
      <c r="AX1" s="145"/>
      <c r="AY1" s="145"/>
      <c r="AZ1" s="145"/>
      <c r="BA1" s="145"/>
      <c r="BB1" s="145"/>
      <c r="BC1" s="157" t="s">
        <v>78</v>
      </c>
      <c r="BD1" s="145"/>
      <c r="BE1" s="148"/>
      <c r="BF1" s="107"/>
      <c r="BG1" s="107"/>
      <c r="BH1" s="107"/>
      <c r="BI1" s="132" t="s">
        <v>79</v>
      </c>
      <c r="BJ1" s="132"/>
      <c r="BK1" s="132"/>
      <c r="BL1" s="132"/>
      <c r="BM1" s="194"/>
      <c r="BN1" s="194"/>
      <c r="BR1" t="s">
        <v>80</v>
      </c>
      <c r="BV1" s="10" t="s">
        <v>81</v>
      </c>
    </row>
    <row r="2" spans="1:78" ht="44.45" customHeight="1" x14ac:dyDescent="0.25">
      <c r="A2" s="1" t="s">
        <v>82</v>
      </c>
      <c r="K2" s="86" t="s">
        <v>83</v>
      </c>
      <c r="L2" s="86" t="s">
        <v>84</v>
      </c>
      <c r="M2" s="31" t="str">
        <f>"Baseline: "&amp;B3</f>
        <v>Baseline: CPR zero price</v>
      </c>
      <c r="N2" s="31" t="s">
        <v>85</v>
      </c>
      <c r="O2" s="142" t="s">
        <v>86</v>
      </c>
      <c r="P2" s="142" t="s">
        <v>87</v>
      </c>
      <c r="Q2" s="31" t="s">
        <v>88</v>
      </c>
      <c r="R2" s="31" t="s">
        <v>89</v>
      </c>
      <c r="S2" s="129" t="s">
        <v>90</v>
      </c>
      <c r="T2" s="129" t="s">
        <v>91</v>
      </c>
      <c r="U2" s="129" t="s">
        <v>92</v>
      </c>
      <c r="V2" s="129" t="s">
        <v>93</v>
      </c>
      <c r="W2" s="129" t="s">
        <v>94</v>
      </c>
      <c r="X2" s="106" t="str">
        <f>B4</f>
        <v>Discovered</v>
      </c>
      <c r="Y2" s="106" t="s">
        <v>95</v>
      </c>
      <c r="Z2" s="106" t="s">
        <v>96</v>
      </c>
      <c r="AA2" s="180" t="s">
        <v>97</v>
      </c>
      <c r="AB2" s="180" t="s">
        <v>60</v>
      </c>
      <c r="AC2" s="180" t="s">
        <v>61</v>
      </c>
      <c r="AD2" s="180" t="s">
        <v>98</v>
      </c>
      <c r="AE2" s="180" t="s">
        <v>99</v>
      </c>
      <c r="AF2" s="142" t="s">
        <v>100</v>
      </c>
      <c r="AG2" s="33" t="str">
        <f>B41&amp;" years"</f>
        <v>15 years</v>
      </c>
      <c r="AH2" s="33" t="s">
        <v>101</v>
      </c>
      <c r="AI2" s="33" t="s">
        <v>102</v>
      </c>
      <c r="AJ2" s="33" t="s">
        <v>103</v>
      </c>
      <c r="AK2" s="33" t="s">
        <v>104</v>
      </c>
      <c r="AL2" s="33" t="s">
        <v>105</v>
      </c>
      <c r="AM2" s="33" t="s">
        <v>106</v>
      </c>
      <c r="AN2" s="33" t="s">
        <v>107</v>
      </c>
      <c r="AO2" s="146" t="s">
        <v>108</v>
      </c>
      <c r="AP2" s="103" t="str">
        <f>B39&amp;" years (2019$)"</f>
        <v>10 years (2019$)</v>
      </c>
      <c r="AQ2" s="103" t="s">
        <v>109</v>
      </c>
      <c r="AR2" s="103" t="s">
        <v>110</v>
      </c>
      <c r="AS2" s="103"/>
      <c r="AT2" s="142" t="s">
        <v>111</v>
      </c>
      <c r="AU2" s="142" t="s">
        <v>112</v>
      </c>
      <c r="AV2" s="142"/>
      <c r="AW2" s="142" t="s">
        <v>113</v>
      </c>
      <c r="AX2" s="142" t="s">
        <v>114</v>
      </c>
      <c r="AY2" s="142" t="s">
        <v>62</v>
      </c>
      <c r="AZ2" s="142" t="s">
        <v>62</v>
      </c>
      <c r="BA2" s="142" t="s">
        <v>63</v>
      </c>
      <c r="BB2" s="142" t="s">
        <v>115</v>
      </c>
      <c r="BC2" s="158" t="s">
        <v>116</v>
      </c>
      <c r="BD2" s="142" t="s">
        <v>117</v>
      </c>
      <c r="BE2" s="142" t="s">
        <v>118</v>
      </c>
      <c r="BF2" s="108" t="s">
        <v>119</v>
      </c>
      <c r="BG2" s="108" t="s">
        <v>120</v>
      </c>
      <c r="BH2" s="108" t="s">
        <v>121</v>
      </c>
      <c r="BI2" s="133" t="s">
        <v>109</v>
      </c>
      <c r="BJ2" s="133" t="s">
        <v>110</v>
      </c>
      <c r="BK2" s="182" t="str">
        <f>BF2</f>
        <v>End of year liquid stockpile</v>
      </c>
      <c r="BL2" s="182" t="str">
        <f>BG2</f>
        <v>Other stockpile</v>
      </c>
      <c r="BM2" s="195" t="s">
        <v>122</v>
      </c>
      <c r="BN2" s="195" t="s">
        <v>552</v>
      </c>
      <c r="BP2" s="195" t="s">
        <v>551</v>
      </c>
      <c r="BQ2" s="10"/>
      <c r="BR2" s="375" t="s">
        <v>123</v>
      </c>
      <c r="BS2" s="375"/>
      <c r="BT2" s="10" t="s">
        <v>124</v>
      </c>
      <c r="BV2" s="10" t="s">
        <v>125</v>
      </c>
      <c r="BW2" s="10" t="s">
        <v>126</v>
      </c>
    </row>
    <row r="3" spans="1:78" ht="14.45" customHeight="1" x14ac:dyDescent="0.25">
      <c r="A3" s="242" t="s">
        <v>127</v>
      </c>
      <c r="B3" s="112" t="s">
        <v>128</v>
      </c>
      <c r="K3" s="19">
        <v>2020</v>
      </c>
      <c r="L3" s="127">
        <v>36389.36494318318</v>
      </c>
      <c r="M3" s="20">
        <f>IF($B$3="CPR/Demo average",AVERAGE(L3,Prices!BN5),IF($B$3="CPR zero price",L3,Prices!BN5))</f>
        <v>36389.36494318318</v>
      </c>
      <c r="N3" s="20">
        <v>0</v>
      </c>
      <c r="O3" s="20">
        <v>42869.25742798276</v>
      </c>
      <c r="P3" s="89">
        <v>2618.8964083842402</v>
      </c>
      <c r="Q3" s="20">
        <f>M3+N3</f>
        <v>36389.36494318318</v>
      </c>
      <c r="R3" s="20">
        <f>Prices!$BC5</f>
        <v>36911.614290734949</v>
      </c>
      <c r="S3" s="20"/>
      <c r="T3" s="20"/>
      <c r="U3" s="20"/>
      <c r="V3" s="20"/>
      <c r="W3" s="20"/>
      <c r="X3" s="18">
        <f ca="1">OFFSET(Prices!$B5,0,$C$4+1)</f>
        <v>25</v>
      </c>
      <c r="Y3" s="18"/>
      <c r="Z3" s="18">
        <f ca="1">IF(Y3=1,OFFSET(X3,MATCH(0,$Y3:$Y$33,0)-1,0)/((1+$B$27)^(MATCH(0,$Y3:$Y$33,0)-1)),X3)</f>
        <v>25</v>
      </c>
      <c r="AA3" s="20">
        <f>Historical!Y15/1000</f>
        <v>9141.866</v>
      </c>
      <c r="AB3" s="20">
        <v>7715.7219999999998</v>
      </c>
      <c r="AC3" s="10"/>
      <c r="AD3" s="10"/>
      <c r="AE3" s="32">
        <f t="shared" ref="AE3:AE33" si="0">SUM(AA3:AD3)</f>
        <v>16857.588</v>
      </c>
      <c r="AF3" s="20">
        <f>Q3-AE3-AO3</f>
        <v>19531.77694318318</v>
      </c>
      <c r="AG3" s="18">
        <f ca="1">(X3+IF($B$41&gt;0,NPV($B$40,X4:OFFSET(X3,$B$41,0)),0))/(1+PV($B$40,($B$41),-1))</f>
        <v>66.253292974658891</v>
      </c>
      <c r="AH3" s="20"/>
      <c r="AI3" s="20"/>
      <c r="AJ3" s="20">
        <f ca="1">INDEX(Removals!$G$3:$G$33,MATCH($K3,Removals!$A$3:$A$33,0))*1000</f>
        <v>3849.7408439486671</v>
      </c>
      <c r="AK3" s="20">
        <f ca="1">INDEX(Removals!$G$3:$G$33,MATCH($K3,Removals!$A$3:$A$33,0))*1000</f>
        <v>3849.7408439486671</v>
      </c>
      <c r="AL3" s="20"/>
      <c r="AM3" s="20">
        <f ca="1">ABS(AI3-AK3)</f>
        <v>3849.7408439486671</v>
      </c>
      <c r="AN3" s="20">
        <v>0</v>
      </c>
      <c r="AO3" s="32"/>
      <c r="AP3" s="18">
        <f ca="1">(X3+IF($B$39&gt;0,NPV($B$38,X4:OFFSET(X3,$B$39,0)),0))/(1+PV($B$38,($B$39),-1))/Model!$B$47</f>
        <v>54.488172867548975</v>
      </c>
      <c r="AQ3" s="20">
        <v>-4269.6140568168194</v>
      </c>
      <c r="AR3" s="20">
        <v>-4269.6140568168194</v>
      </c>
      <c r="AS3" s="32">
        <f ca="1">IF($C$4&lt;&gt;11,IF($B$10="ENZ",AR3,AQ3),Prices!BN5-OFFSET(Prices!$BB5,0,$C$4))</f>
        <v>-4269.6140568168194</v>
      </c>
      <c r="AT3" s="32">
        <f ca="1">AE3+AO3+AK3</f>
        <v>20707.328843948668</v>
      </c>
      <c r="AU3" s="32">
        <f ca="1">Q3-AS3</f>
        <v>40658.978999999999</v>
      </c>
      <c r="AV3" s="32"/>
      <c r="AW3" s="32"/>
      <c r="AX3" s="32">
        <f ca="1">AT3-AU3</f>
        <v>-19951.650156051332</v>
      </c>
      <c r="AY3" s="32">
        <f t="shared" ref="AY3:AY5" ca="1" si="1">MIN(MAX(0,-AX3),BF2)</f>
        <v>19951.650156051332</v>
      </c>
      <c r="AZ3" s="32">
        <f ca="1">AY3+AO3</f>
        <v>19951.650156051332</v>
      </c>
      <c r="BA3" s="32"/>
      <c r="BB3" s="32">
        <f ca="1">AZ3+BA3</f>
        <v>19951.650156051332</v>
      </c>
      <c r="BC3" s="32">
        <f ca="1">BB3+AO3</f>
        <v>19951.650156051332</v>
      </c>
      <c r="BD3" s="32">
        <f ca="1">AX3+BB3-AO3</f>
        <v>0</v>
      </c>
      <c r="BE3" s="32">
        <f ca="1">IF(BD3&lt;0,ABS(BD3)*1000000,ABS(BD3))</f>
        <v>0</v>
      </c>
      <c r="BF3" s="32">
        <f ca="1">BF4-MIN(AX3,AT3-AA3)</f>
        <v>65513.249929315571</v>
      </c>
      <c r="BG3" s="32">
        <f ca="1">BG4-(Removals!D4-Removals!H4)*1000</f>
        <v>41138.924406892598</v>
      </c>
      <c r="BH3" s="32">
        <f ca="1">BF3+BG3</f>
        <v>106652.17433620818</v>
      </c>
      <c r="BI3" s="32">
        <f t="shared" ref="BI3:BI33" si="2">$M3-AQ3</f>
        <v>40658.978999999999</v>
      </c>
      <c r="BJ3" s="32">
        <f t="shared" ref="BJ3:BJ33" si="3">$M3-AR3</f>
        <v>40658.978999999999</v>
      </c>
      <c r="BK3" s="32">
        <f ca="1">BF3/1000</f>
        <v>65.513249929315577</v>
      </c>
      <c r="BL3" s="32">
        <f ca="1">BG3/1000</f>
        <v>41.138924406892599</v>
      </c>
      <c r="BM3" s="186">
        <f ca="1">AJ3/AT3</f>
        <v>0.18591199632557545</v>
      </c>
      <c r="BN3" s="193">
        <f ca="1">BH3/AU3</f>
        <v>2.6230903224650128</v>
      </c>
      <c r="BO3">
        <v>2020</v>
      </c>
      <c r="BP3" s="20"/>
      <c r="BQ3">
        <v>2020</v>
      </c>
      <c r="BZ3" t="str">
        <f>Prices!C2</f>
        <v>Discovered</v>
      </c>
    </row>
    <row r="4" spans="1:78" ht="14.45" customHeight="1" x14ac:dyDescent="0.25">
      <c r="A4" s="242" t="s">
        <v>74</v>
      </c>
      <c r="B4" s="110" t="s">
        <v>130</v>
      </c>
      <c r="C4" s="109">
        <f>INDEX(Prices!$C$1:$BA$1,MATCH(B4,Prices!$C$2:$BA$2,0))</f>
        <v>0</v>
      </c>
      <c r="K4" s="19">
        <f>K3+1</f>
        <v>2021</v>
      </c>
      <c r="L4" s="127">
        <v>37041.591251426522</v>
      </c>
      <c r="M4" s="20">
        <f>IF($B$3="CPR/Demo average",AVERAGE(L4,Prices!BN6),IF($B$3="CPR zero price",L4,Prices!BN6))</f>
        <v>37041.591251426522</v>
      </c>
      <c r="N4" s="20">
        <v>0</v>
      </c>
      <c r="O4" s="20">
        <v>42320.552750999232</v>
      </c>
      <c r="P4" s="89">
        <v>2442.8442295612849</v>
      </c>
      <c r="Q4" s="20">
        <f t="shared" ref="Q4:Q33" si="4">M4+N4</f>
        <v>37041.591251426522</v>
      </c>
      <c r="R4" s="20">
        <f>Prices!$BC6</f>
        <v>38622.246872743861</v>
      </c>
      <c r="S4" s="20"/>
      <c r="T4" s="20"/>
      <c r="U4" s="20"/>
      <c r="V4" s="20"/>
      <c r="W4" s="20"/>
      <c r="X4" s="18">
        <f ca="1">OFFSET(Prices!$B6,0,$C$4+1)</f>
        <v>55</v>
      </c>
      <c r="Y4" s="18"/>
      <c r="Z4" s="18">
        <f ca="1">IF(Y4=1,OFFSET(X4,MATCH(0,$Y4:$Y$33,0)-1,0)/((1+$B$27)^(MATCH(0,$Y4:$Y$33,0)-1)),X4)</f>
        <v>55</v>
      </c>
      <c r="AA4" s="20">
        <f>Historical!Y16/1000</f>
        <v>30437.499</v>
      </c>
      <c r="AB4" s="20">
        <v>6593.058</v>
      </c>
      <c r="AC4" s="20">
        <f>IF($B$5="Status quo",'Govt supply'!E3,'Govt supply'!M3)*1000</f>
        <v>19300</v>
      </c>
      <c r="AD4" s="20">
        <v>7000</v>
      </c>
      <c r="AE4" s="32">
        <f t="shared" si="0"/>
        <v>63330.557000000001</v>
      </c>
      <c r="AF4" s="20">
        <f t="shared" ref="AF4:AF33" si="5">Q4-AE4-AO4</f>
        <v>-26288.965748573479</v>
      </c>
      <c r="AG4" s="18">
        <f ca="1">(X4+IF($B$41&gt;0,NPV($B$40,X5:OFFSET(X4,$B$41,0)),0))/(1+PV($B$40,($B$41),-1))</f>
        <v>71.076700118125956</v>
      </c>
      <c r="AH4" s="20"/>
      <c r="AI4" s="20"/>
      <c r="AJ4" s="20">
        <f ca="1">INDEX(Removals!$G$3:$G$33,MATCH($K4,Removals!$A$3:$A$33,0))*1000</f>
        <v>4005.5967121192671</v>
      </c>
      <c r="AK4" s="20">
        <f ca="1">INDEX(Removals!$G$3:$G$33,MATCH($K4,Removals!$A$3:$A$33,0))*1000</f>
        <v>4005.5967121192671</v>
      </c>
      <c r="AL4" s="20"/>
      <c r="AM4" s="20">
        <f t="shared" ref="AM4:AM33" ca="1" si="6">ABS(AI4-AK4)</f>
        <v>4005.5967121192671</v>
      </c>
      <c r="AN4" s="20">
        <v>0</v>
      </c>
      <c r="AO4" s="32"/>
      <c r="AP4" s="18">
        <f ca="1">(X4+IF($B$39&gt;0,NPV($B$38,X5:OFFSET(X4,$B$39,0)),0))/(1+PV($B$38,($B$39),-1))/Model!$B$47</f>
        <v>59.455627666883117</v>
      </c>
      <c r="AQ4" s="20">
        <v>-2051.1777485734783</v>
      </c>
      <c r="AR4" s="20">
        <v>-2051.1777485734783</v>
      </c>
      <c r="AS4" s="32">
        <f ca="1">IF($C$4&lt;&gt;11,IF($B$10="ENZ",AR4,AQ4),Prices!BN6-OFFSET(Prices!$BB6,0,$C$4))</f>
        <v>-2051.1777485734783</v>
      </c>
      <c r="AT4" s="32">
        <f ca="1">AE4+AO4+AK4</f>
        <v>67336.153712119267</v>
      </c>
      <c r="AU4" s="32">
        <f ca="1">Q4-AS4</f>
        <v>39092.769</v>
      </c>
      <c r="AV4" s="32"/>
      <c r="AW4" s="32"/>
      <c r="AX4" s="32">
        <f ca="1">AT4-AU4</f>
        <v>28243.384712119267</v>
      </c>
      <c r="AY4" s="32">
        <f t="shared" ca="1" si="1"/>
        <v>0</v>
      </c>
      <c r="AZ4" s="32">
        <f t="shared" ref="AZ4:AZ5" ca="1" si="7">AY4+AO4</f>
        <v>0</v>
      </c>
      <c r="BA4" s="32"/>
      <c r="BB4" s="32">
        <f ca="1">AZ4+BA4</f>
        <v>0</v>
      </c>
      <c r="BC4" s="32">
        <f ca="1">BB4+AO4</f>
        <v>0</v>
      </c>
      <c r="BD4" s="32">
        <f t="shared" ref="BD4:BD33" ca="1" si="8">AX4+BB4-AO4</f>
        <v>28243.384712119267</v>
      </c>
      <c r="BE4" s="32">
        <f t="shared" ref="BE4:BE33" ca="1" si="9">IF(BD4&lt;0,ABS(BD4)*1000000,ABS(BD4))</f>
        <v>28243.384712119267</v>
      </c>
      <c r="BF4" s="32">
        <f ca="1">BF5-MIN(AX4,AT4-AA4)</f>
        <v>45561.599773264243</v>
      </c>
      <c r="BG4" s="32">
        <f ca="1">BG5-(Removals!D5-Removals!H5)*1000</f>
        <v>52250.125028540024</v>
      </c>
      <c r="BH4" s="32">
        <f t="shared" ref="BH4:BH33" ca="1" si="10">BF4+BG4</f>
        <v>97811.724801804259</v>
      </c>
      <c r="BI4" s="32">
        <f t="shared" si="2"/>
        <v>39092.769</v>
      </c>
      <c r="BJ4" s="32">
        <f t="shared" si="3"/>
        <v>39092.769</v>
      </c>
      <c r="BK4" s="32">
        <f t="shared" ref="BK4:BK33" ca="1" si="11">BF4/1000</f>
        <v>45.561599773264241</v>
      </c>
      <c r="BL4" s="32">
        <f t="shared" ref="BL4:BL33" ca="1" si="12">BG4/1000</f>
        <v>52.250125028540026</v>
      </c>
      <c r="BM4" s="186">
        <f t="shared" ref="BM4:BM33" ca="1" si="13">AJ4/AT4</f>
        <v>5.9486568378174731E-2</v>
      </c>
      <c r="BN4" s="193">
        <f ca="1">BH4/AU4</f>
        <v>2.5020413571063296</v>
      </c>
      <c r="BO4">
        <v>2021</v>
      </c>
      <c r="BP4" s="89">
        <f t="shared" ref="BP4:BP13" ca="1" si="14">BG4/AU4</f>
        <v>1.3365675127423187</v>
      </c>
      <c r="BQ4">
        <v>2021</v>
      </c>
      <c r="BW4" s="20">
        <v>4744.5626748682453</v>
      </c>
      <c r="BZ4" t="str">
        <f>Prices!N2</f>
        <v>2022 Demo path</v>
      </c>
    </row>
    <row r="5" spans="1:78" x14ac:dyDescent="0.25">
      <c r="A5" s="243" t="s">
        <v>131</v>
      </c>
      <c r="B5" s="135" t="s">
        <v>541</v>
      </c>
      <c r="K5" s="19">
        <v>2022</v>
      </c>
      <c r="L5" s="127">
        <v>34302.540724803417</v>
      </c>
      <c r="M5" s="20">
        <f>IF($B$3="CPR/Demo average",AVERAGE(L5,Prices!BN7),IF($B$3="CPR zero price",L5,Prices!BN7))</f>
        <v>34302.540724803417</v>
      </c>
      <c r="N5" s="20">
        <v>0</v>
      </c>
      <c r="O5" s="20">
        <v>41345.504468844381</v>
      </c>
      <c r="P5" s="89">
        <v>2375.4420433085306</v>
      </c>
      <c r="Q5" s="20">
        <f>M5+N5</f>
        <v>34302.540724803417</v>
      </c>
      <c r="R5" s="20">
        <f>Prices!$BC7</f>
        <v>38220.161284166548</v>
      </c>
      <c r="S5" s="18">
        <f>IF($B$5="Status quo",'Govt supply'!F3,'Govt supply'!N3)</f>
        <v>30</v>
      </c>
      <c r="T5" s="18">
        <f>IF($B$5="Status quo",'Govt supply'!G3,'Govt supply'!O3)</f>
        <v>70</v>
      </c>
      <c r="U5" s="20">
        <f>IF($B$5="Status quo",'Govt supply'!C3,'Govt supply'!K3)*1000</f>
        <v>7000</v>
      </c>
      <c r="V5" s="18">
        <f>IF($B$5="Status quo",0,'Govt supply'!P3)</f>
        <v>0</v>
      </c>
      <c r="W5" s="20">
        <f>IF($B$5="Status quo",0,'Govt supply'!L3)*1000</f>
        <v>0</v>
      </c>
      <c r="X5" s="18">
        <f ca="1">OFFSET(Prices!$B7,0,$C$4+1)</f>
        <v>84.15</v>
      </c>
      <c r="Y5" s="20">
        <f t="shared" ref="Y5:Y21" ca="1" si="15">IF(AND($B$19&gt;$B$27,BB5&gt;0),1,0)</f>
        <v>0</v>
      </c>
      <c r="Z5" s="18">
        <f ca="1">IF(Y5=1,OFFSET(X5,MATCH(0,$Y5:$Y$33,0)-1,0)/((1+$B$27)^(MATCH(0,$Y5:$Y$33,0)-1)),X5)</f>
        <v>84.15</v>
      </c>
      <c r="AA5" s="20"/>
      <c r="AB5" s="20">
        <v>7911.7060000000001</v>
      </c>
      <c r="AC5" s="20">
        <f ca="1">IF(X5&lt;S5,0,IF($B$5="Status quo",'Govt supply'!E3,'Govt supply'!M3)*1000)+Historical!Y17/1000</f>
        <v>19956.830000000002</v>
      </c>
      <c r="AD5" s="20">
        <v>7000</v>
      </c>
      <c r="AE5" s="32">
        <f t="shared" ca="1" si="0"/>
        <v>34868.536</v>
      </c>
      <c r="AF5" s="20">
        <f t="shared" ca="1" si="5"/>
        <v>-565.99527519658295</v>
      </c>
      <c r="AG5" s="18">
        <f ca="1">(X5+IF($B$41&gt;0,NPV($B$40,X6:OFFSET(X5,$B$41,0)),0))/(1+PV($B$40,($B$41),-1))</f>
        <v>72.839158318546254</v>
      </c>
      <c r="AH5" s="20"/>
      <c r="AI5" s="20"/>
      <c r="AJ5" s="20">
        <f ca="1">INDEX(Removals!$G$3:$G$33,MATCH($K5,Removals!$A$3:$A$33,0))*1000</f>
        <v>4373.4773485979595</v>
      </c>
      <c r="AK5" s="20">
        <f ca="1">INDEX(Removals!$G$3:$G$33,MATCH($K5,Removals!$A$3:$A$33,0))*1000</f>
        <v>4373.4773485979595</v>
      </c>
      <c r="AL5" s="20">
        <f ca="1">AK5-AW5</f>
        <v>4373.4773485979595</v>
      </c>
      <c r="AM5" s="20">
        <f t="shared" ca="1" si="6"/>
        <v>4373.4773485979595</v>
      </c>
      <c r="AN5" s="20">
        <v>0</v>
      </c>
      <c r="AO5" s="32"/>
      <c r="AP5" s="18">
        <f ca="1">(X5+IF($B$39&gt;0,NPV($B$38,X6:OFFSET(X5,$B$39,0)),0))/(1+PV($B$38,($B$39),-1))/Model!$B$47</f>
        <v>61.512046167138216</v>
      </c>
      <c r="AQ5" s="20">
        <v>0</v>
      </c>
      <c r="AR5" s="20">
        <v>0</v>
      </c>
      <c r="AS5" s="32">
        <f ca="1">IF($C$4&lt;&gt;11,IF($B$10="ENZ",AR5,AQ5),Prices!BN7-OFFSET(Prices!$BB7,0,$C$4))</f>
        <v>0</v>
      </c>
      <c r="AT5" s="32">
        <f t="shared" ref="AT5:AT33" ca="1" si="16">AE5+AO5+AK5</f>
        <v>39242.01334859796</v>
      </c>
      <c r="AU5" s="32">
        <f ca="1">Q5-AS5</f>
        <v>34302.540724803417</v>
      </c>
      <c r="AV5" s="32"/>
      <c r="AW5" s="32">
        <f t="shared" ref="AW5:AW33" ca="1" si="17">IF(K5-$K$6&lt;$B$14,0,OFFSET(BA5,-$B$14,0))</f>
        <v>0</v>
      </c>
      <c r="AX5" s="32">
        <f ca="1">AT5-AU5</f>
        <v>4939.4726237945433</v>
      </c>
      <c r="AY5" s="32">
        <f t="shared" ca="1" si="1"/>
        <v>0</v>
      </c>
      <c r="AZ5" s="32">
        <f t="shared" ca="1" si="7"/>
        <v>0</v>
      </c>
      <c r="BA5" s="32"/>
      <c r="BB5" s="32">
        <f ca="1">AZ5+BA5</f>
        <v>0</v>
      </c>
      <c r="BC5" s="32">
        <f ca="1">BB5+AO5</f>
        <v>0</v>
      </c>
      <c r="BD5" s="32">
        <f t="shared" ca="1" si="8"/>
        <v>4939.4726237945433</v>
      </c>
      <c r="BE5" s="32">
        <f t="shared" ca="1" si="9"/>
        <v>4939.4726237945433</v>
      </c>
      <c r="BF5" s="32">
        <f ca="1">BF6-MIN(AX5,AT5-AA5)</f>
        <v>73804.984485383509</v>
      </c>
      <c r="BG5" s="32">
        <f ca="1">BG6-(Removals!D6-Removals!H6)*1000</f>
        <v>66252.474460931277</v>
      </c>
      <c r="BH5" s="32">
        <f t="shared" ca="1" si="10"/>
        <v>140057.45894631479</v>
      </c>
      <c r="BI5" s="32">
        <f t="shared" si="2"/>
        <v>34302.540724803417</v>
      </c>
      <c r="BJ5" s="32">
        <f t="shared" si="3"/>
        <v>34302.540724803417</v>
      </c>
      <c r="BK5" s="32">
        <f t="shared" ca="1" si="11"/>
        <v>73.804984485383514</v>
      </c>
      <c r="BL5" s="32">
        <f t="shared" ca="1" si="12"/>
        <v>66.252474460931282</v>
      </c>
      <c r="BM5" s="186">
        <f t="shared" ca="1" si="13"/>
        <v>0.11144885227338151</v>
      </c>
      <c r="BN5" s="193">
        <f t="shared" ref="BN5:BN33" ca="1" si="18">BH5/AU5</f>
        <v>4.0830053980532792</v>
      </c>
      <c r="BO5">
        <v>2022</v>
      </c>
      <c r="BP5" s="89">
        <f t="shared" ca="1" si="14"/>
        <v>1.9314159552334722</v>
      </c>
      <c r="BQ5">
        <v>2022</v>
      </c>
      <c r="BR5" s="20">
        <f t="shared" ref="BR5:BR33" ca="1" si="19">AU5+O5+P5-BW5</f>
        <v>72743.887236956318</v>
      </c>
      <c r="BS5" s="20"/>
      <c r="BT5" s="20"/>
      <c r="BU5" s="20"/>
      <c r="BV5" s="13"/>
      <c r="BW5" s="20">
        <v>5279.6</v>
      </c>
      <c r="BX5" s="20"/>
      <c r="BZ5" t="s">
        <v>133</v>
      </c>
    </row>
    <row r="6" spans="1:78" x14ac:dyDescent="0.25">
      <c r="A6" s="242" t="s">
        <v>134</v>
      </c>
      <c r="B6" s="111" t="s">
        <v>135</v>
      </c>
      <c r="K6" s="261">
        <v>2023</v>
      </c>
      <c r="L6" s="262">
        <v>34061.6319721623</v>
      </c>
      <c r="M6" s="94">
        <f>IF($B$3="CPR/Demo average",AVERAGE(L6,Prices!BN8),IF($B$3="CPR zero price",L6,Prices!BN8))</f>
        <v>34061.6319721623</v>
      </c>
      <c r="N6" s="94">
        <v>0</v>
      </c>
      <c r="O6" s="94">
        <v>40604.314760286456</v>
      </c>
      <c r="P6" s="96">
        <v>2739.995127960065</v>
      </c>
      <c r="Q6" s="94">
        <f>M6+N6</f>
        <v>34061.6319721623</v>
      </c>
      <c r="R6" s="94">
        <f>Prices!$BC8</f>
        <v>37837.482205111344</v>
      </c>
      <c r="S6" s="263">
        <f>IF($B$5="Status quo",'Govt supply'!F4,'Govt supply'!N4)</f>
        <v>60</v>
      </c>
      <c r="T6" s="263">
        <f>IF($B$5="Status quo",'Govt supply'!G4,'Govt supply'!O4)</f>
        <v>173</v>
      </c>
      <c r="U6" s="94">
        <f>IF($B$5="Status quo",'Govt supply'!C4,'Govt supply'!K4)*1000</f>
        <v>0</v>
      </c>
      <c r="V6" s="263">
        <f>IF($B$5="Status quo",'Govt supply'!H4,'Govt supply'!P4)</f>
        <v>216</v>
      </c>
      <c r="W6" s="94">
        <f>IF($B$5="Status quo",0,'Govt supply'!L4)*1000</f>
        <v>0</v>
      </c>
      <c r="X6" s="263">
        <f ca="1">OFFSET(Prices!$B8,0,$C$4+1)</f>
        <v>63</v>
      </c>
      <c r="Y6" s="94">
        <f ca="1">IF(AND($B$19&gt;$B$27,BB6&gt;0),1,0)</f>
        <v>0</v>
      </c>
      <c r="Z6" s="263">
        <f ca="1">IF(Y6=1,OFFSET(X6,MATCH(0,$Y6:$Y$33,0)-1,0)/((1+$B$27)^(MATCH(0,$Y6:$Y$33,0)-1)),X6)</f>
        <v>63</v>
      </c>
      <c r="AA6" s="263"/>
      <c r="AB6" s="94">
        <f ca="1">OFFSET('Industrial Allocation'!$C$62,0,ROW()-ROW($AB$6))</f>
        <v>5574.404757506999</v>
      </c>
      <c r="AC6" s="94">
        <f ca="1">IF(X6&lt;S6,0,IF($B$5="Status quo",'Govt supply'!E4,'Govt supply'!M4)*1000)</f>
        <v>0</v>
      </c>
      <c r="AD6" s="94">
        <f t="shared" ref="AD6:AD33" ca="1" si="20">IF(X6&lt;T6,0,U6)+IF(X6&lt;V6,0,W6)</f>
        <v>0</v>
      </c>
      <c r="AE6" s="264">
        <f t="shared" ca="1" si="0"/>
        <v>5574.404757506999</v>
      </c>
      <c r="AF6" s="94">
        <f ca="1">Q6-AE6-AO6</f>
        <v>28487.2272146553</v>
      </c>
      <c r="AG6" s="263">
        <f ca="1">(X6+IF($B$41&gt;0,NPV($B$40,X7:OFFSET(X6,$B$41,0)),0))/(1+PV($B$40,($B$41),-1))</f>
        <v>71.393231127860631</v>
      </c>
      <c r="AH6" s="265">
        <v>1</v>
      </c>
      <c r="AI6" s="94">
        <f t="shared" ref="AI6:AI33" ca="1" si="21">AH6*(M6-AS6-AVP6)</f>
        <v>34062.453712507799</v>
      </c>
      <c r="AJ6" s="94">
        <f ca="1">INDEX(Removals!$G$3:$G$33,MATCH($K6,Removals!$A$3:$A$33,0))*1000</f>
        <v>5521.5918458227507</v>
      </c>
      <c r="AK6" s="94">
        <f ca="1">INDEX(Removals!$G$3:$G$33,MATCH($K6,Removals!$A$3:$A$33,0))*1000</f>
        <v>5521.5918458227507</v>
      </c>
      <c r="AL6" s="94">
        <f t="shared" ref="AL6:AL33" ca="1" si="22">AK6-AW6</f>
        <v>5521.5918458227507</v>
      </c>
      <c r="AM6" s="94">
        <f t="shared" ca="1" si="6"/>
        <v>28540.861866685049</v>
      </c>
      <c r="AN6" s="94">
        <v>0</v>
      </c>
      <c r="AO6" s="264"/>
      <c r="AP6" s="263">
        <f ca="1">(X6+IF($B$39&gt;0,NPV($B$38,X7:OFFSET(X6,$B$39,0)),0))/(1+PV($B$38,($B$39),-1))/Model!$B$47</f>
        <v>60.6009443780247</v>
      </c>
      <c r="AQ6" s="94">
        <v>-0.82174034549825592</v>
      </c>
      <c r="AR6" s="94">
        <v>-0.82174034549825592</v>
      </c>
      <c r="AS6" s="264">
        <f ca="1">IF($C$4&lt;&gt;11,IF($B$10="ENZ",AR6,AQ6),Prices!BN8-OFFSET(Prices!$BB8,0,$C$4))</f>
        <v>-0.82174034549825592</v>
      </c>
      <c r="AT6" s="264">
        <f ca="1">AE6+AO6+AK6</f>
        <v>11095.99660332975</v>
      </c>
      <c r="AU6" s="264">
        <f t="shared" ref="AU6:AU33" ca="1" si="23">Q6-AS6</f>
        <v>34062.453712507799</v>
      </c>
      <c r="AV6" s="264"/>
      <c r="AW6" s="264">
        <f t="shared" ca="1" si="17"/>
        <v>0</v>
      </c>
      <c r="AX6" s="264">
        <f ca="1">AT6-AU6-AW6</f>
        <v>-22966.457109178049</v>
      </c>
      <c r="AY6" s="264">
        <f ca="1">MIN(MAX(0,-AX6),BF5-AO6)</f>
        <v>22966.457109178049</v>
      </c>
      <c r="AZ6" s="264">
        <f ca="1">MIN(AY6+AO6,BF5)</f>
        <v>22966.457109178049</v>
      </c>
      <c r="BA6" s="264">
        <f ca="1">IF(-AX6&gt;BF5-AO6,MIN(-(AY6+AX6),BG5*$B$13),0)</f>
        <v>0</v>
      </c>
      <c r="BB6" s="264">
        <f t="shared" ref="BB6:BB33" ca="1" si="24">AZ6+BA6</f>
        <v>22966.457109178049</v>
      </c>
      <c r="BC6" s="264">
        <f ca="1">MIN(BB6+AO6,$BF$5)</f>
        <v>22966.457109178049</v>
      </c>
      <c r="BD6" s="264">
        <f t="shared" ca="1" si="8"/>
        <v>0</v>
      </c>
      <c r="BE6" s="264">
        <f t="shared" ca="1" si="9"/>
        <v>0</v>
      </c>
      <c r="BF6" s="264">
        <f ca="1">BF7-MIN(AX6,AT6-AA6)</f>
        <v>78744.457109178053</v>
      </c>
      <c r="BG6" s="264">
        <f ca="1">BH6-BF6</f>
        <v>81155.542890821947</v>
      </c>
      <c r="BH6" s="264">
        <v>159900</v>
      </c>
      <c r="BI6" s="264">
        <f t="shared" si="2"/>
        <v>34062.453712507799</v>
      </c>
      <c r="BJ6" s="264">
        <f t="shared" si="3"/>
        <v>34062.453712507799</v>
      </c>
      <c r="BK6" s="264">
        <f t="shared" ca="1" si="11"/>
        <v>78.744457109178057</v>
      </c>
      <c r="BL6" s="264">
        <f t="shared" ca="1" si="12"/>
        <v>81.155542890821948</v>
      </c>
      <c r="BM6" s="266">
        <f t="shared" ca="1" si="13"/>
        <v>0.49762018169380118</v>
      </c>
      <c r="BN6" s="267">
        <f ca="1">BH6/AU6</f>
        <v>4.6943183057092686</v>
      </c>
      <c r="BO6">
        <v>2023</v>
      </c>
      <c r="BP6" s="89">
        <f t="shared" ca="1" si="14"/>
        <v>2.3825512858171307</v>
      </c>
      <c r="BQ6">
        <v>2023</v>
      </c>
      <c r="BR6" s="20">
        <f t="shared" ca="1" si="19"/>
        <v>71227.336586108795</v>
      </c>
      <c r="BS6" s="20"/>
      <c r="BT6" s="20"/>
      <c r="BU6" s="20"/>
      <c r="BV6" s="13"/>
      <c r="BW6" s="20">
        <v>6179.4270146455237</v>
      </c>
      <c r="BX6" s="20"/>
      <c r="BZ6" t="s">
        <v>136</v>
      </c>
    </row>
    <row r="7" spans="1:78" x14ac:dyDescent="0.25">
      <c r="A7" s="242" t="s">
        <v>137</v>
      </c>
      <c r="B7" s="44">
        <v>0</v>
      </c>
      <c r="K7" s="19">
        <v>2024</v>
      </c>
      <c r="L7" s="127">
        <v>35048.369261527412</v>
      </c>
      <c r="M7" s="20">
        <f>IF($B$3="CPR/Demo average",AVERAGE(L7,Prices!BN9),IF($B$3="CPR zero price",L7,Prices!BN9))</f>
        <v>35048.369261527412</v>
      </c>
      <c r="N7" s="20">
        <v>0</v>
      </c>
      <c r="O7" s="20">
        <v>39972.504130988651</v>
      </c>
      <c r="P7" s="89">
        <v>3101.8152730753118</v>
      </c>
      <c r="Q7" s="20">
        <f>M7+N7</f>
        <v>35048.369261527412</v>
      </c>
      <c r="R7" s="20">
        <f>Prices!$BC9</f>
        <v>37349.398660800616</v>
      </c>
      <c r="S7" s="18">
        <f>IF($B$5="Status quo",'Govt supply'!F5,'Govt supply'!N5)</f>
        <v>61.800000000000004</v>
      </c>
      <c r="T7" s="18">
        <f>IF($B$5="Status quo",'Govt supply'!G5,'Govt supply'!O5)</f>
        <v>178.19</v>
      </c>
      <c r="U7" s="20">
        <f>IF($B$5="Status quo",'Govt supply'!C5,'Govt supply'!K5)*1000</f>
        <v>2800</v>
      </c>
      <c r="V7" s="18">
        <f>IF($B$5="Status quo",'Govt supply'!H5,'Govt supply'!P5)</f>
        <v>222.48000000000002</v>
      </c>
      <c r="W7" s="20">
        <f>IF($B$5="Status quo",'Govt supply'!D5,'Govt supply'!L5)*1000</f>
        <v>4900</v>
      </c>
      <c r="X7" s="18">
        <f ca="1">OFFSET(Prices!$B9,0,$C$4+1)</f>
        <v>62</v>
      </c>
      <c r="Y7" s="20">
        <f t="shared" ca="1" si="15"/>
        <v>0</v>
      </c>
      <c r="Z7" s="18">
        <f ca="1">IF(Y7=1,OFFSET(X7,MATCH(0,$Y7:$Y$33,0)-1,0)/((1+$B$27)^(MATCH(0,$Y7:$Y$33,0)-1)),X7)</f>
        <v>62</v>
      </c>
      <c r="AA7" s="18"/>
      <c r="AB7" s="20">
        <f ca="1">OFFSET('Industrial Allocation'!$C$62,0,ROW()-ROW($AB$6))</f>
        <v>5011.8116588021785</v>
      </c>
      <c r="AC7" s="20">
        <f ca="1">IF(X7&lt;S7,0,IF($B$5="Status quo",'Govt supply'!E5,'Govt supply'!M5)*1000)</f>
        <v>7000</v>
      </c>
      <c r="AD7" s="20">
        <f t="shared" ca="1" si="20"/>
        <v>0</v>
      </c>
      <c r="AE7" s="32">
        <f t="shared" ca="1" si="0"/>
        <v>12011.811658802178</v>
      </c>
      <c r="AF7" s="20">
        <f t="shared" ca="1" si="5"/>
        <v>7280.177364332445</v>
      </c>
      <c r="AG7" s="18">
        <f ca="1">(X7+IF($B$41&gt;0,NPV($B$40,X8:OFFSET(X7,$B$41,0)),0))/(1+PV($B$40,($B$41),-1))</f>
        <v>72.166358978390875</v>
      </c>
      <c r="AH7" s="13">
        <v>1</v>
      </c>
      <c r="AI7" s="20">
        <f t="shared" ca="1" si="21"/>
        <v>34412.842896588416</v>
      </c>
      <c r="AJ7" s="20">
        <f ca="1">INDEX(Removals!$G$3:$G$33,MATCH($K7,Removals!$A$3:$A$33,0))*1000</f>
        <v>6644.6509993934487</v>
      </c>
      <c r="AK7" s="20">
        <f ca="1">INDEX(Removals!$G$3:$G$33,MATCH($K7,Removals!$A$3:$A$33,0))*1000</f>
        <v>6644.6509993934487</v>
      </c>
      <c r="AL7" s="20">
        <f t="shared" ca="1" si="22"/>
        <v>6644.6509993934487</v>
      </c>
      <c r="AM7" s="20">
        <f ca="1">ABS(AI7-AK7)</f>
        <v>27768.191897194967</v>
      </c>
      <c r="AN7" s="20">
        <v>0</v>
      </c>
      <c r="AO7" s="32">
        <f ca="1">IF(AND($B$4="Discovered",(X8/X7-1)&lt;$B$27),MIN(MAX(0,Q7-AE7-AK7-AS7),BF6),0)</f>
        <v>15756.380238392787</v>
      </c>
      <c r="AP7" s="18">
        <f ca="1">(X7+IF($B$39&gt;0,NPV($B$38,X8:OFFSET(X7,$B$39,0)),0))/(1+PV($B$38,($B$39),-1))/Model!$B$47</f>
        <v>61.677734218340923</v>
      </c>
      <c r="AQ7" s="358">
        <v>635.52636493899627</v>
      </c>
      <c r="AR7" s="20">
        <v>635.52636493899627</v>
      </c>
      <c r="AS7" s="32">
        <f ca="1">IF($C$4&lt;&gt;11,IF($B$10="ENZ",AR7,AQ7),Prices!BN9-OFFSET(Prices!$BB9,0,$C$4))</f>
        <v>635.52636493899627</v>
      </c>
      <c r="AT7" s="32">
        <f ca="1">AE7+AO7+AK7</f>
        <v>34412.842896588409</v>
      </c>
      <c r="AU7" s="32">
        <f t="shared" ca="1" si="23"/>
        <v>34412.842896588416</v>
      </c>
      <c r="AV7" s="32">
        <f ca="1">31100-(AU7-AK7)</f>
        <v>3331.8081028050328</v>
      </c>
      <c r="AW7" s="32">
        <f t="shared" ca="1" si="17"/>
        <v>0</v>
      </c>
      <c r="AX7" s="32">
        <f t="shared" ref="AX7:AX33" ca="1" si="25">AT7-AU7-AW7</f>
        <v>-7.2759576141834259E-12</v>
      </c>
      <c r="AY7" s="32">
        <f t="shared" ref="AY7:AY33" ca="1" si="26">MIN(MAX(0,-AX7),BF6-AO7)</f>
        <v>7.2759576141834259E-12</v>
      </c>
      <c r="AZ7" s="32">
        <f t="shared" ref="AZ7:AZ33" ca="1" si="27">MIN(AY7+AO7,BF6)</f>
        <v>15756.380238392794</v>
      </c>
      <c r="BA7" s="32">
        <f t="shared" ref="BA7:BA33" ca="1" si="28">IF(-AX7&gt;BF6-AO7,MIN(-(AY7+AX7),BG6*$B$13),0)</f>
        <v>0</v>
      </c>
      <c r="BB7" s="32">
        <f t="shared" ca="1" si="24"/>
        <v>15756.380238392794</v>
      </c>
      <c r="BC7" s="32">
        <f ca="1">MAX(0,MIN(BB7+AO7,$BF$5+SUM(BA$5:BA6)-(SUM(BC$6:BC6))))</f>
        <v>31512.760476785581</v>
      </c>
      <c r="BD7" s="32">
        <f t="shared" ca="1" si="8"/>
        <v>0</v>
      </c>
      <c r="BE7" s="32">
        <f t="shared" ca="1" si="9"/>
        <v>0</v>
      </c>
      <c r="BF7" s="32">
        <f>B11</f>
        <v>55778</v>
      </c>
      <c r="BG7" s="32">
        <f>B12-BF7</f>
        <v>94622</v>
      </c>
      <c r="BH7" s="32">
        <f t="shared" si="10"/>
        <v>150400</v>
      </c>
      <c r="BI7" s="32">
        <f t="shared" si="2"/>
        <v>34412.842896588416</v>
      </c>
      <c r="BJ7" s="32">
        <f t="shared" si="3"/>
        <v>34412.842896588416</v>
      </c>
      <c r="BK7" s="32">
        <f t="shared" si="11"/>
        <v>55.777999999999999</v>
      </c>
      <c r="BL7" s="32">
        <f t="shared" si="12"/>
        <v>94.622</v>
      </c>
      <c r="BM7" s="186">
        <f t="shared" ca="1" si="13"/>
        <v>0.19308637241511309</v>
      </c>
      <c r="BN7" s="193">
        <f t="shared" ca="1" si="18"/>
        <v>4.3704613551387288</v>
      </c>
      <c r="BO7">
        <v>2024</v>
      </c>
      <c r="BP7" s="89">
        <f t="shared" ca="1" si="14"/>
        <v>2.7496129943213887</v>
      </c>
      <c r="BQ7">
        <v>2024</v>
      </c>
      <c r="BR7" s="20">
        <f t="shared" ca="1" si="19"/>
        <v>71147.765726277663</v>
      </c>
      <c r="BS7" s="20"/>
      <c r="BT7" s="20"/>
      <c r="BU7" s="20"/>
      <c r="BV7" s="13"/>
      <c r="BW7" s="20">
        <v>6339.3965743747085</v>
      </c>
      <c r="BX7" s="20"/>
      <c r="BZ7" t="s">
        <v>138</v>
      </c>
    </row>
    <row r="8" spans="1:78" s="93" customFormat="1" x14ac:dyDescent="0.25">
      <c r="A8" s="242" t="s">
        <v>139</v>
      </c>
      <c r="B8" s="135" t="s">
        <v>140</v>
      </c>
      <c r="K8" s="261">
        <v>2025</v>
      </c>
      <c r="L8" s="262">
        <v>34524.587223575181</v>
      </c>
      <c r="M8" s="94">
        <f>IF($B$3="CPR/Demo average",AVERAGE(L8,Prices!BN10),IF($B$3="CPR zero price",L8,Prices!BN10))</f>
        <v>34524.587223575181</v>
      </c>
      <c r="N8" s="94">
        <v>0</v>
      </c>
      <c r="O8" s="94">
        <v>39605.623785565236</v>
      </c>
      <c r="P8" s="96">
        <v>3521.0060475766395</v>
      </c>
      <c r="Q8" s="94">
        <f t="shared" si="4"/>
        <v>34524.587223575181</v>
      </c>
      <c r="R8" s="94">
        <f>Prices!$BC10</f>
        <v>36961.408894031556</v>
      </c>
      <c r="S8" s="263">
        <f>IF($B$5="Status quo",'Govt supply'!F6,'Govt supply'!N6)</f>
        <v>63.654000000000003</v>
      </c>
      <c r="T8" s="263">
        <f>IF($B$5="Status quo",'Govt supply'!G6,'Govt supply'!O6)</f>
        <v>183.53569999999999</v>
      </c>
      <c r="U8" s="94">
        <f>IF($B$5="Status quo",'Govt supply'!C6,'Govt supply'!K6)*1000</f>
        <v>2600</v>
      </c>
      <c r="V8" s="263">
        <f>IF($B$5="Status quo",'Govt supply'!H6,'Govt supply'!P6)</f>
        <v>229.15440000000004</v>
      </c>
      <c r="W8" s="94">
        <f>IF($B$5="Status quo",'Govt supply'!D6,'Govt supply'!L6)*1000</f>
        <v>4500</v>
      </c>
      <c r="X8" s="263">
        <f ca="1">OFFSET(Prices!$B10,0,$C$4+1)</f>
        <v>65.037999999999997</v>
      </c>
      <c r="Y8" s="94">
        <f t="shared" ca="1" si="15"/>
        <v>0</v>
      </c>
      <c r="Z8" s="263">
        <f ca="1">IF(Y8=1,OFFSET(X8,MATCH(0,$Y8:$Y$33,0)-1,0)/((1+$B$27)^(MATCH(0,$Y8:$Y$33,0)-1)),X8)</f>
        <v>65.037999999999997</v>
      </c>
      <c r="AA8" s="263"/>
      <c r="AB8" s="94">
        <f ca="1">OFFSET('Industrial Allocation'!$C$62,0,ROW()-ROW($AB$6))</f>
        <v>5186.1646310647311</v>
      </c>
      <c r="AC8" s="94">
        <f ca="1">IF(X8&lt;S8,0,IF($B$5="Status quo",'Govt supply'!E6,'Govt supply'!M6)*1000)</f>
        <v>6000</v>
      </c>
      <c r="AD8" s="94">
        <f t="shared" ca="1" si="20"/>
        <v>0</v>
      </c>
      <c r="AE8" s="264">
        <f t="shared" ca="1" si="0"/>
        <v>11186.16463106473</v>
      </c>
      <c r="AF8" s="94">
        <f t="shared" ca="1" si="5"/>
        <v>9324.799680447768</v>
      </c>
      <c r="AG8" s="263">
        <f ca="1">(X8+IF($B$41&gt;0,NPV($B$40,X9:OFFSET(X8,$B$41,0)),0))/(1+PV($B$40,($B$41),-1))</f>
        <v>73.06092322771056</v>
      </c>
      <c r="AH8" s="265">
        <v>1</v>
      </c>
      <c r="AI8" s="94">
        <f t="shared" ca="1" si="21"/>
        <v>33518.811855752872</v>
      </c>
      <c r="AJ8" s="94">
        <f ca="1">INDEX(Removals!$G$3:$G$33,MATCH($K8,Removals!$A$3:$A$33,0))*1000</f>
        <v>8319.0243126254554</v>
      </c>
      <c r="AK8" s="94">
        <f ca="1">INDEX(Removals!$G$3:$G$33,MATCH($K8,Removals!$A$3:$A$33,0))*1000</f>
        <v>8319.0243126254554</v>
      </c>
      <c r="AL8" s="94">
        <f t="shared" ca="1" si="22"/>
        <v>8319.0243126254554</v>
      </c>
      <c r="AM8" s="94">
        <f t="shared" ca="1" si="6"/>
        <v>25199.787543127415</v>
      </c>
      <c r="AN8" s="94">
        <v>0</v>
      </c>
      <c r="AO8" s="264">
        <f t="shared" ref="AO8:AO33" ca="1" si="29">IF(AND($B$4="Discovered",(X9/X8-1)&lt;$B$27),MIN(MAX(0,Q8-AE8-AK8-AS8),BF7),0)</f>
        <v>14013.622912062683</v>
      </c>
      <c r="AP8" s="263">
        <f ca="1">(X8+IF($B$39&gt;0,NPV($B$38,X9:OFFSET(X8,$B$39,0)),0))/(1+PV($B$38,($B$39),-1))/Model!$B$47</f>
        <v>62.801101297375368</v>
      </c>
      <c r="AQ8" s="94">
        <f t="shared" ref="AQ8:AQ33" ca="1" si="30">MAX(0,IFERROR(AQ7*$B$32+AP8*$B$33+$B$31,0))</f>
        <v>1115.097088997361</v>
      </c>
      <c r="AR8" s="94">
        <f ca="1">EXP(LN(AR7)*$B$36+LN(AP8)*$B$37+$B$35)</f>
        <v>1005.7753678223121</v>
      </c>
      <c r="AS8" s="264">
        <f ca="1">IF($C$4&lt;&gt;11,IF($B$10="ENZ",AR8,AQ8),Prices!BN10-OFFSET(Prices!$BB10,0,$C$4))</f>
        <v>1005.7753678223121</v>
      </c>
      <c r="AT8" s="264">
        <f t="shared" ca="1" si="16"/>
        <v>33518.811855752872</v>
      </c>
      <c r="AU8" s="264">
        <f t="shared" ca="1" si="23"/>
        <v>33518.811855752872</v>
      </c>
      <c r="AV8" s="264">
        <f ca="1">28700-(AU8-AK8)</f>
        <v>3500.2124568725849</v>
      </c>
      <c r="AW8" s="264">
        <f t="shared" ca="1" si="17"/>
        <v>0</v>
      </c>
      <c r="AX8" s="264">
        <f t="shared" ca="1" si="25"/>
        <v>0</v>
      </c>
      <c r="AY8" s="264">
        <f t="shared" ca="1" si="26"/>
        <v>0</v>
      </c>
      <c r="AZ8" s="264">
        <f t="shared" ca="1" si="27"/>
        <v>14013.622912062683</v>
      </c>
      <c r="BA8" s="264">
        <f ca="1">IF(-AX8&gt;BF7-AO8,MIN(-(AY8+AX8),BG7*$B$13),0)</f>
        <v>0</v>
      </c>
      <c r="BB8" s="264">
        <f t="shared" ca="1" si="24"/>
        <v>14013.622912062683</v>
      </c>
      <c r="BC8" s="264">
        <f ca="1">MAX(0,MIN(BB8+AO8,$BF$5+SUM(BA$5:BA7)-(SUM(BC$6:BC7))))</f>
        <v>19325.766899419876</v>
      </c>
      <c r="BD8" s="264">
        <f t="shared" ca="1" si="8"/>
        <v>0</v>
      </c>
      <c r="BE8" s="264">
        <f ca="1">IF(BD8&lt;0,ABS(BD8)*1000000,ABS(BD8))</f>
        <v>0</v>
      </c>
      <c r="BF8" s="264">
        <f ca="1">MAX(0,BF7-AO8+AX8)</f>
        <v>41764.377087937319</v>
      </c>
      <c r="BG8" s="264">
        <f ca="1">MAX(0,BG6+(Removals!D7+Removals!H7)*1000-BA7)+AW7</f>
        <v>75310.263607148489</v>
      </c>
      <c r="BH8" s="264">
        <f t="shared" ca="1" si="10"/>
        <v>117074.64069508581</v>
      </c>
      <c r="BI8" s="264">
        <f t="shared" ca="1" si="2"/>
        <v>33409.49013457782</v>
      </c>
      <c r="BJ8" s="264">
        <f t="shared" ca="1" si="3"/>
        <v>33518.811855752872</v>
      </c>
      <c r="BK8" s="264">
        <f t="shared" ca="1" si="11"/>
        <v>41.764377087937319</v>
      </c>
      <c r="BL8" s="264">
        <f t="shared" ca="1" si="12"/>
        <v>75.310263607148485</v>
      </c>
      <c r="BM8" s="266">
        <f t="shared" ca="1" si="13"/>
        <v>0.24818971353835895</v>
      </c>
      <c r="BN8" s="267">
        <f t="shared" ca="1" si="18"/>
        <v>3.492804017007308</v>
      </c>
      <c r="BO8" s="93">
        <v>2025</v>
      </c>
      <c r="BP8" s="89">
        <f t="shared" ca="1" si="14"/>
        <v>2.2468058811643976</v>
      </c>
      <c r="BQ8" s="93">
        <v>2025</v>
      </c>
      <c r="BR8" s="94">
        <f t="shared" ca="1" si="19"/>
        <v>69274.022543682921</v>
      </c>
      <c r="BS8" s="94">
        <f ca="1">SUM(BR5:BR8)</f>
        <v>284393.01209302573</v>
      </c>
      <c r="BT8" s="94">
        <v>290000</v>
      </c>
      <c r="BU8" s="94"/>
      <c r="BV8" s="265"/>
      <c r="BW8" s="94">
        <v>7371.4191452118275</v>
      </c>
      <c r="BX8" s="94">
        <f>SUM(BW5:BW8)</f>
        <v>25169.842734232061</v>
      </c>
    </row>
    <row r="9" spans="1:78" x14ac:dyDescent="0.25">
      <c r="A9" s="285" t="s">
        <v>141</v>
      </c>
      <c r="B9" s="290" t="s">
        <v>142</v>
      </c>
      <c r="K9" s="19">
        <v>2026</v>
      </c>
      <c r="L9" s="127">
        <v>33373.811581567563</v>
      </c>
      <c r="M9" s="127">
        <f>IF($B$3="CPR/Demo average",AVERAGE(L9,Prices!BN11),IF($B$3="CPR zero price",L9,Prices!BN11))</f>
        <v>33373.811581567563</v>
      </c>
      <c r="N9" s="20">
        <v>0</v>
      </c>
      <c r="O9" s="20">
        <v>39403.107980066154</v>
      </c>
      <c r="P9" s="89">
        <v>3242.7296883042209</v>
      </c>
      <c r="Q9" s="20">
        <f t="shared" si="4"/>
        <v>33373.811581567563</v>
      </c>
      <c r="R9" s="20">
        <f>Prices!$BC11</f>
        <v>36827.161947439978</v>
      </c>
      <c r="S9" s="18">
        <f>IF($B$5="Status quo",'Govt supply'!F7,'Govt supply'!N7)</f>
        <v>65.56362</v>
      </c>
      <c r="T9" s="18">
        <f>IF($B$5="Status quo",'Govt supply'!G7,'Govt supply'!O7)</f>
        <v>189.04177099999998</v>
      </c>
      <c r="U9" s="20">
        <f>IF($B$5="Status quo",'Govt supply'!C7,'Govt supply'!K7)*1000</f>
        <v>2300</v>
      </c>
      <c r="V9" s="18">
        <f>IF($B$5="Status quo",'Govt supply'!H7,'Govt supply'!P7)</f>
        <v>236.02903200000006</v>
      </c>
      <c r="W9" s="20">
        <f>IF($B$5="Status quo",'Govt supply'!D7,'Govt supply'!L7)*1000</f>
        <v>4200</v>
      </c>
      <c r="X9" s="18">
        <f ca="1">OFFSET(Prices!$B11,0,$C$4+1)</f>
        <v>68.224861999999987</v>
      </c>
      <c r="Y9" s="20">
        <f t="shared" ca="1" si="15"/>
        <v>0</v>
      </c>
      <c r="Z9" s="18">
        <f ca="1">IF(Y9=1,OFFSET(X9,MATCH(0,$Y9:$Y$33,0)-1,0)/((1+$B$27)^(MATCH(0,$Y9:$Y$33,0)-1)),X9)</f>
        <v>68.224861999999987</v>
      </c>
      <c r="AA9" s="18"/>
      <c r="AB9" s="20">
        <f ca="1">OFFSET('Industrial Allocation'!$C$62,0,ROW()-ROW($AB$6))</f>
        <v>4593.174890235935</v>
      </c>
      <c r="AC9" s="20">
        <f ca="1">IF(X9&lt;S9,0,IF($B$5="Status quo",'Govt supply'!E7,'Govt supply'!M7)*1000)</f>
        <v>5200</v>
      </c>
      <c r="AD9" s="20">
        <f t="shared" ca="1" si="20"/>
        <v>0</v>
      </c>
      <c r="AE9" s="32">
        <f t="shared" ca="1" si="0"/>
        <v>9793.1748902359359</v>
      </c>
      <c r="AF9" s="20">
        <f t="shared" ca="1" si="5"/>
        <v>11736.688966412961</v>
      </c>
      <c r="AG9" s="18">
        <f ca="1">(X9+IF($B$41&gt;0,NPV($B$40,X10:OFFSET(X9,$B$41,0)),0))/(1+PV($B$40,($B$41),-1))</f>
        <v>73.631746250814828</v>
      </c>
      <c r="AH9" s="181">
        <v>1</v>
      </c>
      <c r="AI9" s="20">
        <f t="shared" ca="1" si="21"/>
        <v>32039.037121732359</v>
      </c>
      <c r="AJ9" s="20">
        <f ca="1">INDEX(Removals!$G$3:$G$33,MATCH($K9,Removals!$A$3:$A$33,0))*1000</f>
        <v>10401.914506577756</v>
      </c>
      <c r="AK9" s="20">
        <f ca="1">INDEX(Removals!$G$3:$G$33,MATCH($K9,Removals!$A$3:$A$33,0))*1000</f>
        <v>10401.914506577756</v>
      </c>
      <c r="AL9" s="20">
        <f t="shared" ca="1" si="22"/>
        <v>10401.914506577756</v>
      </c>
      <c r="AM9" s="20">
        <f t="shared" ca="1" si="6"/>
        <v>21637.122615154603</v>
      </c>
      <c r="AN9" s="20">
        <v>0</v>
      </c>
      <c r="AO9" s="32">
        <f t="shared" ca="1" si="29"/>
        <v>11843.947724918666</v>
      </c>
      <c r="AP9" s="18">
        <f ca="1">(X9+IF($B$39&gt;0,NPV($B$38,X10:OFFSET(X9,$B$39,0)),0))/(1+PV($B$38,($B$39),-1))/Model!$B$47</f>
        <v>63.566538020320856</v>
      </c>
      <c r="AQ9" s="20">
        <f t="shared" ca="1" si="30"/>
        <v>1536.7245689962951</v>
      </c>
      <c r="AR9" s="20">
        <f t="shared" ref="AR9:AR33" ca="1" si="31">EXP(LN(AR8)*$B$36+LN(AP9)*$B$37+$B$35)</f>
        <v>1334.7744598352053</v>
      </c>
      <c r="AS9" s="32">
        <f ca="1">IF($C$4&lt;&gt;11,IF($B$10="ENZ",AR9,AQ9),Prices!BN11-OFFSET(Prices!$BB11,0,$C$4))</f>
        <v>1334.7744598352053</v>
      </c>
      <c r="AT9" s="32">
        <f t="shared" ca="1" si="16"/>
        <v>32039.037121732355</v>
      </c>
      <c r="AU9" s="32">
        <f t="shared" ca="1" si="23"/>
        <v>32039.037121732359</v>
      </c>
      <c r="AV9" s="32">
        <f ca="1">AU9-Prices!BM11</f>
        <v>-1938.384643272806</v>
      </c>
      <c r="AW9" s="32">
        <f t="shared" ca="1" si="17"/>
        <v>0</v>
      </c>
      <c r="AX9" s="32">
        <f t="shared" ca="1" si="25"/>
        <v>-3.637978807091713E-12</v>
      </c>
      <c r="AY9" s="32">
        <f t="shared" ca="1" si="26"/>
        <v>3.637978807091713E-12</v>
      </c>
      <c r="AZ9" s="32">
        <f t="shared" ca="1" si="27"/>
        <v>11843.947724918669</v>
      </c>
      <c r="BA9" s="32">
        <f t="shared" ca="1" si="28"/>
        <v>0</v>
      </c>
      <c r="BB9" s="32">
        <f t="shared" ca="1" si="24"/>
        <v>11843.947724918669</v>
      </c>
      <c r="BC9" s="32">
        <f ca="1">MAX(0,MIN(BB9+AO9,$BF$5+SUM(BA$5:BA8)-(SUM(BC$6:BC8))))</f>
        <v>0</v>
      </c>
      <c r="BD9" s="32">
        <f t="shared" ca="1" si="8"/>
        <v>0</v>
      </c>
      <c r="BE9" s="32">
        <f t="shared" ca="1" si="9"/>
        <v>0</v>
      </c>
      <c r="BF9" s="32">
        <f ca="1">MAX(0,BF8-AO9+AX9)</f>
        <v>29920.429363018648</v>
      </c>
      <c r="BG9" s="32">
        <f ca="1">MAX(0,BG8+(Removals!D9+Removals!H9)*1000-BA9)+AW9</f>
        <v>74541.53884903912</v>
      </c>
      <c r="BH9" s="32">
        <f t="shared" ca="1" si="10"/>
        <v>104461.96821205776</v>
      </c>
      <c r="BI9" s="32">
        <f t="shared" ca="1" si="2"/>
        <v>31837.087012571268</v>
      </c>
      <c r="BJ9" s="32">
        <f t="shared" ca="1" si="3"/>
        <v>32039.037121732359</v>
      </c>
      <c r="BK9" s="32">
        <f t="shared" ca="1" si="11"/>
        <v>29.920429363018648</v>
      </c>
      <c r="BL9" s="32">
        <f t="shared" ca="1" si="12"/>
        <v>74.541538849039114</v>
      </c>
      <c r="BM9" s="268">
        <f ca="1">AJ9/AT9</f>
        <v>0.32466376773607991</v>
      </c>
      <c r="BN9" s="269">
        <f t="shared" ca="1" si="18"/>
        <v>3.2604590398629769</v>
      </c>
      <c r="BO9">
        <v>2026</v>
      </c>
      <c r="BP9" s="89">
        <f t="shared" ca="1" si="14"/>
        <v>2.3265848647641456</v>
      </c>
      <c r="BQ9">
        <v>2026</v>
      </c>
      <c r="BR9" s="20">
        <f t="shared" ca="1" si="19"/>
        <v>65882.149375254216</v>
      </c>
      <c r="BS9" s="20"/>
      <c r="BT9" s="20"/>
      <c r="BU9" s="20"/>
      <c r="BV9" s="13"/>
      <c r="BW9" s="20">
        <v>8802.7254148485081</v>
      </c>
      <c r="BX9" s="20"/>
    </row>
    <row r="10" spans="1:78" x14ac:dyDescent="0.25">
      <c r="A10" s="242" t="s">
        <v>143</v>
      </c>
      <c r="B10" s="30" t="s">
        <v>144</v>
      </c>
      <c r="K10" s="19">
        <v>2027</v>
      </c>
      <c r="L10" s="127">
        <v>33364.415980359285</v>
      </c>
      <c r="M10" s="127">
        <f>IF($B$3="CPR/Demo average",AVERAGE(L10,Prices!BN12),IF($B$3="CPR zero price",L10,Prices!BN12))</f>
        <v>33364.415980359285</v>
      </c>
      <c r="N10" s="20">
        <v>0</v>
      </c>
      <c r="O10" s="20">
        <v>39254.616112724922</v>
      </c>
      <c r="P10" s="89">
        <v>3217.0923097726836</v>
      </c>
      <c r="Q10" s="20">
        <f t="shared" si="4"/>
        <v>33364.415980359285</v>
      </c>
      <c r="R10" s="20">
        <f>Prices!$BC12</f>
        <v>36673.182150351182</v>
      </c>
      <c r="S10" s="18">
        <f>IF($B$5="Status quo",'Govt supply'!F8,'Govt supply'!N8)</f>
        <v>67.530528599999997</v>
      </c>
      <c r="T10" s="18">
        <f>IF($B$5="Status quo",'Govt supply'!G8,'Govt supply'!O8)</f>
        <v>194.71302412999998</v>
      </c>
      <c r="U10" s="20">
        <f>IF($B$5="Status quo",'Govt supply'!C8,'Govt supply'!K8)*1000</f>
        <v>2100</v>
      </c>
      <c r="V10" s="18">
        <f>IF($B$5="Status quo",'Govt supply'!H8,'Govt supply'!P8)</f>
        <v>243.10990296000006</v>
      </c>
      <c r="W10" s="20">
        <f>IF($B$5="Status quo",'Govt supply'!D8,'Govt supply'!L8)*1000</f>
        <v>3800</v>
      </c>
      <c r="X10" s="18">
        <f ca="1">OFFSET(Prices!$B12,0,$C$4+1)</f>
        <v>71.567880237999987</v>
      </c>
      <c r="Y10" s="20">
        <f t="shared" ca="1" si="15"/>
        <v>0</v>
      </c>
      <c r="Z10" s="18">
        <f ca="1">IF(Y10=1,OFFSET(X10,MATCH(0,$Y10:$Y$33,0)-1,0)/((1+$B$27)^(MATCH(0,$Y10:$Y$33,0)-1)),X10)</f>
        <v>71.567880237999987</v>
      </c>
      <c r="AA10" s="18"/>
      <c r="AB10" s="20">
        <f ca="1">OFFSET('Industrial Allocation'!$C$62,0,ROW()-ROW($AB$6))</f>
        <v>4438.3437882456137</v>
      </c>
      <c r="AC10" s="20">
        <f ca="1">IF(X10&lt;S10,0,IF($B$5="Status quo",'Govt supply'!E8,'Govt supply'!M8)*1000)</f>
        <v>4300</v>
      </c>
      <c r="AD10" s="20">
        <f ca="1">IF(X10&lt;T10,0,U10)+IF(X10&lt;V10,0,W10)</f>
        <v>0</v>
      </c>
      <c r="AE10" s="32">
        <f t="shared" ca="1" si="0"/>
        <v>8738.3437882456128</v>
      </c>
      <c r="AF10" s="20">
        <f t="shared" ca="1" si="5"/>
        <v>14074.254226937841</v>
      </c>
      <c r="AG10" s="18">
        <f ca="1">(X10+IF($B$41&gt;0,NPV($B$40,X11:OFFSET(X10,$B$41,0)),0))/(1+PV($B$40,($B$41),-1))</f>
        <v>73.837386810900455</v>
      </c>
      <c r="AH10" s="181">
        <v>1</v>
      </c>
      <c r="AI10" s="20">
        <f t="shared" ca="1" si="21"/>
        <v>31775.904595526205</v>
      </c>
      <c r="AJ10" s="20">
        <f ca="1">INDEX(Removals!$G$3:$G$33,MATCH($K10,Removals!$A$3:$A$33,0))*1000</f>
        <v>12485.742842104759</v>
      </c>
      <c r="AK10" s="20">
        <f ca="1">INDEX(Removals!$G$3:$G$33,MATCH($K10,Removals!$A$3:$A$33,0))*1000</f>
        <v>12485.742842104759</v>
      </c>
      <c r="AL10" s="20">
        <f t="shared" ca="1" si="22"/>
        <v>12485.742842104759</v>
      </c>
      <c r="AM10" s="20">
        <f t="shared" ca="1" si="6"/>
        <v>19290.161753421446</v>
      </c>
      <c r="AN10" s="20">
        <v>0</v>
      </c>
      <c r="AO10" s="32">
        <f t="shared" ca="1" si="29"/>
        <v>10551.817965175831</v>
      </c>
      <c r="AP10" s="18">
        <f ca="1">(X10+IF($B$39&gt;0,NPV($B$38,X11:OFFSET(X10,$B$39,0)),0))/(1+PV($B$38,($B$39),-1))/Model!$B$47</f>
        <v>63.943648847158833</v>
      </c>
      <c r="AQ10" s="20">
        <f t="shared" ca="1" si="30"/>
        <v>1907.0980671588018</v>
      </c>
      <c r="AR10" s="20">
        <f t="shared" ca="1" si="31"/>
        <v>1588.5113848330814</v>
      </c>
      <c r="AS10" s="32">
        <f ca="1">IF($C$4&lt;&gt;11,IF($B$10="ENZ",AR10,AQ10),Prices!BN12-OFFSET(Prices!$BB12,0,$C$4))</f>
        <v>1588.5113848330814</v>
      </c>
      <c r="AT10" s="32">
        <f t="shared" ca="1" si="16"/>
        <v>31775.904595526205</v>
      </c>
      <c r="AU10" s="32">
        <f t="shared" ca="1" si="23"/>
        <v>31775.904595526205</v>
      </c>
      <c r="AV10" s="32">
        <f ca="1">AU10-Prices!BM12</f>
        <v>-1475.7925589510924</v>
      </c>
      <c r="AW10" s="32">
        <f t="shared" ca="1" si="17"/>
        <v>0</v>
      </c>
      <c r="AX10" s="32">
        <f ca="1">AT10-AU10-AW10</f>
        <v>0</v>
      </c>
      <c r="AY10" s="32">
        <f t="shared" ca="1" si="26"/>
        <v>0</v>
      </c>
      <c r="AZ10" s="32">
        <f t="shared" ca="1" si="27"/>
        <v>10551.817965175831</v>
      </c>
      <c r="BA10" s="32">
        <f t="shared" ca="1" si="28"/>
        <v>0</v>
      </c>
      <c r="BB10" s="32">
        <f t="shared" ca="1" si="24"/>
        <v>10551.817965175831</v>
      </c>
      <c r="BC10" s="32">
        <f ca="1">MAX(0,MIN(BB10+AO10,$BF$5+SUM(BA$5:BA9)-(SUM(BC$6:BC9))))</f>
        <v>0</v>
      </c>
      <c r="BD10" s="32">
        <f t="shared" ca="1" si="8"/>
        <v>0</v>
      </c>
      <c r="BE10" s="32">
        <f t="shared" ca="1" si="9"/>
        <v>0</v>
      </c>
      <c r="BF10" s="32">
        <f t="shared" ref="BF10:BF33" ca="1" si="32">MAX(0,BF9-AO10+AX10)</f>
        <v>19368.611397842818</v>
      </c>
      <c r="BG10" s="32">
        <f ca="1">MAX(0,BG9+(Removals!D10+Removals!H10)*1000-BA10)+AW10</f>
        <v>74950.935120519658</v>
      </c>
      <c r="BH10" s="32">
        <f t="shared" ca="1" si="10"/>
        <v>94319.546518362476</v>
      </c>
      <c r="BI10" s="32">
        <f t="shared" ca="1" si="2"/>
        <v>31457.317913200484</v>
      </c>
      <c r="BJ10" s="32">
        <f t="shared" ca="1" si="3"/>
        <v>31775.904595526205</v>
      </c>
      <c r="BK10" s="32">
        <f t="shared" ca="1" si="11"/>
        <v>19.36861139784282</v>
      </c>
      <c r="BL10" s="32">
        <f t="shared" ca="1" si="12"/>
        <v>74.950935120519659</v>
      </c>
      <c r="BM10" s="268">
        <f t="shared" ca="1" si="13"/>
        <v>0.39293115337030099</v>
      </c>
      <c r="BN10" s="269">
        <f t="shared" ca="1" si="18"/>
        <v>2.9682725863811261</v>
      </c>
      <c r="BO10">
        <v>2027</v>
      </c>
      <c r="BP10" s="89">
        <f t="shared" ca="1" si="14"/>
        <v>2.3587348991182506</v>
      </c>
      <c r="BQ10">
        <v>2027</v>
      </c>
      <c r="BR10" s="20">
        <f t="shared" ca="1" si="19"/>
        <v>63756.553424441532</v>
      </c>
      <c r="BS10" s="20"/>
      <c r="BT10" s="20"/>
      <c r="BU10" s="20"/>
      <c r="BV10" s="13"/>
      <c r="BW10" s="20">
        <v>10491.059593582275</v>
      </c>
      <c r="BX10" s="20"/>
    </row>
    <row r="11" spans="1:78" x14ac:dyDescent="0.25">
      <c r="A11" s="242" t="s">
        <v>145</v>
      </c>
      <c r="B11" s="24">
        <v>55778</v>
      </c>
      <c r="K11" s="19">
        <v>2028</v>
      </c>
      <c r="L11" s="127">
        <v>31815.330342622627</v>
      </c>
      <c r="M11" s="127">
        <f>IF($B$3="CPR/Demo average",AVERAGE(L11,Prices!BN13),IF($B$3="CPR zero price",L11,Prices!BN13))</f>
        <v>31815.330342622627</v>
      </c>
      <c r="N11" s="20">
        <v>0</v>
      </c>
      <c r="O11" s="20">
        <v>39277.32304122021</v>
      </c>
      <c r="P11" s="89">
        <v>3226.6441395794518</v>
      </c>
      <c r="Q11" s="20">
        <f t="shared" si="4"/>
        <v>31815.330342622627</v>
      </c>
      <c r="R11" s="20">
        <f>Prices!$BC13</f>
        <v>36510.639480378573</v>
      </c>
      <c r="S11" s="18">
        <f>IF($B$5="Status quo",'Govt supply'!F9,'Govt supply'!N9)</f>
        <v>69.556444458000001</v>
      </c>
      <c r="T11" s="18">
        <f>IF($B$5="Status quo",'Govt supply'!G9,'Govt supply'!O9)</f>
        <v>200.55441485389997</v>
      </c>
      <c r="U11" s="20">
        <f>IF($B$5="Status quo",'Govt supply'!C9,'Govt supply'!K9)*1000</f>
        <v>1900</v>
      </c>
      <c r="V11" s="18">
        <f>IF($B$5="Status quo",'Govt supply'!H9,'Govt supply'!P9)</f>
        <v>250.40320004880007</v>
      </c>
      <c r="W11" s="20">
        <f>IF($B$5="Status quo",'Govt supply'!D9,'Govt supply'!L9)*1000</f>
        <v>3400</v>
      </c>
      <c r="X11" s="18">
        <f ca="1">OFFSET(Prices!$B13,0,$C$4+1)</f>
        <v>75.074706369661982</v>
      </c>
      <c r="Y11" s="20">
        <f t="shared" ca="1" si="15"/>
        <v>0</v>
      </c>
      <c r="Z11" s="18">
        <f ca="1">IF(Y11=1,OFFSET(X11,MATCH(0,$Y11:$Y$33,0)-1,0)/((1+$B$27)^(MATCH(0,$Y11:$Y$33,0)-1)),X11)</f>
        <v>75.074706369661982</v>
      </c>
      <c r="AA11" s="18"/>
      <c r="AB11" s="20">
        <f ca="1">OFFSET('Industrial Allocation'!$C$62,0,ROW()-ROW($AB$6))</f>
        <v>4098.1251000483962</v>
      </c>
      <c r="AC11" s="20">
        <f ca="1">IF(X11&lt;S11,0,IF($B$5="Status quo",'Govt supply'!E9,'Govt supply'!M9)*1000)</f>
        <v>3300</v>
      </c>
      <c r="AD11" s="20">
        <f t="shared" ca="1" si="20"/>
        <v>0</v>
      </c>
      <c r="AE11" s="32">
        <f t="shared" ca="1" si="0"/>
        <v>7398.1251000483962</v>
      </c>
      <c r="AF11" s="20">
        <f t="shared" ca="1" si="5"/>
        <v>15917.850075584764</v>
      </c>
      <c r="AG11" s="18">
        <f ca="1">(X11+IF($B$41&gt;0,NPV($B$40,X12:OFFSET(X11,$B$41,0)),0))/(1+PV($B$40,($B$41),-1))</f>
        <v>73.632233029429244</v>
      </c>
      <c r="AH11" s="181">
        <v>1</v>
      </c>
      <c r="AI11" s="20">
        <f t="shared" ca="1" si="21"/>
        <v>30049.505432444199</v>
      </c>
      <c r="AJ11" s="20">
        <f ca="1">INDEX(Removals!$G$3:$G$33,MATCH($K11,Removals!$A$3:$A$33,0))*1000</f>
        <v>14152.025165406336</v>
      </c>
      <c r="AK11" s="20">
        <f ca="1">INDEX(Removals!$G$3:$G$33,MATCH($K11,Removals!$A$3:$A$33,0))*1000</f>
        <v>14152.025165406336</v>
      </c>
      <c r="AL11" s="20">
        <f t="shared" ca="1" si="22"/>
        <v>14152.025165406336</v>
      </c>
      <c r="AM11" s="20">
        <f t="shared" ca="1" si="6"/>
        <v>15897.480267037863</v>
      </c>
      <c r="AN11" s="20">
        <v>0</v>
      </c>
      <c r="AO11" s="32">
        <f t="shared" ca="1" si="29"/>
        <v>8499.3551669894659</v>
      </c>
      <c r="AP11" s="18">
        <f ca="1">(X11+IF($B$39&gt;0,NPV($B$38,X12:OFFSET(X11,$B$39,0)),0))/(1+PV($B$38,($B$39),-1))/Model!$B$47</f>
        <v>63.899715109324227</v>
      </c>
      <c r="AQ11" s="20">
        <f t="shared" ca="1" si="30"/>
        <v>2232.0529180981484</v>
      </c>
      <c r="AR11" s="20">
        <f t="shared" ca="1" si="31"/>
        <v>1765.8249101784279</v>
      </c>
      <c r="AS11" s="32">
        <f ca="1">IF($C$4&lt;&gt;11,IF($B$10="ENZ",AR11,AQ11),Prices!BN13-OFFSET(Prices!$BB13,0,$C$4))</f>
        <v>1765.8249101784279</v>
      </c>
      <c r="AT11" s="32">
        <f ca="1">AE11+AO11+AK11</f>
        <v>30049.505432444199</v>
      </c>
      <c r="AU11" s="32">
        <f t="shared" ca="1" si="23"/>
        <v>30049.505432444199</v>
      </c>
      <c r="AV11" s="32">
        <f ca="1">AU11-Prices!BM13</f>
        <v>-2429.2235391672621</v>
      </c>
      <c r="AW11" s="32">
        <f t="shared" ca="1" si="17"/>
        <v>0</v>
      </c>
      <c r="AX11" s="32">
        <f ca="1">AT11-AU11-AW11</f>
        <v>0</v>
      </c>
      <c r="AY11" s="32">
        <f ca="1">MIN(MAX(0,-AX11),BF10-AO11)</f>
        <v>0</v>
      </c>
      <c r="AZ11" s="32">
        <f t="shared" ca="1" si="27"/>
        <v>8499.3551669894659</v>
      </c>
      <c r="BA11" s="32">
        <f t="shared" ca="1" si="28"/>
        <v>0</v>
      </c>
      <c r="BB11" s="32">
        <f ca="1">AZ11+BA11</f>
        <v>8499.3551669894659</v>
      </c>
      <c r="BC11" s="32">
        <f ca="1">MAX(0,MIN(BB11+AO11,$BF$5+SUM(BA$5:BA10)-(SUM(BC$6:BC10))))</f>
        <v>0</v>
      </c>
      <c r="BD11" s="32">
        <f t="shared" ca="1" si="8"/>
        <v>0</v>
      </c>
      <c r="BE11" s="32">
        <f t="shared" ca="1" si="9"/>
        <v>0</v>
      </c>
      <c r="BF11" s="32">
        <f ca="1">MAX(0,BF10-AO11+AX11)</f>
        <v>10869.256230853352</v>
      </c>
      <c r="BG11" s="32">
        <f ca="1">MAX(0,BG10+(Removals!D11+Removals!H11)*1000-BA11)+AW11</f>
        <v>74433.356485633398</v>
      </c>
      <c r="BH11" s="32">
        <f t="shared" ca="1" si="10"/>
        <v>85302.61271648675</v>
      </c>
      <c r="BI11" s="32">
        <f t="shared" ca="1" si="2"/>
        <v>29583.27742452448</v>
      </c>
      <c r="BJ11" s="32">
        <f t="shared" ca="1" si="3"/>
        <v>30049.505432444199</v>
      </c>
      <c r="BK11" s="32">
        <f t="shared" ca="1" si="11"/>
        <v>10.869256230853352</v>
      </c>
      <c r="BL11" s="32">
        <f t="shared" ca="1" si="12"/>
        <v>74.433356485633396</v>
      </c>
      <c r="BM11" s="268">
        <f t="shared" ca="1" si="13"/>
        <v>0.47095700783569344</v>
      </c>
      <c r="BN11" s="269">
        <f t="shared" ca="1" si="18"/>
        <v>2.8387359954479061</v>
      </c>
      <c r="BO11">
        <v>2028</v>
      </c>
      <c r="BP11" s="89">
        <f t="shared" ca="1" si="14"/>
        <v>2.4770243441433926</v>
      </c>
      <c r="BQ11">
        <v>2028</v>
      </c>
      <c r="BR11" s="20">
        <f t="shared" ca="1" si="19"/>
        <v>60112.603806479921</v>
      </c>
      <c r="BS11" s="20"/>
      <c r="BT11" s="20"/>
      <c r="BU11" s="20"/>
      <c r="BV11" s="13"/>
      <c r="BW11" s="20">
        <v>12440.868806763941</v>
      </c>
      <c r="BX11" s="20"/>
    </row>
    <row r="12" spans="1:78" x14ac:dyDescent="0.25">
      <c r="A12" s="242" t="s">
        <v>146</v>
      </c>
      <c r="B12" s="24">
        <v>150400</v>
      </c>
      <c r="K12" s="19">
        <v>2029</v>
      </c>
      <c r="L12" s="127">
        <v>31497.431700106798</v>
      </c>
      <c r="M12" s="127">
        <f>IF($B$3="CPR/Demo average",AVERAGE(L12,Prices!BN14),IF($B$3="CPR zero price",L12,Prices!BN14))</f>
        <v>31497.431700106798</v>
      </c>
      <c r="N12" s="20">
        <v>0</v>
      </c>
      <c r="O12" s="20">
        <v>39166.732306191858</v>
      </c>
      <c r="P12" s="89">
        <v>3205.6490314798925</v>
      </c>
      <c r="Q12" s="20">
        <f t="shared" si="4"/>
        <v>31497.431700106798</v>
      </c>
      <c r="R12" s="20">
        <f>Prices!$BC14</f>
        <v>36570.205651459662</v>
      </c>
      <c r="S12" s="18">
        <f>IF($B$5="Status quo",'Govt supply'!F10,'Govt supply'!N10)</f>
        <v>71.643137791740003</v>
      </c>
      <c r="T12" s="18">
        <f>IF($B$5="Status quo",'Govt supply'!G10,'Govt supply'!O10)</f>
        <v>206.57104729951698</v>
      </c>
      <c r="U12" s="20">
        <f>IF($B$5="Status quo",'Govt supply'!C10,'Govt supply'!K10)*1000</f>
        <v>1700</v>
      </c>
      <c r="V12" s="18">
        <f>IF($B$5="Status quo",'Govt supply'!H10,'Govt supply'!P10)</f>
        <v>257.91529605026409</v>
      </c>
      <c r="W12" s="20">
        <f>IF($B$5="Status quo",'Govt supply'!D10,'Govt supply'!L10)*1000</f>
        <v>3000</v>
      </c>
      <c r="X12" s="18">
        <f ca="1">OFFSET(Prices!$B14,0,$C$4+1)</f>
        <v>78.753366981775415</v>
      </c>
      <c r="Y12" s="20">
        <f t="shared" ca="1" si="15"/>
        <v>0</v>
      </c>
      <c r="Z12" s="18">
        <f ca="1">IF(Y12=1,OFFSET(X12,MATCH(0,$Y12:$Y$33,0)-1,0)/((1+$B$27)^(MATCH(0,$Y12:$Y$33,0)-1)),X12)</f>
        <v>78.753366981775415</v>
      </c>
      <c r="AA12" s="18"/>
      <c r="AB12" s="20">
        <f ca="1">OFFSET('Industrial Allocation'!$C$62,0,ROW()-ROW($AB$6))</f>
        <v>4042.8539980580772</v>
      </c>
      <c r="AC12" s="20">
        <f ca="1">IF(X12&lt;S12,0,IF($B$5="Status quo",'Govt supply'!E10,'Govt supply'!M10)*1000)</f>
        <v>2400</v>
      </c>
      <c r="AD12" s="20">
        <f t="shared" ca="1" si="20"/>
        <v>0</v>
      </c>
      <c r="AE12" s="32">
        <f ca="1">SUM(AA12:AD12)</f>
        <v>6442.8539980580772</v>
      </c>
      <c r="AF12" s="20">
        <f t="shared" ca="1" si="5"/>
        <v>17048.160245264342</v>
      </c>
      <c r="AG12" s="18">
        <f ca="1">(X12+IF($B$41&gt;0,NPV($B$40,X13:OFFSET(X12,$B$41,0)),0))/(1+PV($B$40,($B$41),-1))</f>
        <v>72.966129120793141</v>
      </c>
      <c r="AH12" s="181">
        <v>1</v>
      </c>
      <c r="AI12" s="20">
        <f t="shared" ca="1" si="21"/>
        <v>29618.14745867642</v>
      </c>
      <c r="AJ12" s="20">
        <f ca="1">INDEX(Removals!$G$3:$G$33,MATCH($K12,Removals!$A$3:$A$33,0))*1000</f>
        <v>15168.876003833966</v>
      </c>
      <c r="AK12" s="20">
        <f ca="1">INDEX(Removals!$G$3:$G$33,MATCH($K12,Removals!$A$3:$A$33,0))*1000</f>
        <v>15168.876003833966</v>
      </c>
      <c r="AL12" s="20">
        <f t="shared" ca="1" si="22"/>
        <v>15168.876003833966</v>
      </c>
      <c r="AM12" s="20">
        <f t="shared" ca="1" si="6"/>
        <v>14449.271454842454</v>
      </c>
      <c r="AN12" s="20">
        <v>0</v>
      </c>
      <c r="AO12" s="32">
        <f t="shared" ca="1" si="29"/>
        <v>8006.4174567843784</v>
      </c>
      <c r="AP12" s="18">
        <f ca="1">(X12+IF($B$39&gt;0,NPV($B$38,X13:OFFSET(X12,$B$39,0)),0))/(1+PV($B$38,($B$39),-1))/Model!$B$47</f>
        <v>63.399544166089029</v>
      </c>
      <c r="AQ12" s="20">
        <f t="shared" ca="1" si="30"/>
        <v>2516.6725327506156</v>
      </c>
      <c r="AR12" s="20">
        <f t="shared" ca="1" si="31"/>
        <v>1879.2842414303775</v>
      </c>
      <c r="AS12" s="32">
        <f ca="1">IF($C$4&lt;&gt;11,IF($B$10="ENZ",AR12,AQ12),Prices!BN14-OFFSET(Prices!$BB14,0,$C$4))</f>
        <v>1879.2842414303775</v>
      </c>
      <c r="AT12" s="32">
        <f ca="1">AE12+AO12+AK12</f>
        <v>29618.147458676423</v>
      </c>
      <c r="AU12" s="32">
        <f t="shared" ca="1" si="23"/>
        <v>29618.14745867642</v>
      </c>
      <c r="AV12" s="32">
        <f ca="1">AU12-Prices!BM14</f>
        <v>-2022.4220565710566</v>
      </c>
      <c r="AW12" s="32">
        <f t="shared" ca="1" si="17"/>
        <v>0</v>
      </c>
      <c r="AX12" s="32">
        <f t="shared" ca="1" si="25"/>
        <v>3.637978807091713E-12</v>
      </c>
      <c r="AY12" s="32">
        <f t="shared" ca="1" si="26"/>
        <v>0</v>
      </c>
      <c r="AZ12" s="32">
        <f t="shared" ca="1" si="27"/>
        <v>8006.4174567843784</v>
      </c>
      <c r="BA12" s="32">
        <f ca="1">IF(-AX12&gt;BF11-AO12,MIN(-(AY12+AX12),BG11*$B$13),0)</f>
        <v>0</v>
      </c>
      <c r="BB12" s="32">
        <f t="shared" ca="1" si="24"/>
        <v>8006.4174567843784</v>
      </c>
      <c r="BC12" s="32">
        <f ca="1">MAX(0,MIN(BB12+AO12,$BF$5+SUM(BA$5:BA11)-(SUM(BC$6:BC11))))</f>
        <v>0</v>
      </c>
      <c r="BD12" s="32">
        <f t="shared" ca="1" si="8"/>
        <v>0</v>
      </c>
      <c r="BE12" s="32">
        <f t="shared" ca="1" si="9"/>
        <v>0</v>
      </c>
      <c r="BF12" s="32">
        <f ca="1">MAX(0,BF11-AO12+AX12)</f>
        <v>2862.8387740689777</v>
      </c>
      <c r="BG12" s="32">
        <f ca="1">MAX(0,BG11+(Removals!D12+Removals!H12)*1000-BA12)+AW12</f>
        <v>73860.311603423441</v>
      </c>
      <c r="BH12" s="32">
        <f t="shared" ca="1" si="10"/>
        <v>76723.15037749242</v>
      </c>
      <c r="BI12" s="32">
        <f t="shared" ca="1" si="2"/>
        <v>28980.759167356184</v>
      </c>
      <c r="BJ12" s="32">
        <f t="shared" ca="1" si="3"/>
        <v>29618.14745867642</v>
      </c>
      <c r="BK12" s="32">
        <f t="shared" ca="1" si="11"/>
        <v>2.8628387740689778</v>
      </c>
      <c r="BL12" s="32">
        <f t="shared" ca="1" si="12"/>
        <v>73.86031160342344</v>
      </c>
      <c r="BM12" s="268">
        <f t="shared" ca="1" si="13"/>
        <v>0.51214803441024648</v>
      </c>
      <c r="BN12" s="269">
        <f t="shared" ca="1" si="18"/>
        <v>2.5904101694590267</v>
      </c>
      <c r="BO12">
        <v>2029</v>
      </c>
      <c r="BP12" s="89">
        <f t="shared" ca="1" si="14"/>
        <v>2.493751903506936</v>
      </c>
      <c r="BQ12">
        <v>2029</v>
      </c>
      <c r="BR12" s="20">
        <f t="shared" ca="1" si="19"/>
        <v>57978.138122279022</v>
      </c>
      <c r="BS12" s="20"/>
      <c r="BT12" s="20"/>
      <c r="BU12" s="20"/>
      <c r="BV12" s="13"/>
      <c r="BW12" s="20">
        <v>14012.390674069144</v>
      </c>
      <c r="BX12" s="20"/>
    </row>
    <row r="13" spans="1:78" s="93" customFormat="1" x14ac:dyDescent="0.25">
      <c r="A13" s="242" t="s">
        <v>147</v>
      </c>
      <c r="B13" s="136">
        <v>0.11</v>
      </c>
      <c r="K13" s="261">
        <v>2030</v>
      </c>
      <c r="L13" s="262">
        <v>30299.180745435711</v>
      </c>
      <c r="M13" s="262">
        <f>IF($B$3="CPR/Demo average",AVERAGE(L13,Prices!BN15),IF($B$3="CPR zero price",L13,Prices!BN15))</f>
        <v>30299.180745435711</v>
      </c>
      <c r="N13" s="94">
        <v>0</v>
      </c>
      <c r="O13" s="94">
        <v>38971.559832769119</v>
      </c>
      <c r="P13" s="96">
        <v>3211.5402937338017</v>
      </c>
      <c r="Q13" s="94">
        <f t="shared" si="4"/>
        <v>30299.180745435711</v>
      </c>
      <c r="R13" s="94">
        <f>Prices!$BC15</f>
        <v>35786.405654674054</v>
      </c>
      <c r="S13" s="263">
        <f>IF($B$5="Status quo",'Govt supply'!F11,'Govt supply'!N11)</f>
        <v>73.79243192549221</v>
      </c>
      <c r="T13" s="263">
        <f>IF($B$5="Status quo",'Govt supply'!G11,'Govt supply'!O11)</f>
        <v>212.7681787185025</v>
      </c>
      <c r="U13" s="94">
        <f>IF($B$5="Status quo",'Govt supply'!C11,'Govt supply'!K11)*1000</f>
        <v>1400</v>
      </c>
      <c r="V13" s="263">
        <f>IF($B$5="Status quo",'Govt supply'!H11,'Govt supply'!P11)</f>
        <v>265.65275493177199</v>
      </c>
      <c r="W13" s="94">
        <f>IF($B$5="Status quo",'Govt supply'!D11,'Govt supply'!L11)*1000</f>
        <v>2500</v>
      </c>
      <c r="X13" s="263">
        <f ca="1">OFFSET(Prices!$B15,0,$C$4+1)</f>
        <v>82.61228196388241</v>
      </c>
      <c r="Y13" s="94">
        <f t="shared" ca="1" si="15"/>
        <v>0</v>
      </c>
      <c r="Z13" s="263">
        <f ca="1">IF(Y13=1,OFFSET(X13,MATCH(0,$Y13:$Y$33,0)-1,0)/((1+$B$27)^(MATCH(0,$Y13:$Y$33,0)-1)),X13)</f>
        <v>82.61228196388241</v>
      </c>
      <c r="AA13" s="263"/>
      <c r="AB13" s="94">
        <f ca="1">OFFSET('Industrial Allocation'!$C$62,0,ROW()-ROW($AB$6))</f>
        <v>3987.5828960677554</v>
      </c>
      <c r="AC13" s="94">
        <f ca="1">IF(X13&lt;S13,0,IF($B$5="Status quo",'Govt supply'!E11,'Govt supply'!M11)*1000)</f>
        <v>1700</v>
      </c>
      <c r="AD13" s="94">
        <f t="shared" ca="1" si="20"/>
        <v>0</v>
      </c>
      <c r="AE13" s="264">
        <f t="shared" ca="1" si="0"/>
        <v>5687.5828960677554</v>
      </c>
      <c r="AF13" s="94">
        <f t="shared" ca="1" si="5"/>
        <v>21748.759075298978</v>
      </c>
      <c r="AG13" s="263">
        <f ca="1">(X13+IF($B$41&gt;0,NPV($B$40,X14:OFFSET(X13,$B$41,0)),0))/(1+PV($B$40,($B$41),-1))</f>
        <v>71.783970268371107</v>
      </c>
      <c r="AH13" s="265">
        <v>1</v>
      </c>
      <c r="AI13" s="94">
        <f t="shared" ca="1" si="21"/>
        <v>28355.806536382588</v>
      </c>
      <c r="AJ13" s="94">
        <f ca="1">INDEX(Removals!$G$3:$G$33,MATCH($K13,Removals!$A$3:$A$33,0))*1000</f>
        <v>15563.621038300418</v>
      </c>
      <c r="AK13" s="94">
        <f ca="1">INDEX(Removals!$G$3:$G$33,MATCH($K13,Removals!$A$3:$A$33,0))*1000</f>
        <v>15563.621038300418</v>
      </c>
      <c r="AL13" s="94">
        <f t="shared" ca="1" si="22"/>
        <v>15563.621038300418</v>
      </c>
      <c r="AM13" s="94">
        <f t="shared" ca="1" si="6"/>
        <v>12792.18549808217</v>
      </c>
      <c r="AN13" s="94">
        <v>0</v>
      </c>
      <c r="AO13" s="264">
        <f t="shared" ca="1" si="29"/>
        <v>2862.8387740689777</v>
      </c>
      <c r="AP13" s="263">
        <f ca="1">(X13+IF($B$39&gt;0,NPV($B$38,X14:OFFSET(X13,$B$39,0)),0))/(1+PV($B$38,($B$39),-1))/Model!$B$47</f>
        <v>62.405309204505386</v>
      </c>
      <c r="AQ13" s="94">
        <f t="shared" ca="1" si="30"/>
        <v>2765.3777376365697</v>
      </c>
      <c r="AR13" s="94">
        <f t="shared" ca="1" si="31"/>
        <v>1943.3742090531225</v>
      </c>
      <c r="AS13" s="264">
        <f ca="1">IF($C$4&lt;&gt;11,IF($B$10="ENZ",AR13,AQ13),Prices!BN15-OFFSET(Prices!$BB15,0,$C$4))</f>
        <v>1943.3742090531225</v>
      </c>
      <c r="AT13" s="264">
        <f t="shared" ca="1" si="16"/>
        <v>24114.042708437151</v>
      </c>
      <c r="AU13" s="264">
        <f t="shared" ca="1" si="23"/>
        <v>28355.806536382588</v>
      </c>
      <c r="AV13" s="264">
        <f ca="1">AU13-Prices!BM15</f>
        <v>-1331.1826591144309</v>
      </c>
      <c r="AW13" s="264">
        <f t="shared" ca="1" si="17"/>
        <v>0</v>
      </c>
      <c r="AX13" s="264">
        <f t="shared" ca="1" si="25"/>
        <v>-4241.7638279454368</v>
      </c>
      <c r="AY13" s="264">
        <f ca="1">MIN(MAX(0,-AX13),BF12-AO13)</f>
        <v>0</v>
      </c>
      <c r="AZ13" s="264">
        <f ca="1">MIN(AY13+AO13,BF12)</f>
        <v>2862.8387740689777</v>
      </c>
      <c r="BA13" s="264">
        <f ca="1">IF(-AX13&gt;BF12-AO13,MIN(-(AY13+AX13),BG12*$B$13),0)</f>
        <v>4241.7638279454368</v>
      </c>
      <c r="BB13" s="264">
        <f t="shared" ca="1" si="24"/>
        <v>7104.6026020144145</v>
      </c>
      <c r="BC13" s="264">
        <f ca="1">MAX(0,MIN(BB13+AO13,$BF$5+SUM(BA$5:BA12)-(SUM(BC$6:BC12))))</f>
        <v>0</v>
      </c>
      <c r="BD13" s="264">
        <f t="shared" ca="1" si="8"/>
        <v>0</v>
      </c>
      <c r="BE13" s="264">
        <f t="shared" ca="1" si="9"/>
        <v>0</v>
      </c>
      <c r="BF13" s="264">
        <f t="shared" ca="1" si="32"/>
        <v>0</v>
      </c>
      <c r="BG13" s="264">
        <f ca="1">MAX(0,BG12+(Removals!D13+Removals!H13)*1000-BA13)+AW13</f>
        <v>70760.832822174503</v>
      </c>
      <c r="BH13" s="264">
        <f t="shared" ca="1" si="10"/>
        <v>70760.832822174503</v>
      </c>
      <c r="BI13" s="264">
        <f t="shared" ca="1" si="2"/>
        <v>27533.803007799143</v>
      </c>
      <c r="BJ13" s="264">
        <f t="shared" ca="1" si="3"/>
        <v>28355.806536382588</v>
      </c>
      <c r="BK13" s="264">
        <f t="shared" ca="1" si="11"/>
        <v>0</v>
      </c>
      <c r="BL13" s="264">
        <f t="shared" ca="1" si="12"/>
        <v>70.760832822174507</v>
      </c>
      <c r="BM13" s="266">
        <f t="shared" ca="1" si="13"/>
        <v>0.64541732908414129</v>
      </c>
      <c r="BN13" s="267">
        <f t="shared" ca="1" si="18"/>
        <v>2.4954618282990166</v>
      </c>
      <c r="BO13" s="93">
        <v>2030</v>
      </c>
      <c r="BP13" s="89">
        <f t="shared" ca="1" si="14"/>
        <v>2.4954618282990166</v>
      </c>
      <c r="BQ13" s="93">
        <v>2030</v>
      </c>
      <c r="BR13" s="94">
        <f t="shared" ca="1" si="19"/>
        <v>55565.69500479399</v>
      </c>
      <c r="BS13" s="94">
        <f ca="1">SUM(BR9:BR13)</f>
        <v>303295.13973324868</v>
      </c>
      <c r="BT13" s="94">
        <v>305000</v>
      </c>
      <c r="BU13" s="94"/>
      <c r="BV13" s="265"/>
      <c r="BW13" s="94">
        <v>14973.21165809153</v>
      </c>
      <c r="BX13" s="94">
        <f>SUM(BW9:BW13)</f>
        <v>60720.256147355401</v>
      </c>
    </row>
    <row r="14" spans="1:78" x14ac:dyDescent="0.25">
      <c r="A14" s="285" t="s">
        <v>148</v>
      </c>
      <c r="B14" s="286">
        <v>25</v>
      </c>
      <c r="K14" s="19">
        <v>2031</v>
      </c>
      <c r="L14" s="127">
        <v>30009.8420200826</v>
      </c>
      <c r="M14" s="127">
        <f>IF($B$3="CPR/Demo average",AVERAGE(L14,Prices!BN16),IF($B$3="CPR zero price",L14,Prices!BN16))</f>
        <v>30009.8420200826</v>
      </c>
      <c r="N14" s="20">
        <v>0</v>
      </c>
      <c r="O14" s="20">
        <v>38243.642629082671</v>
      </c>
      <c r="P14" s="89">
        <v>3230.9903710447379</v>
      </c>
      <c r="Q14" s="20">
        <f t="shared" si="4"/>
        <v>30009.8420200826</v>
      </c>
      <c r="R14" s="20">
        <f>Prices!$BC16</f>
        <v>35778.513686598715</v>
      </c>
      <c r="S14" s="18">
        <f>IF($B$5="Status quo",'Govt supply'!F12,'Govt supply'!N12)</f>
        <v>76.006204883256984</v>
      </c>
      <c r="T14" s="18">
        <f>IF($B$5="Status quo",'Govt supply'!G12,'Govt supply'!O12)</f>
        <v>219.15122408005757</v>
      </c>
      <c r="U14" s="20">
        <f>IF($B$5="Status quo",'Govt supply'!C12,'Govt supply'!K12)*1000</f>
        <v>1200</v>
      </c>
      <c r="V14" s="18">
        <f>IF($B$5="Status quo",'Govt supply'!H12,'Govt supply'!P12)</f>
        <v>273.62233757972518</v>
      </c>
      <c r="W14" s="20">
        <f>IF($B$5="Status quo",'Govt supply'!D12,'Govt supply'!L12)*1000</f>
        <v>2300</v>
      </c>
      <c r="X14" s="18">
        <f ca="1">OFFSET(Prices!$B16,0,$C$4+1)</f>
        <v>80.588281055767297</v>
      </c>
      <c r="Y14" s="20">
        <f t="shared" ca="1" si="15"/>
        <v>0</v>
      </c>
      <c r="Z14" s="18">
        <f ca="1">IF(Y14=1,OFFSET(X14,MATCH(0,$Y14:$Y$33,0)-1,0)/((1+$B$27)^(MATCH(0,$Y14:$Y$33,0)-1)),X14)</f>
        <v>80.588281055767297</v>
      </c>
      <c r="AA14" s="18"/>
      <c r="AB14" s="20">
        <f ca="1">OFFSET('Industrial Allocation'!$C$62,0,ROW()-ROW($AB$6))</f>
        <v>3877.0406920871146</v>
      </c>
      <c r="AC14" s="20">
        <f ca="1">IF(X14&lt;S14,0,IF($B$5="Status quo",'Govt supply'!E12,'Govt supply'!M12)*1000)</f>
        <v>5700</v>
      </c>
      <c r="AD14" s="20">
        <f t="shared" ca="1" si="20"/>
        <v>0</v>
      </c>
      <c r="AE14" s="32">
        <f t="shared" ca="1" si="0"/>
        <v>9577.0406920871137</v>
      </c>
      <c r="AF14" s="20">
        <f t="shared" ca="1" si="5"/>
        <v>20432.801327995487</v>
      </c>
      <c r="AG14" s="18">
        <f ca="1">(X14+IF($B$41&gt;0,NPV($B$40,X15:OFFSET(X14,$B$41,0)),0))/(1+PV($B$40,($B$41),-1))</f>
        <v>70.025262996796016</v>
      </c>
      <c r="AH14" s="181">
        <v>1</v>
      </c>
      <c r="AI14" s="20">
        <f t="shared" ca="1" si="21"/>
        <v>28040.004956836041</v>
      </c>
      <c r="AJ14" s="20">
        <f ca="1">INDEX(Removals!$G$3:$G$33,MATCH($K14,Removals!$A$3:$A$33,0))*1000</f>
        <v>15728.732200626675</v>
      </c>
      <c r="AK14" s="20">
        <f ca="1">INDEX(Removals!$G$3:$G$33,MATCH($K14,Removals!$A$3:$A$33,0))*1000</f>
        <v>15728.732200626675</v>
      </c>
      <c r="AL14" s="20">
        <f t="shared" ca="1" si="22"/>
        <v>15728.732200626675</v>
      </c>
      <c r="AM14" s="20">
        <f t="shared" ca="1" si="6"/>
        <v>12311.272756209366</v>
      </c>
      <c r="AN14" s="20">
        <v>0</v>
      </c>
      <c r="AO14" s="32">
        <f t="shared" ca="1" si="29"/>
        <v>0</v>
      </c>
      <c r="AP14" s="18">
        <f ca="1">(X14+IF($B$39&gt;0,NPV($B$38,X15:OFFSET(X14,$B$39,0)),0))/(1+PV($B$38,($B$39),-1))/Model!$B$47</f>
        <v>60.876379128995005</v>
      </c>
      <c r="AQ14" s="20">
        <f t="shared" ca="1" si="30"/>
        <v>2982.0049904884791</v>
      </c>
      <c r="AR14" s="20">
        <f t="shared" ca="1" si="31"/>
        <v>1969.8370632465587</v>
      </c>
      <c r="AS14" s="32">
        <f ca="1">IF($C$4&lt;&gt;11,IF($B$10="ENZ",AR14,AQ14),Prices!BN16-OFFSET(Prices!$BB16,0,$C$4))</f>
        <v>1969.8370632465587</v>
      </c>
      <c r="AT14" s="32">
        <f t="shared" ca="1" si="16"/>
        <v>25305.772892713787</v>
      </c>
      <c r="AU14" s="32">
        <f t="shared" ca="1" si="23"/>
        <v>28040.004956836041</v>
      </c>
      <c r="AV14" s="32"/>
      <c r="AW14" s="32">
        <f t="shared" ca="1" si="17"/>
        <v>0</v>
      </c>
      <c r="AX14" s="32">
        <f t="shared" ca="1" si="25"/>
        <v>-2734.2320641222541</v>
      </c>
      <c r="AY14" s="32">
        <f t="shared" ca="1" si="26"/>
        <v>0</v>
      </c>
      <c r="AZ14" s="32">
        <f t="shared" ca="1" si="27"/>
        <v>0</v>
      </c>
      <c r="BA14" s="32">
        <f t="shared" ca="1" si="28"/>
        <v>2734.2320641222541</v>
      </c>
      <c r="BB14" s="32">
        <f t="shared" ca="1" si="24"/>
        <v>2734.2320641222541</v>
      </c>
      <c r="BC14" s="32">
        <f ca="1">MAX(0,MIN(BB14+AO14,$BF$5+SUM(BA$5:BA13)-(SUM(BC$6:BC13))))</f>
        <v>2734.2320641222541</v>
      </c>
      <c r="BD14" s="32">
        <f t="shared" ca="1" si="8"/>
        <v>0</v>
      </c>
      <c r="BE14" s="32">
        <f t="shared" ca="1" si="9"/>
        <v>0</v>
      </c>
      <c r="BF14" s="32">
        <f t="shared" ca="1" si="32"/>
        <v>0</v>
      </c>
      <c r="BG14" s="32">
        <f ca="1">MAX(0,BG13+(Removals!D14+Removals!H14)*1000-BA14)+AW14</f>
        <v>70545.476940377761</v>
      </c>
      <c r="BH14" s="32">
        <f t="shared" ca="1" si="10"/>
        <v>70545.476940377761</v>
      </c>
      <c r="BI14" s="32">
        <f t="shared" ca="1" si="2"/>
        <v>27027.83702959412</v>
      </c>
      <c r="BJ14" s="32">
        <f t="shared" ca="1" si="3"/>
        <v>28040.004956836041</v>
      </c>
      <c r="BK14" s="32">
        <f t="shared" ca="1" si="11"/>
        <v>0</v>
      </c>
      <c r="BL14" s="32">
        <f t="shared" ca="1" si="12"/>
        <v>70.545476940377768</v>
      </c>
      <c r="BM14" s="186">
        <f t="shared" ca="1" si="13"/>
        <v>0.62154719665390656</v>
      </c>
      <c r="BN14" s="193">
        <f t="shared" ca="1" si="18"/>
        <v>2.515886749983582</v>
      </c>
      <c r="BO14">
        <v>2031</v>
      </c>
      <c r="BP14" s="89">
        <f t="shared" ref="BP14:BP33" ca="1" si="33">BG14/AU14</f>
        <v>2.515886749983582</v>
      </c>
      <c r="BQ14">
        <v>2031</v>
      </c>
      <c r="BR14" s="20">
        <f t="shared" ca="1" si="19"/>
        <v>54034.602325879372</v>
      </c>
      <c r="BS14" s="20"/>
      <c r="BT14" s="20"/>
      <c r="BU14" s="20"/>
      <c r="BV14" s="13">
        <v>1.016065632888028</v>
      </c>
      <c r="BW14" s="20">
        <f t="shared" ref="BW14:BW33" ca="1" si="34">AK14/BV14</f>
        <v>15480.035631084085</v>
      </c>
      <c r="BX14" s="20"/>
    </row>
    <row r="15" spans="1:78" x14ac:dyDescent="0.25">
      <c r="A15" s="242" t="s">
        <v>149</v>
      </c>
      <c r="B15" s="22">
        <v>1500</v>
      </c>
      <c r="K15" s="19">
        <v>2032</v>
      </c>
      <c r="L15" s="127">
        <v>29540.084884014293</v>
      </c>
      <c r="M15" s="127">
        <f>IF($B$3="CPR/Demo average",AVERAGE(L15,Prices!BN17),IF($B$3="CPR zero price",L15,Prices!BN17))</f>
        <v>29540.084884014293</v>
      </c>
      <c r="N15" s="20">
        <v>0</v>
      </c>
      <c r="O15" s="20">
        <v>37633.390222895017</v>
      </c>
      <c r="P15" s="89">
        <v>3238.7305993768205</v>
      </c>
      <c r="Q15" s="20">
        <f t="shared" si="4"/>
        <v>29540.084884014293</v>
      </c>
      <c r="R15" s="20">
        <f>Prices!$BC17</f>
        <v>35104.026931153363</v>
      </c>
      <c r="S15" s="18">
        <f>IF($B$5="Status quo",'Govt supply'!F13,'Govt supply'!N13)</f>
        <v>78.286391029754697</v>
      </c>
      <c r="T15" s="18">
        <f>IF($B$5="Status quo",'Govt supply'!G13,'Govt supply'!O13)</f>
        <v>225.72576080245932</v>
      </c>
      <c r="U15" s="20">
        <f>IF($B$5="Status quo",'Govt supply'!C13,'Govt supply'!K13)*1000</f>
        <v>1000</v>
      </c>
      <c r="V15" s="18">
        <f>IF($B$5="Status quo",'Govt supply'!H13,'Govt supply'!P13)</f>
        <v>281.83100770711695</v>
      </c>
      <c r="W15" s="20">
        <f>IF($B$5="Status quo",'Govt supply'!D13,'Govt supply'!L13)*1000</f>
        <v>2099.9999999999995</v>
      </c>
      <c r="X15" s="18">
        <f ca="1">OFFSET(Prices!$B17,0,$C$4+1)</f>
        <v>78.613868169900996</v>
      </c>
      <c r="Y15" s="20">
        <f t="shared" ca="1" si="15"/>
        <v>0</v>
      </c>
      <c r="Z15" s="18">
        <f ca="1">IF(Y15=1,OFFSET(X15,MATCH(0,$Y15:$Y$33,0)-1,0)/((1+$B$27)^(MATCH(0,$Y15:$Y$33,0)-1)),X15)</f>
        <v>78.613868169900996</v>
      </c>
      <c r="AA15" s="18"/>
      <c r="AB15" s="20">
        <f ca="1">OFFSET('Industrial Allocation'!$C$62,0,ROW()-ROW($AB$6))</f>
        <v>3766.4984881064738</v>
      </c>
      <c r="AC15" s="20">
        <f ca="1">IF(X15&lt;S15,0,IF($B$5="Status quo",'Govt supply'!E13,'Govt supply'!M13)*1000)</f>
        <v>5100</v>
      </c>
      <c r="AD15" s="20">
        <f t="shared" ca="1" si="20"/>
        <v>0</v>
      </c>
      <c r="AE15" s="32">
        <f t="shared" ca="1" si="0"/>
        <v>8866.4984881064738</v>
      </c>
      <c r="AF15" s="20">
        <f t="shared" ca="1" si="5"/>
        <v>20673.58639590782</v>
      </c>
      <c r="AG15" s="18">
        <f ca="1">(X15+IF($B$41&gt;0,NPV($B$40,X16:OFFSET(X15,$B$41,0)),0))/(1+PV($B$40,($B$41),-1))</f>
        <v>68.309644053374498</v>
      </c>
      <c r="AH15" s="13">
        <v>1</v>
      </c>
      <c r="AI15" s="20">
        <f t="shared" ca="1" si="21"/>
        <v>27567.613631630895</v>
      </c>
      <c r="AJ15" s="20">
        <f ca="1">INDEX(Removals!$G$3:$G$33,MATCH($K15,Removals!$A$3:$A$33,0))*1000</f>
        <v>15987.299211267309</v>
      </c>
      <c r="AK15" s="20">
        <f ca="1">INDEX(Removals!$G$3:$G$33,MATCH($K15,Removals!$A$3:$A$33,0))*1000</f>
        <v>15987.299211267309</v>
      </c>
      <c r="AL15" s="20">
        <f t="shared" ca="1" si="22"/>
        <v>15987.299211267309</v>
      </c>
      <c r="AM15" s="20">
        <f t="shared" ca="1" si="6"/>
        <v>11580.314420363586</v>
      </c>
      <c r="AN15" s="20">
        <v>0</v>
      </c>
      <c r="AO15" s="32">
        <f t="shared" ca="1" si="29"/>
        <v>0</v>
      </c>
      <c r="AP15" s="18">
        <f ca="1">(X15+IF($B$39&gt;0,NPV($B$38,X16:OFFSET(X15,$B$39,0)),0))/(1+PV($B$38,($B$39),-1))/Model!$B$47</f>
        <v>59.38490784033462</v>
      </c>
      <c r="AQ15" s="20">
        <f t="shared" ca="1" si="30"/>
        <v>3170.523437180861</v>
      </c>
      <c r="AR15" s="20">
        <f t="shared" ca="1" si="31"/>
        <v>1972.4712523833991</v>
      </c>
      <c r="AS15" s="32">
        <f ca="1">IF($C$4&lt;&gt;11,IF($B$10="ENZ",AR15,AQ15),Prices!BN17-OFFSET(Prices!$BB17,0,$C$4))</f>
        <v>1972.4712523833991</v>
      </c>
      <c r="AT15" s="32">
        <f t="shared" ca="1" si="16"/>
        <v>24853.797699373783</v>
      </c>
      <c r="AU15" s="32">
        <f t="shared" ca="1" si="23"/>
        <v>27567.613631630895</v>
      </c>
      <c r="AV15" s="32"/>
      <c r="AW15" s="32">
        <f t="shared" ca="1" si="17"/>
        <v>0</v>
      </c>
      <c r="AX15" s="32">
        <f t="shared" ca="1" si="25"/>
        <v>-2713.8159322571119</v>
      </c>
      <c r="AY15" s="32">
        <f t="shared" ca="1" si="26"/>
        <v>0</v>
      </c>
      <c r="AZ15" s="32">
        <f t="shared" ca="1" si="27"/>
        <v>0</v>
      </c>
      <c r="BA15" s="32">
        <f ca="1">IF(-AX15&gt;BF14-AO15,MIN(-(AY15+AX15),BG14*$B$13),0)</f>
        <v>2713.8159322571119</v>
      </c>
      <c r="BB15" s="32">
        <f t="shared" ca="1" si="24"/>
        <v>2713.8159322571119</v>
      </c>
      <c r="BC15" s="32">
        <f ca="1">MAX(0,MIN(BB15+AO15,$BF$5+SUM(BA$5:BA14)-(SUM(BC$6:BC14))))</f>
        <v>2713.8159322571119</v>
      </c>
      <c r="BD15" s="32">
        <f t="shared" ca="1" si="8"/>
        <v>0</v>
      </c>
      <c r="BE15" s="32">
        <f t="shared" ca="1" si="9"/>
        <v>0</v>
      </c>
      <c r="BF15" s="32">
        <f t="shared" ca="1" si="32"/>
        <v>0</v>
      </c>
      <c r="BG15" s="32">
        <f ca="1">MAX(0,BG14+(Removals!D15+Removals!H15)*1000-BA15)+AW15</f>
        <v>71634.945376154195</v>
      </c>
      <c r="BH15" s="32">
        <f t="shared" ca="1" si="10"/>
        <v>71634.945376154195</v>
      </c>
      <c r="BI15" s="32">
        <f t="shared" ca="1" si="2"/>
        <v>26369.561446833432</v>
      </c>
      <c r="BJ15" s="32">
        <f t="shared" ca="1" si="3"/>
        <v>27567.613631630895</v>
      </c>
      <c r="BK15" s="32">
        <f t="shared" ca="1" si="11"/>
        <v>0</v>
      </c>
      <c r="BL15" s="32">
        <f t="shared" ca="1" si="12"/>
        <v>71.634945376154192</v>
      </c>
      <c r="BM15" s="186">
        <f t="shared" ca="1" si="13"/>
        <v>0.64325377572660158</v>
      </c>
      <c r="BN15" s="193">
        <f t="shared" ca="1" si="18"/>
        <v>2.5985181863533064</v>
      </c>
      <c r="BO15">
        <v>2032</v>
      </c>
      <c r="BP15" s="89">
        <f t="shared" ca="1" si="33"/>
        <v>2.5985181863533064</v>
      </c>
      <c r="BQ15">
        <v>2032</v>
      </c>
      <c r="BR15" s="20">
        <f t="shared" ca="1" si="19"/>
        <v>52580.061070820942</v>
      </c>
      <c r="BS15" s="20"/>
      <c r="BT15" s="20"/>
      <c r="BU15" s="20"/>
      <c r="BV15" s="13">
        <v>1.0080471914586626</v>
      </c>
      <c r="BW15" s="20">
        <f t="shared" ca="1" si="34"/>
        <v>15859.673383081794</v>
      </c>
      <c r="BX15" s="20"/>
    </row>
    <row r="16" spans="1:78" x14ac:dyDescent="0.25">
      <c r="A16" s="242" t="s">
        <v>150</v>
      </c>
      <c r="B16" s="30" t="s">
        <v>151</v>
      </c>
      <c r="K16" s="19">
        <v>2033</v>
      </c>
      <c r="L16" s="127">
        <v>29072.833920902092</v>
      </c>
      <c r="M16" s="127">
        <f>IF($B$3="CPR/Demo average",AVERAGE(L16,Prices!BN18),IF($B$3="CPR zero price",L16,Prices!BN18))</f>
        <v>29072.833920902092</v>
      </c>
      <c r="N16" s="20">
        <v>0</v>
      </c>
      <c r="O16" s="20">
        <v>36794.99234863434</v>
      </c>
      <c r="P16" s="89">
        <v>3148.6597650373037</v>
      </c>
      <c r="Q16" s="20">
        <f t="shared" si="4"/>
        <v>29072.833920902092</v>
      </c>
      <c r="R16" s="20">
        <f>Prices!$BC18</f>
        <v>34806.179754795972</v>
      </c>
      <c r="S16" s="18">
        <f>IF($B$5="Status quo",'Govt supply'!F14,'Govt supply'!N14)</f>
        <v>80.634982760647333</v>
      </c>
      <c r="T16" s="18">
        <f>IF($B$5="Status quo",'Govt supply'!G14,'Govt supply'!O14)</f>
        <v>232.49753362653311</v>
      </c>
      <c r="U16" s="20">
        <f>IF($B$5="Status quo",'Govt supply'!C14,'Govt supply'!K14)*1000</f>
        <v>800</v>
      </c>
      <c r="V16" s="18">
        <f>IF($B$5="Status quo",'Govt supply'!H14,'Govt supply'!P14)</f>
        <v>290.28593793833045</v>
      </c>
      <c r="W16" s="20">
        <f>IF($B$5="Status quo",'Govt supply'!D14,'Govt supply'!L14)*1000</f>
        <v>1899.9999999999998</v>
      </c>
      <c r="X16" s="18">
        <f ca="1">OFFSET(Prices!$B18,0,$C$4+1)</f>
        <v>76.687828399738422</v>
      </c>
      <c r="Y16" s="20">
        <f t="shared" ca="1" si="15"/>
        <v>0</v>
      </c>
      <c r="Z16" s="18">
        <f ca="1">IF(Y16=1,OFFSET(X16,MATCH(0,$Y16:$Y$33,0)-1,0)/((1+$B$27)^(MATCH(0,$Y16:$Y$33,0)-1)),X16)</f>
        <v>76.687828399738422</v>
      </c>
      <c r="AA16" s="18"/>
      <c r="AB16" s="20">
        <f ca="1">OFFSET('Industrial Allocation'!$C$62,0,ROW()-ROW($AB$6))</f>
        <v>3655.9562841258321</v>
      </c>
      <c r="AC16" s="20">
        <f ca="1">IF(X16&lt;S16,0,IF($B$5="Status quo",'Govt supply'!E14,'Govt supply'!M14)*1000)</f>
        <v>0</v>
      </c>
      <c r="AD16" s="20">
        <f t="shared" ca="1" si="20"/>
        <v>0</v>
      </c>
      <c r="AE16" s="32">
        <f t="shared" ca="1" si="0"/>
        <v>3655.9562841258321</v>
      </c>
      <c r="AF16" s="20">
        <f t="shared" ca="1" si="5"/>
        <v>25416.877636776262</v>
      </c>
      <c r="AG16" s="18">
        <f ca="1">(X16+IF($B$41&gt;0,NPV($B$40,X17:OFFSET(X16,$B$41,0)),0))/(1+PV($B$40,($B$41),-1))</f>
        <v>66.636057774066842</v>
      </c>
      <c r="AH16" s="13">
        <v>1</v>
      </c>
      <c r="AI16" s="20">
        <f t="shared" ca="1" si="21"/>
        <v>27112.335138373543</v>
      </c>
      <c r="AJ16" s="20">
        <f ca="1">INDEX(Removals!$G$3:$G$33,MATCH($K16,Removals!$A$3:$A$33,0))*1000</f>
        <v>16579.736936540397</v>
      </c>
      <c r="AK16" s="20">
        <f ca="1">INDEX(Removals!$G$3:$G$33,MATCH($K16,Removals!$A$3:$A$33,0))*1000</f>
        <v>16579.736936540397</v>
      </c>
      <c r="AL16" s="20">
        <f t="shared" ca="1" si="22"/>
        <v>16579.736936540397</v>
      </c>
      <c r="AM16" s="20">
        <f t="shared" ca="1" si="6"/>
        <v>10532.598201833145</v>
      </c>
      <c r="AN16" s="20">
        <v>0</v>
      </c>
      <c r="AO16" s="32">
        <f t="shared" ca="1" si="29"/>
        <v>0</v>
      </c>
      <c r="AP16" s="18">
        <f ca="1">(X16+IF($B$39&gt;0,NPV($B$38,X17:OFFSET(X16,$B$39,0)),0))/(1+PV($B$38,($B$39),-1))/Model!$B$47</f>
        <v>57.929977598246424</v>
      </c>
      <c r="AQ16" s="20">
        <f t="shared" ca="1" si="30"/>
        <v>3334.4150192035704</v>
      </c>
      <c r="AR16" s="20">
        <f t="shared" ca="1" si="31"/>
        <v>1960.4987825285514</v>
      </c>
      <c r="AS16" s="32">
        <f ca="1">IF($C$4&lt;&gt;11,IF($B$10="ENZ",AR16,AQ16),Prices!BN18-OFFSET(Prices!$BB18,0,$C$4))</f>
        <v>1960.4987825285514</v>
      </c>
      <c r="AT16" s="32">
        <f t="shared" ca="1" si="16"/>
        <v>20235.693220666231</v>
      </c>
      <c r="AU16" s="32">
        <f t="shared" ca="1" si="23"/>
        <v>27112.335138373543</v>
      </c>
      <c r="AV16" s="32"/>
      <c r="AW16" s="32">
        <f t="shared" ca="1" si="17"/>
        <v>0</v>
      </c>
      <c r="AX16" s="32">
        <f t="shared" ca="1" si="25"/>
        <v>-6876.6419177073112</v>
      </c>
      <c r="AY16" s="32">
        <f t="shared" ca="1" si="26"/>
        <v>0</v>
      </c>
      <c r="AZ16" s="32">
        <f t="shared" ca="1" si="27"/>
        <v>0</v>
      </c>
      <c r="BA16" s="32">
        <f t="shared" ca="1" si="28"/>
        <v>6876.6419177073112</v>
      </c>
      <c r="BB16" s="32">
        <f t="shared" ca="1" si="24"/>
        <v>6876.6419177073112</v>
      </c>
      <c r="BC16" s="32">
        <f ca="1">MAX(0,MIN(BB16+AO16,$BF$5+SUM(BA$5:BA15)-(SUM(BC$6:BC15))))</f>
        <v>4241.7638279454259</v>
      </c>
      <c r="BD16" s="32">
        <f t="shared" ca="1" si="8"/>
        <v>0</v>
      </c>
      <c r="BE16" s="32">
        <f t="shared" ca="1" si="9"/>
        <v>0</v>
      </c>
      <c r="BF16" s="32">
        <f t="shared" ca="1" si="32"/>
        <v>0</v>
      </c>
      <c r="BG16" s="32">
        <f ca="1">MAX(0,BG15+(Removals!D16+Removals!H16)*1000-BA16)+AW16</f>
        <v>70212.430235663618</v>
      </c>
      <c r="BH16" s="32">
        <f t="shared" ca="1" si="10"/>
        <v>70212.430235663618</v>
      </c>
      <c r="BI16" s="32">
        <f t="shared" ca="1" si="2"/>
        <v>25738.418901698522</v>
      </c>
      <c r="BJ16" s="32">
        <f t="shared" ca="1" si="3"/>
        <v>27112.335138373543</v>
      </c>
      <c r="BK16" s="32">
        <f t="shared" ca="1" si="11"/>
        <v>0</v>
      </c>
      <c r="BL16" s="32">
        <f t="shared" ca="1" si="12"/>
        <v>70.212430235663618</v>
      </c>
      <c r="BM16" s="186">
        <f t="shared" ca="1" si="13"/>
        <v>0.81933130512217422</v>
      </c>
      <c r="BN16" s="193">
        <f t="shared" ca="1" si="18"/>
        <v>2.5896858340426827</v>
      </c>
      <c r="BO16">
        <v>2033</v>
      </c>
      <c r="BP16" s="89">
        <f t="shared" ca="1" si="33"/>
        <v>2.5896858340426827</v>
      </c>
      <c r="BQ16">
        <v>2033</v>
      </c>
      <c r="BR16" s="20">
        <f t="shared" ca="1" si="19"/>
        <v>50762.620140520208</v>
      </c>
      <c r="BS16" s="20"/>
      <c r="BT16" s="20"/>
      <c r="BU16" s="20"/>
      <c r="BV16" s="13">
        <v>1.017575852987002</v>
      </c>
      <c r="BW16" s="20">
        <f t="shared" ca="1" si="34"/>
        <v>16293.36711152498</v>
      </c>
      <c r="BX16" s="20"/>
    </row>
    <row r="17" spans="1:76" x14ac:dyDescent="0.25">
      <c r="A17" s="242" t="s">
        <v>152</v>
      </c>
      <c r="B17" s="30" t="s">
        <v>17</v>
      </c>
      <c r="C17">
        <f>HLOOKUP(B17,D29:H30,2,FALSE)</f>
        <v>1</v>
      </c>
      <c r="K17" s="19">
        <v>2034</v>
      </c>
      <c r="L17" s="127">
        <v>28645.733094164243</v>
      </c>
      <c r="M17" s="127">
        <f>IF($B$3="CPR/Demo average",AVERAGE(L17,Prices!BN19),IF($B$3="CPR zero price",L17,Prices!BN19))</f>
        <v>28645.733094164243</v>
      </c>
      <c r="N17" s="20">
        <v>0</v>
      </c>
      <c r="O17" s="20">
        <v>36065.504019836502</v>
      </c>
      <c r="P17" s="89">
        <v>2883.4114353874816</v>
      </c>
      <c r="Q17" s="20">
        <f t="shared" si="4"/>
        <v>28645.733094164243</v>
      </c>
      <c r="R17" s="20">
        <f>Prices!$BC19</f>
        <v>34459.432712152338</v>
      </c>
      <c r="S17" s="18">
        <f>IF($B$5="Status quo",'Govt supply'!F15,'Govt supply'!N15)</f>
        <v>83.05403224346675</v>
      </c>
      <c r="T17" s="18">
        <f>IF($B$5="Status quo",'Govt supply'!G15,'Govt supply'!O15)</f>
        <v>239.4724596353291</v>
      </c>
      <c r="U17" s="20">
        <f>IF($B$5="Status quo",'Govt supply'!C15,'Govt supply'!K15)*1000</f>
        <v>600.00000000000011</v>
      </c>
      <c r="V17" s="18">
        <f>IF($B$5="Status quo",'Govt supply'!H15,'Govt supply'!P15)</f>
        <v>298.99451607648035</v>
      </c>
      <c r="W17" s="20">
        <f>IF($B$5="Status quo",'Govt supply'!D15,'Govt supply'!L15)*1000</f>
        <v>1699.9999999999998</v>
      </c>
      <c r="X17" s="18">
        <f ca="1">OFFSET(Prices!$B19,0,$C$4+1)</f>
        <v>74.808976603944828</v>
      </c>
      <c r="Y17" s="20">
        <f t="shared" ca="1" si="15"/>
        <v>0</v>
      </c>
      <c r="Z17" s="18">
        <f ca="1">IF(Y17=1,OFFSET(X17,MATCH(0,$Y17:$Y$33,0)-1,0)/((1+$B$27)^(MATCH(0,$Y17:$Y$33,0)-1)),X17)</f>
        <v>74.808976603944828</v>
      </c>
      <c r="AA17" s="18"/>
      <c r="AB17" s="20">
        <f ca="1">OFFSET('Industrial Allocation'!$C$62,0,ROW()-ROW($AB$6))</f>
        <v>3545.4140801451908</v>
      </c>
      <c r="AC17" s="20">
        <f ca="1">IF(X17&lt;S17,0,IF($B$5="Status quo",'Govt supply'!E15,'Govt supply'!M15)*1000)</f>
        <v>0</v>
      </c>
      <c r="AD17" s="20">
        <f t="shared" ca="1" si="20"/>
        <v>0</v>
      </c>
      <c r="AE17" s="32">
        <f t="shared" ca="1" si="0"/>
        <v>3545.4140801451908</v>
      </c>
      <c r="AF17" s="20">
        <f t="shared" ca="1" si="5"/>
        <v>25100.319014019053</v>
      </c>
      <c r="AG17" s="18">
        <f ca="1">(X17+IF($B$41&gt;0,NPV($B$40,X18:OFFSET(X17,$B$41,0)),0))/(1+PV($B$40,($B$41),-1))</f>
        <v>65.00347435860219</v>
      </c>
      <c r="AH17" s="13">
        <v>1</v>
      </c>
      <c r="AI17" s="20">
        <f t="shared" ca="1" si="21"/>
        <v>26705.92705709059</v>
      </c>
      <c r="AJ17" s="20">
        <f ca="1">INDEX(Removals!$G$3:$G$33,MATCH($K17,Removals!$A$3:$A$33,0))*1000</f>
        <v>17364.98017290781</v>
      </c>
      <c r="AK17" s="20">
        <f ca="1">INDEX(Removals!$G$3:$G$33,MATCH($K17,Removals!$A$3:$A$33,0))*1000</f>
        <v>17364.98017290781</v>
      </c>
      <c r="AL17" s="20">
        <f t="shared" ca="1" si="22"/>
        <v>17364.98017290781</v>
      </c>
      <c r="AM17" s="20">
        <f t="shared" ca="1" si="6"/>
        <v>9340.9468841827802</v>
      </c>
      <c r="AN17" s="20">
        <v>0</v>
      </c>
      <c r="AO17" s="32">
        <f t="shared" ca="1" si="29"/>
        <v>0</v>
      </c>
      <c r="AP17" s="18">
        <f ca="1">(X17+IF($B$39&gt;0,NPV($B$38,X18:OFFSET(X17,$B$39,0)),0))/(1+PV($B$38,($B$39),-1))/Model!$B$47</f>
        <v>56.510693147089377</v>
      </c>
      <c r="AQ17" s="20">
        <f t="shared" ca="1" si="30"/>
        <v>3476.7341820094462</v>
      </c>
      <c r="AR17" s="20">
        <f t="shared" ca="1" si="31"/>
        <v>1939.8060370736525</v>
      </c>
      <c r="AS17" s="32">
        <f ca="1">IF($C$4&lt;&gt;11,IF($B$10="ENZ",AR17,AQ17),Prices!BN19-OFFSET(Prices!$BB19,0,$C$4))</f>
        <v>1939.8060370736525</v>
      </c>
      <c r="AT17" s="32">
        <f t="shared" ca="1" si="16"/>
        <v>20910.394253053</v>
      </c>
      <c r="AU17" s="32">
        <f t="shared" ca="1" si="23"/>
        <v>26705.92705709059</v>
      </c>
      <c r="AV17" s="32"/>
      <c r="AW17" s="32">
        <f t="shared" ca="1" si="17"/>
        <v>0</v>
      </c>
      <c r="AX17" s="32">
        <f t="shared" ca="1" si="25"/>
        <v>-5795.5328040375898</v>
      </c>
      <c r="AY17" s="32">
        <f t="shared" ca="1" si="26"/>
        <v>0</v>
      </c>
      <c r="AZ17" s="32">
        <f t="shared" ca="1" si="27"/>
        <v>0</v>
      </c>
      <c r="BA17" s="32">
        <f t="shared" ca="1" si="28"/>
        <v>5795.5328040375898</v>
      </c>
      <c r="BB17" s="32">
        <f t="shared" ca="1" si="24"/>
        <v>5795.5328040375898</v>
      </c>
      <c r="BC17" s="32">
        <f ca="1">MAX(0,MIN(BB17+AO17,$BF$5+SUM(BA$5:BA16)-(SUM(BC$6:BC16))))</f>
        <v>5795.5328040375898</v>
      </c>
      <c r="BD17" s="32">
        <f t="shared" ca="1" si="8"/>
        <v>0</v>
      </c>
      <c r="BE17" s="32">
        <f t="shared" ca="1" si="9"/>
        <v>0</v>
      </c>
      <c r="BF17" s="32">
        <f t="shared" ca="1" si="32"/>
        <v>0</v>
      </c>
      <c r="BG17" s="32">
        <f ca="1">MAX(0,BG16+(Removals!D17+Removals!H17)*1000-BA17)+AW17</f>
        <v>70358.720514360844</v>
      </c>
      <c r="BH17" s="32">
        <f t="shared" ca="1" si="10"/>
        <v>70358.720514360844</v>
      </c>
      <c r="BI17" s="32">
        <f t="shared" ca="1" si="2"/>
        <v>25168.998912154799</v>
      </c>
      <c r="BJ17" s="32">
        <f t="shared" ca="1" si="3"/>
        <v>26705.92705709059</v>
      </c>
      <c r="BK17" s="32">
        <f t="shared" ca="1" si="11"/>
        <v>0</v>
      </c>
      <c r="BL17" s="32">
        <f t="shared" ca="1" si="12"/>
        <v>70.35872051436084</v>
      </c>
      <c r="BM17" s="186">
        <f t="shared" ca="1" si="13"/>
        <v>0.83044728677807944</v>
      </c>
      <c r="BN17" s="193">
        <f t="shared" ca="1" si="18"/>
        <v>2.6345732302777396</v>
      </c>
      <c r="BO17">
        <v>2034</v>
      </c>
      <c r="BP17" s="89">
        <f t="shared" ca="1" si="33"/>
        <v>2.6345732302777396</v>
      </c>
      <c r="BQ17">
        <v>2034</v>
      </c>
      <c r="BR17" s="20">
        <f t="shared" ca="1" si="19"/>
        <v>48764.672540268337</v>
      </c>
      <c r="BS17" s="20"/>
      <c r="BT17" s="20"/>
      <c r="BU17" s="20"/>
      <c r="BV17" s="13">
        <v>1.0281116295245931</v>
      </c>
      <c r="BW17" s="20">
        <f t="shared" ca="1" si="34"/>
        <v>16890.169972046238</v>
      </c>
      <c r="BX17" s="20"/>
    </row>
    <row r="18" spans="1:76" s="93" customFormat="1" x14ac:dyDescent="0.25">
      <c r="A18" s="242" t="s">
        <v>153</v>
      </c>
      <c r="B18" s="30">
        <v>100000</v>
      </c>
      <c r="C18" s="261">
        <v>1</v>
      </c>
      <c r="K18" s="261">
        <v>2035</v>
      </c>
      <c r="L18" s="262">
        <v>28366.519354143813</v>
      </c>
      <c r="M18" s="262">
        <f>IF($B$3="CPR/Demo average",AVERAGE(L18,Prices!BN20),IF($B$3="CPR zero price",L18,Prices!BN20))</f>
        <v>28366.519354143813</v>
      </c>
      <c r="N18" s="94">
        <v>0</v>
      </c>
      <c r="O18" s="94">
        <v>35350.645213871321</v>
      </c>
      <c r="P18" s="96">
        <v>2444.6319878133736</v>
      </c>
      <c r="Q18" s="94">
        <f>M18+N18</f>
        <v>28366.519354143813</v>
      </c>
      <c r="R18" s="94">
        <f>Prices!$BC20</f>
        <v>34096.244055878749</v>
      </c>
      <c r="S18" s="263">
        <f>IF($B$5="Status quo",'Govt supply'!F16,'Govt supply'!N16)</f>
        <v>85.545653210770752</v>
      </c>
      <c r="T18" s="263">
        <f>IF($B$5="Status quo",'Govt supply'!G16,'Govt supply'!O16)</f>
        <v>246.65663342438899</v>
      </c>
      <c r="U18" s="94">
        <f>IF($B$5="Status quo",'Govt supply'!C16,'Govt supply'!K16)*1000</f>
        <v>400.00000000000006</v>
      </c>
      <c r="V18" s="263">
        <f>IF($B$5="Status quo",'Govt supply'!H16,'Govt supply'!P16)</f>
        <v>307.96435155877475</v>
      </c>
      <c r="W18" s="94">
        <f>IF($B$5="Status quo",'Govt supply'!D16,'Govt supply'!L16)*1000</f>
        <v>1499.9999999999998</v>
      </c>
      <c r="X18" s="263">
        <f ca="1">OFFSET(Prices!$B20,0,$C$4+1)</f>
        <v>72.976156677148182</v>
      </c>
      <c r="Y18" s="94">
        <f t="shared" ca="1" si="15"/>
        <v>0</v>
      </c>
      <c r="Z18" s="263">
        <f ca="1">IF(Y18=1,OFFSET(X18,MATCH(0,$Y18:$Y$33,0)-1,0)/((1+$B$27)^(MATCH(0,$Y18:$Y$33,0)-1)),X18)</f>
        <v>72.976156677148182</v>
      </c>
      <c r="AA18" s="263"/>
      <c r="AB18" s="94">
        <f ca="1">OFFSET('Industrial Allocation'!$C$62,0,ROW()-ROW($AB$6))</f>
        <v>3434.8718761645496</v>
      </c>
      <c r="AC18" s="94">
        <f ca="1">IF(X18&lt;S18,0,IF($B$5="Status quo",'Govt supply'!E16,'Govt supply'!M16)*1000)</f>
        <v>0</v>
      </c>
      <c r="AD18" s="94">
        <f t="shared" ca="1" si="20"/>
        <v>0</v>
      </c>
      <c r="AE18" s="264">
        <f t="shared" ca="1" si="0"/>
        <v>3434.8718761645496</v>
      </c>
      <c r="AF18" s="94">
        <f t="shared" ca="1" si="5"/>
        <v>24931.647477979262</v>
      </c>
      <c r="AG18" s="263">
        <f ca="1">(X18+IF($B$41&gt;0,NPV($B$40,X19:OFFSET(X18,$B$41,0)),0))/(1+PV($B$40,($B$41),-1))</f>
        <v>63.410889236816452</v>
      </c>
      <c r="AH18" s="265">
        <v>1</v>
      </c>
      <c r="AI18" s="94">
        <f t="shared" ca="1" si="21"/>
        <v>26452.468012727139</v>
      </c>
      <c r="AJ18" s="94">
        <f ca="1">INDEX(Removals!$G$3:$G$33,MATCH($K18,Removals!$A$3:$A$33,0))*1000</f>
        <v>17764.058933452201</v>
      </c>
      <c r="AK18" s="94">
        <f ca="1">INDEX(Removals!$G$3:$G$33,MATCH($K18,Removals!$A$3:$A$33,0))*1000</f>
        <v>17764.058933452201</v>
      </c>
      <c r="AL18" s="94">
        <f t="shared" ca="1" si="22"/>
        <v>17764.058933452201</v>
      </c>
      <c r="AM18" s="94">
        <f t="shared" ca="1" si="6"/>
        <v>8688.4090792749375</v>
      </c>
      <c r="AN18" s="94">
        <v>0</v>
      </c>
      <c r="AO18" s="264">
        <f t="shared" ca="1" si="29"/>
        <v>0</v>
      </c>
      <c r="AP18" s="263">
        <f ca="1">(X18+IF($B$39&gt;0,NPV($B$38,X19:OFFSET(X18,$B$39,0)),0))/(1+PV($B$38,($B$39),-1))/Model!$B$47</f>
        <v>55.126181164985702</v>
      </c>
      <c r="AQ18" s="94">
        <f t="shared" ca="1" si="30"/>
        <v>3600.1602682484863</v>
      </c>
      <c r="AR18" s="94">
        <f t="shared" ca="1" si="31"/>
        <v>1914.0513414166758</v>
      </c>
      <c r="AS18" s="264">
        <f ca="1">IF($C$4&lt;&gt;11,IF($B$10="ENZ",AR18,AQ18),Prices!BN20-OFFSET(Prices!$BB20,0,$C$4))</f>
        <v>1914.0513414166758</v>
      </c>
      <c r="AT18" s="264">
        <f t="shared" ca="1" si="16"/>
        <v>21198.930809616752</v>
      </c>
      <c r="AU18" s="264">
        <f ca="1">Q18-AS18</f>
        <v>26452.468012727139</v>
      </c>
      <c r="AV18" s="264"/>
      <c r="AW18" s="264">
        <f t="shared" ca="1" si="17"/>
        <v>0</v>
      </c>
      <c r="AX18" s="264">
        <f t="shared" ca="1" si="25"/>
        <v>-5253.5372031103871</v>
      </c>
      <c r="AY18" s="264">
        <f t="shared" ca="1" si="26"/>
        <v>0</v>
      </c>
      <c r="AZ18" s="264">
        <f t="shared" ca="1" si="27"/>
        <v>0</v>
      </c>
      <c r="BA18" s="264">
        <f ca="1">IF(-AX18&gt;BF17-AO18,MIN(-(AY18+AX18),BG17*$B$13),0)</f>
        <v>5253.5372031103871</v>
      </c>
      <c r="BB18" s="264">
        <f t="shared" ca="1" si="24"/>
        <v>5253.5372031103871</v>
      </c>
      <c r="BC18" s="264">
        <f ca="1">MAX(0,MIN(BB18+AO18,$BF$5+SUM(BA$5:BA17)-(SUM(BC$6:BC17))))</f>
        <v>5253.5372031103871</v>
      </c>
      <c r="BD18" s="264">
        <f t="shared" ca="1" si="8"/>
        <v>0</v>
      </c>
      <c r="BE18" s="264">
        <f t="shared" ca="1" si="9"/>
        <v>0</v>
      </c>
      <c r="BF18" s="264">
        <f t="shared" ca="1" si="32"/>
        <v>0</v>
      </c>
      <c r="BG18" s="264">
        <f ca="1">MAX(0,BG17+(Removals!D18+Removals!H18)*1000-BA18)+AW18</f>
        <v>71645.022765327449</v>
      </c>
      <c r="BH18" s="264">
        <f t="shared" ca="1" si="10"/>
        <v>71645.022765327449</v>
      </c>
      <c r="BI18" s="264">
        <f t="shared" ca="1" si="2"/>
        <v>24766.359085895325</v>
      </c>
      <c r="BJ18" s="264">
        <f t="shared" ca="1" si="3"/>
        <v>26452.468012727139</v>
      </c>
      <c r="BK18" s="264">
        <f t="shared" ca="1" si="11"/>
        <v>0</v>
      </c>
      <c r="BL18" s="264">
        <f t="shared" ca="1" si="12"/>
        <v>71.645022765327454</v>
      </c>
      <c r="BM18" s="266">
        <f t="shared" ca="1" si="13"/>
        <v>0.8379695699272558</v>
      </c>
      <c r="BN18" s="267">
        <f ca="1">BH18/AU18</f>
        <v>2.7084437917421056</v>
      </c>
      <c r="BO18" s="93">
        <v>2035</v>
      </c>
      <c r="BP18" s="96">
        <f t="shared" ca="1" si="33"/>
        <v>2.7084437917421056</v>
      </c>
      <c r="BQ18" s="93">
        <v>2035</v>
      </c>
      <c r="BR18" s="94">
        <f t="shared" ca="1" si="19"/>
        <v>46820.280142565403</v>
      </c>
      <c r="BS18" s="94">
        <f t="shared" ref="BS18" ca="1" si="35">SUM(BR14:BR18)</f>
        <v>252962.23622005427</v>
      </c>
      <c r="BT18" s="94">
        <v>240000</v>
      </c>
      <c r="BU18" s="94"/>
      <c r="BV18" s="265">
        <v>1.019313988593185</v>
      </c>
      <c r="BW18" s="94">
        <f t="shared" ca="1" si="34"/>
        <v>17427.465071846429</v>
      </c>
      <c r="BX18" s="94">
        <f t="shared" ref="BX18" ca="1" si="36">SUM(BW14:BW18)</f>
        <v>81950.711169583519</v>
      </c>
    </row>
    <row r="19" spans="1:76" x14ac:dyDescent="0.25">
      <c r="A19" s="287" t="s">
        <v>154</v>
      </c>
      <c r="B19" s="288">
        <v>-4.9000000000000002E-2</v>
      </c>
      <c r="C19" s="289">
        <f>ABS(B19)</f>
        <v>4.9000000000000002E-2</v>
      </c>
      <c r="K19" s="19">
        <v>2036</v>
      </c>
      <c r="L19" s="127">
        <v>27861.411813054488</v>
      </c>
      <c r="M19" s="127">
        <f>IF($B$3="CPR/Demo average",AVERAGE(L19,Prices!BN21),IF($B$3="CPR zero price",L19,Prices!BN21))</f>
        <v>27861.411813054488</v>
      </c>
      <c r="N19" s="20">
        <v>0</v>
      </c>
      <c r="O19" s="20">
        <v>35004.384498528088</v>
      </c>
      <c r="P19" s="89">
        <v>2026.809633538619</v>
      </c>
      <c r="Q19" s="20">
        <f t="shared" si="4"/>
        <v>27861.411813054488</v>
      </c>
      <c r="R19" s="20">
        <f>Prices!$BC21</f>
        <v>33644.49720272635</v>
      </c>
      <c r="S19" s="18">
        <f>IF($B$5="Status quo",'Govt supply'!F17,'Govt supply'!N17)</f>
        <v>88.112022807093879</v>
      </c>
      <c r="T19" s="18">
        <f>IF($B$5="Status quo",'Govt supply'!G17,'Govt supply'!O17)</f>
        <v>254.05633242712065</v>
      </c>
      <c r="U19" s="20">
        <f>IF($B$5="Status quo",'Govt supply'!C17,'Govt supply'!K17)*1000</f>
        <v>200</v>
      </c>
      <c r="V19" s="18">
        <f>IF($B$5="Status quo",'Govt supply'!H17,'Govt supply'!P17)</f>
        <v>317.20328210553799</v>
      </c>
      <c r="W19" s="20">
        <f>IF($B$5="Status quo",'Govt supply'!D17,'Govt supply'!L17)*1000</f>
        <v>1299.9999999999998</v>
      </c>
      <c r="X19" s="18">
        <f ca="1">OFFSET(Prices!$B21,0,$C$4+1)</f>
        <v>71.188240838558059</v>
      </c>
      <c r="Y19" s="20">
        <f t="shared" ca="1" si="15"/>
        <v>0</v>
      </c>
      <c r="Z19" s="18">
        <f ca="1">IF(Y19=1,OFFSET(X19,MATCH(0,$Y19:$Y$33,0)-1,0)/((1+$B$27)^(MATCH(0,$Y19:$Y$33,0)-1)),X19)</f>
        <v>71.188240838558059</v>
      </c>
      <c r="AA19" s="18"/>
      <c r="AB19" s="20">
        <f ca="1">OFFSET('Industrial Allocation'!$C$62,0,ROW()-ROW($AB$6))</f>
        <v>3324.3296721839083</v>
      </c>
      <c r="AC19" s="20">
        <f ca="1">IF(X19&lt;S19,0,IF($B$5="Status quo",'Govt supply'!E17,'Govt supply'!M17)*1000)</f>
        <v>0</v>
      </c>
      <c r="AD19" s="20">
        <f t="shared" ca="1" si="20"/>
        <v>0</v>
      </c>
      <c r="AE19" s="32">
        <f t="shared" ca="1" si="0"/>
        <v>3324.3296721839083</v>
      </c>
      <c r="AF19" s="20">
        <f t="shared" ca="1" si="5"/>
        <v>24537.082140870581</v>
      </c>
      <c r="AG19" s="18">
        <f ca="1">(X19+IF($B$41&gt;0,NPV($B$40,X20:OFFSET(X19,$B$41,0)),0))/(1+PV($B$40,($B$41),-1))</f>
        <v>61.887986064066261</v>
      </c>
      <c r="AH19" s="13">
        <v>1</v>
      </c>
      <c r="AI19" s="20">
        <f t="shared" ca="1" si="21"/>
        <v>25975.939974035929</v>
      </c>
      <c r="AJ19" s="20">
        <f ca="1">INDEX(Removals!$G$3:$G$33,MATCH($K19,Removals!$A$3:$A$33,0))*1000</f>
        <v>17947.466854155577</v>
      </c>
      <c r="AK19" s="20">
        <f ca="1">INDEX(Removals!$G$3:$G$33,MATCH($K19,Removals!$A$3:$A$33,0))*1000</f>
        <v>17947.466854155577</v>
      </c>
      <c r="AL19" s="20">
        <f t="shared" ca="1" si="22"/>
        <v>17947.466854155577</v>
      </c>
      <c r="AM19" s="20">
        <f t="shared" ca="1" si="6"/>
        <v>8028.4731198803529</v>
      </c>
      <c r="AN19" s="20">
        <v>0</v>
      </c>
      <c r="AO19" s="32">
        <f t="shared" ca="1" si="29"/>
        <v>0</v>
      </c>
      <c r="AP19" s="18">
        <f ca="1">(X19+IF($B$39&gt;0,NPV($B$38,X20:OFFSET(X19,$B$39,0)),0))/(1+PV($B$38,($B$39),-1))/Model!$B$47</f>
        <v>53.775589726443556</v>
      </c>
      <c r="AQ19" s="20">
        <f t="shared" ca="1" si="30"/>
        <v>3707.0434920361104</v>
      </c>
      <c r="AR19" s="20">
        <f t="shared" ca="1" si="31"/>
        <v>1885.4718390185606</v>
      </c>
      <c r="AS19" s="32">
        <f ca="1">IF($C$4&lt;&gt;11,IF($B$10="ENZ",AR19,AQ19),Prices!BN21-OFFSET(Prices!$BB21,0,$C$4))</f>
        <v>1885.4718390185606</v>
      </c>
      <c r="AT19" s="32">
        <f t="shared" ca="1" si="16"/>
        <v>21271.796526339484</v>
      </c>
      <c r="AU19" s="32">
        <f t="shared" ca="1" si="23"/>
        <v>25975.939974035929</v>
      </c>
      <c r="AV19" s="32"/>
      <c r="AW19" s="32">
        <f t="shared" ca="1" si="17"/>
        <v>0</v>
      </c>
      <c r="AX19" s="32">
        <f t="shared" ca="1" si="25"/>
        <v>-4704.1434476964459</v>
      </c>
      <c r="AY19" s="32">
        <f t="shared" ca="1" si="26"/>
        <v>0</v>
      </c>
      <c r="AZ19" s="32">
        <f t="shared" ca="1" si="27"/>
        <v>0</v>
      </c>
      <c r="BA19" s="32">
        <f t="shared" ca="1" si="28"/>
        <v>4704.1434476964459</v>
      </c>
      <c r="BB19" s="32">
        <f t="shared" ca="1" si="24"/>
        <v>4704.1434476964459</v>
      </c>
      <c r="BC19" s="32">
        <f ca="1">MAX(0,MIN(BB19+AO19,$BF$5+SUM(BA$5:BA18)-(SUM(BC$6:BC18))))</f>
        <v>4704.1434476964459</v>
      </c>
      <c r="BD19" s="32">
        <f t="shared" ca="1" si="8"/>
        <v>0</v>
      </c>
      <c r="BE19" s="32">
        <f t="shared" ca="1" si="9"/>
        <v>0</v>
      </c>
      <c r="BF19" s="32">
        <f t="shared" ca="1" si="32"/>
        <v>0</v>
      </c>
      <c r="BG19" s="32">
        <f ca="1">MAX(0,BG18+(Removals!D19+Removals!H19)*1000-BA19)+AW19</f>
        <v>73196.604678079515</v>
      </c>
      <c r="BH19" s="32">
        <f t="shared" ca="1" si="10"/>
        <v>73196.604678079515</v>
      </c>
      <c r="BI19" s="32">
        <f t="shared" ca="1" si="2"/>
        <v>24154.368321018377</v>
      </c>
      <c r="BJ19" s="32">
        <f t="shared" ca="1" si="3"/>
        <v>25975.939974035929</v>
      </c>
      <c r="BK19" s="32">
        <f t="shared" ca="1" si="11"/>
        <v>0</v>
      </c>
      <c r="BL19" s="32">
        <f t="shared" ca="1" si="12"/>
        <v>73.19660467807951</v>
      </c>
      <c r="BM19" s="186">
        <f t="shared" ca="1" si="13"/>
        <v>0.84372125466377013</v>
      </c>
      <c r="BN19" s="193">
        <f t="shared" ca="1" si="18"/>
        <v>2.817861634698982</v>
      </c>
      <c r="BO19">
        <v>2036</v>
      </c>
      <c r="BP19" s="89">
        <f t="shared" ca="1" si="33"/>
        <v>2.817861634698982</v>
      </c>
      <c r="BQ19">
        <v>2036</v>
      </c>
      <c r="BR19" s="20">
        <f t="shared" ca="1" si="19"/>
        <v>44916.448767085953</v>
      </c>
      <c r="BS19" s="20"/>
      <c r="BT19" s="20"/>
      <c r="BU19" s="20"/>
      <c r="BV19" s="13">
        <v>0.99208330241905052</v>
      </c>
      <c r="BW19" s="20">
        <f t="shared" ca="1" si="34"/>
        <v>18090.685339016687</v>
      </c>
      <c r="BX19" s="20"/>
    </row>
    <row r="20" spans="1:76" x14ac:dyDescent="0.25">
      <c r="A20" s="138" t="s">
        <v>155</v>
      </c>
      <c r="B20" s="139">
        <v>84.15</v>
      </c>
      <c r="K20" s="19">
        <v>2037</v>
      </c>
      <c r="L20" s="127">
        <v>27725.816742737734</v>
      </c>
      <c r="M20" s="127">
        <f>IF($B$3="CPR/Demo average",AVERAGE(L20,Prices!BN22),IF($B$3="CPR zero price",L20,Prices!BN22))</f>
        <v>27725.816742737734</v>
      </c>
      <c r="N20" s="20">
        <v>0</v>
      </c>
      <c r="O20" s="20">
        <v>34531.758796685281</v>
      </c>
      <c r="P20" s="89">
        <v>1237.4715968524415</v>
      </c>
      <c r="Q20" s="20">
        <f t="shared" si="4"/>
        <v>27725.816742737734</v>
      </c>
      <c r="R20" s="20">
        <f>Prices!$BC22</f>
        <v>33230.180251030353</v>
      </c>
      <c r="S20" s="18">
        <f>IF($B$5="Status quo",'Govt supply'!F18,'Govt supply'!N18)</f>
        <v>90.755383491306702</v>
      </c>
      <c r="T20" s="18">
        <f>IF($B$5="Status quo",'Govt supply'!G18,'Govt supply'!O18)</f>
        <v>261.67802239993426</v>
      </c>
      <c r="U20" s="20">
        <f>IF($B$5="Status quo",'Govt supply'!C18,'Govt supply'!K18)*1000</f>
        <v>0</v>
      </c>
      <c r="V20" s="18">
        <f>IF($B$5="Status quo",'Govt supply'!H18,'Govt supply'!P18)</f>
        <v>326.71938056870414</v>
      </c>
      <c r="W20" s="20">
        <f>IF($B$5="Status quo",'Govt supply'!D18,'Govt supply'!L18)*1000</f>
        <v>1099.9999999999998</v>
      </c>
      <c r="X20" s="18">
        <f ca="1">OFFSET(Prices!$B22,0,$C$4+1)</f>
        <v>69.444128938013392</v>
      </c>
      <c r="Y20" s="20">
        <f t="shared" ca="1" si="15"/>
        <v>0</v>
      </c>
      <c r="Z20" s="18">
        <f ca="1">IF(Y20=1,OFFSET(X20,MATCH(0,$Y20:$Y$33,0)-1,0)/((1+$B$27)^(MATCH(0,$Y20:$Y$33,0)-1)),X20)</f>
        <v>69.444128938013392</v>
      </c>
      <c r="AA20" s="18"/>
      <c r="AB20" s="20">
        <f ca="1">OFFSET('Industrial Allocation'!$C$62,0,ROW()-ROW($AB$6))</f>
        <v>3213.7874682032671</v>
      </c>
      <c r="AC20" s="20">
        <f ca="1">IF(X20&lt;S20,0,IF($B$5="Status quo",'Govt supply'!E18,'Govt supply'!M18)*1000)</f>
        <v>0</v>
      </c>
      <c r="AD20" s="20">
        <f t="shared" ca="1" si="20"/>
        <v>0</v>
      </c>
      <c r="AE20" s="32">
        <f t="shared" ca="1" si="0"/>
        <v>3213.7874682032671</v>
      </c>
      <c r="AF20" s="20">
        <f t="shared" ca="1" si="5"/>
        <v>24512.029274534467</v>
      </c>
      <c r="AG20" s="18">
        <f ca="1">(X20+IF($B$41&gt;0,NPV($B$40,X21:OFFSET(X20,$B$41,0)),0))/(1+PV($B$40,($B$41),-1))</f>
        <v>60.445243776318172</v>
      </c>
      <c r="AH20" s="13">
        <v>1</v>
      </c>
      <c r="AI20" s="20">
        <f t="shared" ca="1" si="21"/>
        <v>25870.395304446076</v>
      </c>
      <c r="AJ20" s="20">
        <f ca="1">INDEX(Removals!$G$3:$G$33,MATCH($K20,Removals!$A$3:$A$33,0))*1000</f>
        <v>18192.567325487646</v>
      </c>
      <c r="AK20" s="20">
        <f ca="1">INDEX(Removals!$G$3:$G$33,MATCH($K20,Removals!$A$3:$A$33,0))*1000</f>
        <v>18192.567325487646</v>
      </c>
      <c r="AL20" s="20">
        <f t="shared" ca="1" si="22"/>
        <v>18192.567325487646</v>
      </c>
      <c r="AM20" s="20">
        <f t="shared" ca="1" si="6"/>
        <v>7677.8279789584303</v>
      </c>
      <c r="AN20" s="20">
        <v>0</v>
      </c>
      <c r="AO20" s="32">
        <f t="shared" ca="1" si="29"/>
        <v>0</v>
      </c>
      <c r="AP20" s="18">
        <f ca="1">(X20+IF($B$39&gt;0,NPV($B$38,X21:OFFSET(X20,$B$39,0)),0))/(1+PV($B$38,($B$39),-1))/Model!$B$47</f>
        <v>52.458087778145682</v>
      </c>
      <c r="AQ20" s="20">
        <f t="shared" ca="1" si="30"/>
        <v>3799.44528062071</v>
      </c>
      <c r="AR20" s="20">
        <f t="shared" ca="1" si="31"/>
        <v>1855.4214382916596</v>
      </c>
      <c r="AS20" s="32">
        <f ca="1">IF($C$4&lt;&gt;11,IF($B$10="ENZ",AR20,AQ20),Prices!BN22-OFFSET(Prices!$BB22,0,$C$4))</f>
        <v>1855.4214382916596</v>
      </c>
      <c r="AT20" s="32">
        <f t="shared" ca="1" si="16"/>
        <v>21406.354793690913</v>
      </c>
      <c r="AU20" s="32">
        <f t="shared" ca="1" si="23"/>
        <v>25870.395304446076</v>
      </c>
      <c r="AV20" s="32"/>
      <c r="AW20" s="32">
        <f t="shared" ca="1" si="17"/>
        <v>0</v>
      </c>
      <c r="AX20" s="32">
        <f t="shared" ca="1" si="25"/>
        <v>-4464.0405107551633</v>
      </c>
      <c r="AY20" s="32">
        <f t="shared" ca="1" si="26"/>
        <v>0</v>
      </c>
      <c r="AZ20" s="32">
        <f t="shared" ca="1" si="27"/>
        <v>0</v>
      </c>
      <c r="BA20" s="32">
        <f t="shared" ca="1" si="28"/>
        <v>4464.0405107551633</v>
      </c>
      <c r="BB20" s="32">
        <f t="shared" ca="1" si="24"/>
        <v>4464.0405107551633</v>
      </c>
      <c r="BC20" s="32">
        <f ca="1">MAX(0,MIN(BB20+AO20,$BF$5+SUM(BA$5:BA19)-(SUM(BC$6:BC19))))</f>
        <v>4464.0405107551633</v>
      </c>
      <c r="BD20" s="32">
        <f t="shared" ca="1" si="8"/>
        <v>0</v>
      </c>
      <c r="BE20" s="32">
        <f t="shared" ca="1" si="9"/>
        <v>0</v>
      </c>
      <c r="BF20" s="32">
        <f t="shared" ca="1" si="32"/>
        <v>0</v>
      </c>
      <c r="BG20" s="32">
        <f ca="1">MAX(0,BG19+(Removals!D20+Removals!H20)*1000-BA20)+AW20</f>
        <v>75210.373270677592</v>
      </c>
      <c r="BH20" s="32">
        <f t="shared" ca="1" si="10"/>
        <v>75210.373270677592</v>
      </c>
      <c r="BI20" s="32">
        <f t="shared" ca="1" si="2"/>
        <v>23926.371462117022</v>
      </c>
      <c r="BJ20" s="32">
        <f t="shared" ca="1" si="3"/>
        <v>25870.395304446076</v>
      </c>
      <c r="BK20" s="32">
        <f t="shared" ca="1" si="11"/>
        <v>0</v>
      </c>
      <c r="BL20" s="32">
        <f t="shared" ca="1" si="12"/>
        <v>75.210373270677593</v>
      </c>
      <c r="BM20" s="186">
        <f t="shared" ca="1" si="13"/>
        <v>0.84986759776818865</v>
      </c>
      <c r="BN20" s="193">
        <f t="shared" ca="1" si="18"/>
        <v>2.9071984554388299</v>
      </c>
      <c r="BO20">
        <v>2037</v>
      </c>
      <c r="BP20" s="89">
        <f t="shared" ca="1" si="33"/>
        <v>2.9071984554388299</v>
      </c>
      <c r="BQ20">
        <v>2037</v>
      </c>
      <c r="BR20" s="20">
        <f t="shared" ca="1" si="19"/>
        <v>41650.821180030776</v>
      </c>
      <c r="BS20" s="20"/>
      <c r="BT20" s="20"/>
      <c r="BU20" s="20"/>
      <c r="BV20" s="13">
        <v>0.91013783786558733</v>
      </c>
      <c r="BW20" s="20">
        <f t="shared" ca="1" si="34"/>
        <v>19988.80451795302</v>
      </c>
      <c r="BX20" s="20"/>
    </row>
    <row r="21" spans="1:76" x14ac:dyDescent="0.25">
      <c r="A21" s="138" t="s">
        <v>156</v>
      </c>
      <c r="B21" s="140">
        <f ca="1">SUM(BE6:BE33)</f>
        <v>0</v>
      </c>
      <c r="K21" s="19">
        <v>2038</v>
      </c>
      <c r="L21" s="127">
        <v>27358.180982271479</v>
      </c>
      <c r="M21" s="127">
        <f>IF($B$3="CPR/Demo average",AVERAGE(L21,Prices!BN23),IF($B$3="CPR zero price",L21,Prices!BN23))</f>
        <v>27358.180982271479</v>
      </c>
      <c r="N21" s="20">
        <v>0</v>
      </c>
      <c r="O21" s="20">
        <v>34206.722487846273</v>
      </c>
      <c r="P21" s="89">
        <v>873.02100156528604</v>
      </c>
      <c r="Q21" s="20">
        <f t="shared" si="4"/>
        <v>27358.180982271479</v>
      </c>
      <c r="R21" s="20">
        <f>Prices!$BC23</f>
        <v>32722.350324317027</v>
      </c>
      <c r="S21" s="18">
        <f>IF($B$5="Status quo",'Govt supply'!F19,'Govt supply'!N19)</f>
        <v>93.478044996045909</v>
      </c>
      <c r="T21" s="18">
        <f>IF($B$5="Status quo",'Govt supply'!G19,'Govt supply'!O19)</f>
        <v>269.52836307193229</v>
      </c>
      <c r="U21" s="20">
        <f>IF($B$5="Status quo",'Govt supply'!C19,'Govt supply'!K19)*1000</f>
        <v>0</v>
      </c>
      <c r="V21" s="18">
        <f>IF($B$5="Status quo",'Govt supply'!H19,'Govt supply'!P19)</f>
        <v>336.52096198576527</v>
      </c>
      <c r="W21" s="20">
        <f>IF($B$5="Status quo",'Govt supply'!D19,'Govt supply'!L19)*1000</f>
        <v>899.99999999999989</v>
      </c>
      <c r="X21" s="18">
        <f ca="1">OFFSET(Prices!$B23,0,$C$4+1)</f>
        <v>67.742747779032072</v>
      </c>
      <c r="Y21" s="20">
        <f t="shared" ca="1" si="15"/>
        <v>0</v>
      </c>
      <c r="Z21" s="18">
        <f ca="1">IF(Y21=1,OFFSET(X21,MATCH(0,$Y21:$Y$33,0)-1,0)/((1+$B$27)^(MATCH(0,$Y21:$Y$33,0)-1)),X21)</f>
        <v>67.742747779032072</v>
      </c>
      <c r="AA21" s="18"/>
      <c r="AB21" s="20">
        <f ca="1">OFFSET('Industrial Allocation'!$C$62,0,ROW()-ROW($AB$6))</f>
        <v>3103.2452642226249</v>
      </c>
      <c r="AC21" s="20">
        <f ca="1">IF(X21&lt;S21,0,IF($B$5="Status quo",'Govt supply'!E19,'Govt supply'!M19)*1000)</f>
        <v>0</v>
      </c>
      <c r="AD21" s="20">
        <f t="shared" ca="1" si="20"/>
        <v>0</v>
      </c>
      <c r="AE21" s="32">
        <f t="shared" ca="1" si="0"/>
        <v>3103.2452642226249</v>
      </c>
      <c r="AF21" s="20">
        <f t="shared" ca="1" si="5"/>
        <v>24254.935718048855</v>
      </c>
      <c r="AG21" s="18">
        <f ca="1">(X21+IF($B$41&gt;0,NPV($B$40,X22:OFFSET(X21,$B$41,0)),0))/(1+PV($B$40,($B$41),-1))</f>
        <v>59.084126412471193</v>
      </c>
      <c r="AH21" s="13">
        <v>1</v>
      </c>
      <c r="AI21" s="20">
        <f t="shared" ca="1" si="21"/>
        <v>25533.467572014226</v>
      </c>
      <c r="AJ21" s="20">
        <f ca="1">INDEX(Removals!$G$3:$G$33,MATCH($K21,Removals!$A$3:$A$33,0))*1000</f>
        <v>17122.154476992677</v>
      </c>
      <c r="AK21" s="20">
        <f ca="1">INDEX(Removals!$G$3:$G$33,MATCH($K21,Removals!$A$3:$A$33,0))*1000</f>
        <v>17122.154476992677</v>
      </c>
      <c r="AL21" s="20">
        <f t="shared" ca="1" si="22"/>
        <v>17122.154476992677</v>
      </c>
      <c r="AM21" s="20">
        <f t="shared" ca="1" si="6"/>
        <v>8411.3130950215491</v>
      </c>
      <c r="AN21" s="20">
        <v>0</v>
      </c>
      <c r="AO21" s="32">
        <f t="shared" ca="1" si="29"/>
        <v>0</v>
      </c>
      <c r="AP21" s="18">
        <f ca="1">(X21+IF($B$39&gt;0,NPV($B$38,X22:OFFSET(X21,$B$39,0)),0))/(1+PV($B$38,($B$39),-1))/Model!$B$47</f>
        <v>51.172864627581106</v>
      </c>
      <c r="AQ21" s="20">
        <f t="shared" ca="1" si="30"/>
        <v>3879.1736734821907</v>
      </c>
      <c r="AR21" s="20">
        <f t="shared" ca="1" si="31"/>
        <v>1824.7134102572531</v>
      </c>
      <c r="AS21" s="32">
        <f ca="1">IF($C$4&lt;&gt;11,IF($B$10="ENZ",AR21,AQ21),Prices!BN23-OFFSET(Prices!$BB23,0,$C$4))</f>
        <v>1824.7134102572531</v>
      </c>
      <c r="AT21" s="32">
        <f t="shared" ca="1" si="16"/>
        <v>20225.3997412153</v>
      </c>
      <c r="AU21" s="32">
        <f t="shared" ca="1" si="23"/>
        <v>25533.467572014226</v>
      </c>
      <c r="AV21" s="32"/>
      <c r="AW21" s="32">
        <f t="shared" ca="1" si="17"/>
        <v>0</v>
      </c>
      <c r="AX21" s="32">
        <f t="shared" ca="1" si="25"/>
        <v>-5308.0678307989256</v>
      </c>
      <c r="AY21" s="32">
        <f t="shared" ca="1" si="26"/>
        <v>0</v>
      </c>
      <c r="AZ21" s="32">
        <f t="shared" ca="1" si="27"/>
        <v>0</v>
      </c>
      <c r="BA21" s="32">
        <f t="shared" ca="1" si="28"/>
        <v>5308.0678307989256</v>
      </c>
      <c r="BB21" s="32">
        <f t="shared" ca="1" si="24"/>
        <v>5308.0678307989256</v>
      </c>
      <c r="BC21" s="32">
        <f ca="1">MAX(0,MIN(BB21+AO21,$BF$5+SUM(BA$5:BA20)-(SUM(BC$6:BC20))))</f>
        <v>5308.0678307989256</v>
      </c>
      <c r="BD21" s="32">
        <f t="shared" ca="1" si="8"/>
        <v>0</v>
      </c>
      <c r="BE21" s="32">
        <f t="shared" ca="1" si="9"/>
        <v>0</v>
      </c>
      <c r="BF21" s="32">
        <f t="shared" ca="1" si="32"/>
        <v>0</v>
      </c>
      <c r="BG21" s="32">
        <f ca="1">MAX(0,BG20+(Removals!D21+Removals!H21)*1000-BA21)+AW21</f>
        <v>75588.398412589886</v>
      </c>
      <c r="BH21" s="32">
        <f t="shared" ca="1" si="10"/>
        <v>75588.398412589886</v>
      </c>
      <c r="BI21" s="32">
        <f t="shared" ca="1" si="2"/>
        <v>23479.007308789289</v>
      </c>
      <c r="BJ21" s="32">
        <f t="shared" ca="1" si="3"/>
        <v>25533.467572014226</v>
      </c>
      <c r="BK21" s="32">
        <f t="shared" ca="1" si="11"/>
        <v>0</v>
      </c>
      <c r="BL21" s="32">
        <f t="shared" ca="1" si="12"/>
        <v>75.588398412589882</v>
      </c>
      <c r="BM21" s="186">
        <f t="shared" ca="1" si="13"/>
        <v>0.84656692555258461</v>
      </c>
      <c r="BN21" s="193">
        <f t="shared" ca="1" si="18"/>
        <v>2.9603655750791171</v>
      </c>
      <c r="BO21">
        <v>2038</v>
      </c>
      <c r="BP21" s="89">
        <f t="shared" ca="1" si="33"/>
        <v>2.9603655750791171</v>
      </c>
      <c r="BQ21">
        <v>2038</v>
      </c>
      <c r="BR21" s="20">
        <f t="shared" ca="1" si="19"/>
        <v>39657.503191411619</v>
      </c>
      <c r="BS21" s="20"/>
      <c r="BT21" s="20"/>
      <c r="BU21" s="20"/>
      <c r="BV21" s="13">
        <v>0.8170639991356734</v>
      </c>
      <c r="BW21" s="20">
        <f t="shared" ca="1" si="34"/>
        <v>20955.707870014165</v>
      </c>
      <c r="BX21" s="20"/>
    </row>
    <row r="22" spans="1:76" x14ac:dyDescent="0.25">
      <c r="A22" s="138" t="s">
        <v>157</v>
      </c>
      <c r="B22" s="141">
        <v>84.15</v>
      </c>
      <c r="K22" s="19">
        <v>2039</v>
      </c>
      <c r="L22" s="127">
        <v>27147.369405131954</v>
      </c>
      <c r="M22" s="127">
        <f>IF($B$3="CPR/Demo average",AVERAGE(L22,Prices!BN24),IF($B$3="CPR zero price",L22,Prices!BN24))</f>
        <v>27147.369405131954</v>
      </c>
      <c r="N22" s="20">
        <v>0</v>
      </c>
      <c r="O22" s="20">
        <v>33876.798579395603</v>
      </c>
      <c r="P22" s="89">
        <v>551.63156829789932</v>
      </c>
      <c r="Q22" s="20">
        <f t="shared" si="4"/>
        <v>27147.369405131954</v>
      </c>
      <c r="R22" s="20">
        <f>Prices!$BC24</f>
        <v>32213.96899255387</v>
      </c>
      <c r="S22" s="18">
        <f>IF($B$5="Status quo",'Govt supply'!F20,'Govt supply'!N20)</f>
        <v>96.282386345927293</v>
      </c>
      <c r="T22" s="18">
        <f>IF($B$5="Status quo",'Govt supply'!G20,'Govt supply'!O20)</f>
        <v>277.61421396409025</v>
      </c>
      <c r="U22" s="20">
        <f>IF($B$5="Status quo",'Govt supply'!C20,'Govt supply'!K20)*1000</f>
        <v>0</v>
      </c>
      <c r="V22" s="18">
        <f>IF($B$5="Status quo",'Govt supply'!H20,'Govt supply'!P20)</f>
        <v>346.61659084533824</v>
      </c>
      <c r="W22" s="20">
        <f>IF($B$5="Status quo",'Govt supply'!D20,'Govt supply'!L20)*1000</f>
        <v>700</v>
      </c>
      <c r="X22" s="18">
        <f ca="1">OFFSET(Prices!$B24,0,$C$4+1)</f>
        <v>66.083050458445783</v>
      </c>
      <c r="Y22" s="20">
        <f t="shared" ref="Y22:Y33" ca="1" si="37">IF(AND($B$19&gt;$B$27,BB22&gt;0),1,0)</f>
        <v>0</v>
      </c>
      <c r="Z22" s="18">
        <f ca="1">IF(Y22=1,OFFSET(X22,MATCH(0,$Y22:$Y$33,0)-1,0)/((1+$B$27)^(MATCH(0,$Y22:$Y$33,0)-1)),X22)</f>
        <v>66.083050458445783</v>
      </c>
      <c r="AA22" s="18"/>
      <c r="AB22" s="20">
        <f ca="1">OFFSET('Industrial Allocation'!$C$62,0,ROW()-ROW($AB$6))</f>
        <v>2992.7030602419845</v>
      </c>
      <c r="AC22" s="20">
        <f ca="1">IF(X22&lt;S22,0,IF($B$5="Status quo",'Govt supply'!E20,'Govt supply'!M20)*1000)</f>
        <v>0</v>
      </c>
      <c r="AD22" s="20">
        <f t="shared" ca="1" si="20"/>
        <v>0</v>
      </c>
      <c r="AE22" s="32">
        <f t="shared" ca="1" si="0"/>
        <v>2992.7030602419845</v>
      </c>
      <c r="AF22" s="20">
        <f t="shared" ca="1" si="5"/>
        <v>24154.666344889971</v>
      </c>
      <c r="AG22" s="18">
        <f ca="1">(X22+IF($B$41&gt;0,NPV($B$40,X23:OFFSET(X22,$B$41,0)),0))/(1+PV($B$40,($B$41),-1))</f>
        <v>57.806336380917863</v>
      </c>
      <c r="AH22" s="13">
        <v>1</v>
      </c>
      <c r="AI22" s="20">
        <f t="shared" ca="1" si="21"/>
        <v>25353.53632171404</v>
      </c>
      <c r="AJ22" s="20">
        <f ca="1">INDEX(Removals!$G$3:$G$33,MATCH($K22,Removals!$A$3:$A$33,0))*1000</f>
        <v>15941.385738360241</v>
      </c>
      <c r="AK22" s="20">
        <f ca="1">INDEX(Removals!$G$3:$G$33,MATCH($K22,Removals!$A$3:$A$33,0))*1000</f>
        <v>15941.385738360241</v>
      </c>
      <c r="AL22" s="20">
        <f t="shared" ca="1" si="22"/>
        <v>15941.385738360241</v>
      </c>
      <c r="AM22" s="20">
        <f t="shared" ca="1" si="6"/>
        <v>9412.1505833537994</v>
      </c>
      <c r="AN22" s="20">
        <v>0</v>
      </c>
      <c r="AO22" s="32">
        <f t="shared" ca="1" si="29"/>
        <v>0</v>
      </c>
      <c r="AP22" s="18">
        <f ca="1">(X22+IF($B$39&gt;0,NPV($B$38,X23:OFFSET(X22,$B$39,0)),0))/(1+PV($B$38,($B$39),-1))/Model!$B$47</f>
        <v>49.919129444205382</v>
      </c>
      <c r="AQ22" s="20">
        <f t="shared" ca="1" si="30"/>
        <v>3947.8143843609832</v>
      </c>
      <c r="AR22" s="20">
        <f t="shared" ca="1" si="31"/>
        <v>1793.833083417913</v>
      </c>
      <c r="AS22" s="32">
        <f ca="1">IF($C$4&lt;&gt;11,IF($B$10="ENZ",AR22,AQ22),Prices!BN24-OFFSET(Prices!$BB24,0,$C$4))</f>
        <v>1793.833083417913</v>
      </c>
      <c r="AT22" s="32">
        <f t="shared" ca="1" si="16"/>
        <v>18934.088798602224</v>
      </c>
      <c r="AU22" s="32">
        <f t="shared" ca="1" si="23"/>
        <v>25353.53632171404</v>
      </c>
      <c r="AV22" s="32"/>
      <c r="AW22" s="32">
        <f t="shared" ca="1" si="17"/>
        <v>0</v>
      </c>
      <c r="AX22" s="32">
        <f ca="1">AT22-AU22-AW22</f>
        <v>-6419.4475231118158</v>
      </c>
      <c r="AY22" s="32">
        <f t="shared" ca="1" si="26"/>
        <v>0</v>
      </c>
      <c r="AZ22" s="32">
        <f t="shared" ca="1" si="27"/>
        <v>0</v>
      </c>
      <c r="BA22" s="32">
        <f t="shared" ca="1" si="28"/>
        <v>6419.4475231118158</v>
      </c>
      <c r="BB22" s="32">
        <f t="shared" ca="1" si="24"/>
        <v>6419.4475231118158</v>
      </c>
      <c r="BC22" s="32">
        <f ca="1">MAX(0,MIN(BB22+AO22,$BF$5+SUM(BA$5:BA21)-(SUM(BC$6:BC21))))</f>
        <v>6419.4475231118158</v>
      </c>
      <c r="BD22" s="32">
        <f t="shared" ca="1" si="8"/>
        <v>0</v>
      </c>
      <c r="BE22" s="32">
        <f t="shared" ca="1" si="9"/>
        <v>0</v>
      </c>
      <c r="BF22" s="32">
        <f t="shared" ca="1" si="32"/>
        <v>0</v>
      </c>
      <c r="BG22" s="32">
        <f ca="1">MAX(0,BG21+(Removals!D22+Removals!H22)*1000-BA22)+AW22</f>
        <v>71214.446379833491</v>
      </c>
      <c r="BH22" s="32">
        <f t="shared" ca="1" si="10"/>
        <v>71214.446379833491</v>
      </c>
      <c r="BI22" s="32">
        <f t="shared" ca="1" si="2"/>
        <v>23199.555020770971</v>
      </c>
      <c r="BJ22" s="32">
        <f t="shared" ca="1" si="3"/>
        <v>25353.53632171404</v>
      </c>
      <c r="BK22" s="32">
        <f t="shared" ca="1" si="11"/>
        <v>0</v>
      </c>
      <c r="BL22" s="32">
        <f t="shared" ca="1" si="12"/>
        <v>71.21444637983349</v>
      </c>
      <c r="BM22" s="186">
        <f t="shared" ca="1" si="13"/>
        <v>0.84194100428730878</v>
      </c>
      <c r="BN22" s="193">
        <f t="shared" ca="1" si="18"/>
        <v>2.8088565427790786</v>
      </c>
      <c r="BO22">
        <v>2039</v>
      </c>
      <c r="BP22" s="89">
        <f t="shared" ca="1" si="33"/>
        <v>2.8088565427790786</v>
      </c>
      <c r="BQ22">
        <v>2039</v>
      </c>
      <c r="BR22" s="20">
        <f t="shared" ca="1" si="19"/>
        <v>37877.275185894585</v>
      </c>
      <c r="BS22" s="20"/>
      <c r="BT22" s="20"/>
      <c r="BU22" s="20"/>
      <c r="BV22" s="13">
        <v>0.7277612604546897</v>
      </c>
      <c r="BW22" s="20">
        <f t="shared" ca="1" si="34"/>
        <v>21904.691283512951</v>
      </c>
      <c r="BX22" s="20"/>
    </row>
    <row r="23" spans="1:76" x14ac:dyDescent="0.25">
      <c r="A23" s="138" t="s">
        <v>158</v>
      </c>
      <c r="B23" s="153">
        <v>-0.2</v>
      </c>
      <c r="K23" s="19">
        <v>2040</v>
      </c>
      <c r="L23" s="127">
        <v>26668.21356962499</v>
      </c>
      <c r="M23" s="127">
        <f>IF($B$3="CPR/Demo average",AVERAGE(L23,Prices!BN25),IF($B$3="CPR zero price",L23,Prices!BN25))</f>
        <v>26668.21356962499</v>
      </c>
      <c r="N23" s="20">
        <v>0</v>
      </c>
      <c r="O23" s="20">
        <v>33540.13531948514</v>
      </c>
      <c r="P23" s="89">
        <v>226.47645556355656</v>
      </c>
      <c r="Q23" s="20">
        <f t="shared" si="4"/>
        <v>26668.21356962499</v>
      </c>
      <c r="R23" s="20">
        <f>Prices!$BC25</f>
        <v>30842.559399565223</v>
      </c>
      <c r="S23" s="18">
        <f>IF($B$5="Status quo",'Govt supply'!F21,'Govt supply'!N21)</f>
        <v>99.170857936305111</v>
      </c>
      <c r="T23" s="18">
        <f>IF($B$5="Status quo",'Govt supply'!G21,'Govt supply'!O21)</f>
        <v>285.94264038301299</v>
      </c>
      <c r="U23" s="20">
        <f>IF($B$5="Status quo",'Govt supply'!C21,'Govt supply'!K21)*1000</f>
        <v>0</v>
      </c>
      <c r="V23" s="18">
        <f>IF($B$5="Status quo",'Govt supply'!H21,'Govt supply'!P21)</f>
        <v>357.01508857069837</v>
      </c>
      <c r="W23" s="20">
        <f>IF($B$5="Status quo",'Govt supply'!D21,'Govt supply'!L21)*1000</f>
        <v>499.99999999999994</v>
      </c>
      <c r="X23" s="18">
        <f ca="1">OFFSET(Prices!$B25,0,$C$4+1)</f>
        <v>64.464015722213858</v>
      </c>
      <c r="Y23" s="20">
        <f t="shared" ca="1" si="37"/>
        <v>0</v>
      </c>
      <c r="Z23" s="18">
        <f ca="1">IF(Y23=1,OFFSET(X23,MATCH(0,$Y23:$Y$33,0)-1,0)/((1+$B$27)^(MATCH(0,$Y23:$Y$33,0)-1)),X23)</f>
        <v>64.464015722213858</v>
      </c>
      <c r="AA23" s="18"/>
      <c r="AB23" s="20">
        <f ca="1">OFFSET('Industrial Allocation'!$C$62,0,ROW()-ROW($AB$6))</f>
        <v>2882.1608562613428</v>
      </c>
      <c r="AC23" s="20">
        <f ca="1">IF(X23&lt;S23,0,IF($B$5="Status quo",'Govt supply'!E21,'Govt supply'!M21)*1000)</f>
        <v>0</v>
      </c>
      <c r="AD23" s="20">
        <f t="shared" ca="1" si="20"/>
        <v>0</v>
      </c>
      <c r="AE23" s="32">
        <f t="shared" ca="1" si="0"/>
        <v>2882.1608562613428</v>
      </c>
      <c r="AF23" s="20">
        <f t="shared" ca="1" si="5"/>
        <v>23786.052713363646</v>
      </c>
      <c r="AG23" s="18">
        <f ca="1">(X23+IF($B$41&gt;0,NPV($B$40,X24:OFFSET(X23,$B$41,0)),0))/(1+PV($B$40,($B$41),-1))</f>
        <v>56.613830558567336</v>
      </c>
      <c r="AH23" s="13">
        <v>1</v>
      </c>
      <c r="AI23" s="20">
        <f t="shared" ca="1" si="21"/>
        <v>24905.145612365039</v>
      </c>
      <c r="AJ23" s="20">
        <f ca="1">INDEX(Removals!$G$3:$G$33,MATCH($K23,Removals!$A$3:$A$33,0))*1000</f>
        <v>15236.528255876934</v>
      </c>
      <c r="AK23" s="20">
        <f ca="1">INDEX(Removals!$G$3:$G$33,MATCH($K23,Removals!$A$3:$A$33,0))*1000</f>
        <v>15236.528255876934</v>
      </c>
      <c r="AL23" s="20">
        <f t="shared" ca="1" si="22"/>
        <v>15236.528255876934</v>
      </c>
      <c r="AM23" s="20">
        <f t="shared" ca="1" si="6"/>
        <v>9668.6173564881046</v>
      </c>
      <c r="AN23" s="20">
        <v>0</v>
      </c>
      <c r="AO23" s="32">
        <f t="shared" ca="1" si="29"/>
        <v>0</v>
      </c>
      <c r="AP23" s="18">
        <f ca="1">(X23+IF($B$39&gt;0,NPV($B$38,X24:OFFSET(X23,$B$39,0)),0))/(1+PV($B$38,($B$39),-1))/Model!$B$47</f>
        <v>48.696110772822351</v>
      </c>
      <c r="AQ23" s="20">
        <f t="shared" ca="1" si="30"/>
        <v>4006.7580575403454</v>
      </c>
      <c r="AR23" s="20">
        <f t="shared" ca="1" si="31"/>
        <v>1763.0679572599511</v>
      </c>
      <c r="AS23" s="32">
        <f ca="1">IF($C$4&lt;&gt;11,IF($B$10="ENZ",AR23,AQ23),Prices!BN25-OFFSET(Prices!$BB25,0,$C$4))</f>
        <v>1763.0679572599511</v>
      </c>
      <c r="AT23" s="32">
        <f t="shared" ca="1" si="16"/>
        <v>18118.689112138276</v>
      </c>
      <c r="AU23" s="32">
        <f t="shared" ca="1" si="23"/>
        <v>24905.145612365039</v>
      </c>
      <c r="AV23" s="32"/>
      <c r="AW23" s="32">
        <f t="shared" ca="1" si="17"/>
        <v>0</v>
      </c>
      <c r="AX23" s="32">
        <f t="shared" ca="1" si="25"/>
        <v>-6786.4565002267627</v>
      </c>
      <c r="AY23" s="32">
        <f t="shared" ca="1" si="26"/>
        <v>0</v>
      </c>
      <c r="AZ23" s="32">
        <f t="shared" ca="1" si="27"/>
        <v>0</v>
      </c>
      <c r="BA23" s="32">
        <f t="shared" ca="1" si="28"/>
        <v>6786.4565002267627</v>
      </c>
      <c r="BB23" s="32">
        <f t="shared" ca="1" si="24"/>
        <v>6786.4565002267627</v>
      </c>
      <c r="BC23" s="32">
        <f ca="1">MAX(0,MIN(BB23+AO23,$BF$5+SUM(BA$5:BA22)-(SUM(BC$6:BC22))))</f>
        <v>6786.4565002267627</v>
      </c>
      <c r="BD23" s="32">
        <f t="shared" ca="1" si="8"/>
        <v>0</v>
      </c>
      <c r="BE23" s="32">
        <f t="shared" ca="1" si="9"/>
        <v>0</v>
      </c>
      <c r="BF23" s="32">
        <f t="shared" ca="1" si="32"/>
        <v>0</v>
      </c>
      <c r="BG23" s="32">
        <f ca="1">MAX(0,BG22+(Removals!D23+Removals!H23)*1000-BA23)+AW23</f>
        <v>63820.966572417208</v>
      </c>
      <c r="BH23" s="32">
        <f t="shared" ca="1" si="10"/>
        <v>63820.966572417208</v>
      </c>
      <c r="BI23" s="32">
        <f t="shared" ca="1" si="2"/>
        <v>22661.455512084645</v>
      </c>
      <c r="BJ23" s="32">
        <f t="shared" ca="1" si="3"/>
        <v>24905.145612365039</v>
      </c>
      <c r="BK23" s="32">
        <f t="shared" ca="1" si="11"/>
        <v>0</v>
      </c>
      <c r="BL23" s="32">
        <f t="shared" ca="1" si="12"/>
        <v>63.820966572417205</v>
      </c>
      <c r="BM23" s="186">
        <f t="shared" ca="1" si="13"/>
        <v>0.84092884212409758</v>
      </c>
      <c r="BN23" s="193">
        <f t="shared" ca="1" si="18"/>
        <v>2.5625614708605049</v>
      </c>
      <c r="BO23">
        <v>2040</v>
      </c>
      <c r="BP23" s="89">
        <f t="shared" ca="1" si="33"/>
        <v>2.5625614708605049</v>
      </c>
      <c r="BQ23">
        <v>2040</v>
      </c>
      <c r="BR23" s="20">
        <f t="shared" ca="1" si="19"/>
        <v>35753.030266484013</v>
      </c>
      <c r="BS23" s="20">
        <f t="shared" ref="BS23" ca="1" si="38">SUM(BR19:BR23)</f>
        <v>199855.07859090692</v>
      </c>
      <c r="BT23" s="20"/>
      <c r="BU23" s="20"/>
      <c r="BV23" s="13">
        <v>0.66480691425322258</v>
      </c>
      <c r="BW23" s="20">
        <f t="shared" ca="1" si="34"/>
        <v>22918.727120929725</v>
      </c>
      <c r="BX23" s="20">
        <f t="shared" ref="BX23" ca="1" si="39">SUM(BW19:BW23)</f>
        <v>103858.61613142656</v>
      </c>
    </row>
    <row r="24" spans="1:76" x14ac:dyDescent="0.25">
      <c r="A24" s="138" t="s">
        <v>159</v>
      </c>
      <c r="B24" s="154">
        <v>1</v>
      </c>
      <c r="K24" s="19">
        <v>2041</v>
      </c>
      <c r="L24" s="127">
        <v>26418.135682599524</v>
      </c>
      <c r="M24" s="127">
        <f>IF($B$3="CPR/Demo average",AVERAGE(L24,Prices!BN26),IF($B$3="CPR zero price",L24,Prices!BN26))</f>
        <v>26418.135682599524</v>
      </c>
      <c r="N24" s="20">
        <v>0</v>
      </c>
      <c r="O24" s="20">
        <v>33456.908557818533</v>
      </c>
      <c r="P24" s="89">
        <v>-82.633527170418347</v>
      </c>
      <c r="Q24" s="20">
        <f t="shared" si="4"/>
        <v>26418.135682599524</v>
      </c>
      <c r="R24" s="20">
        <f>Prices!$BC26</f>
        <v>30248.897027781368</v>
      </c>
      <c r="S24" s="18">
        <f>IF($B$5="Status quo",'Govt supply'!F22,'Govt supply'!N22)</f>
        <v>102.14598367439427</v>
      </c>
      <c r="T24" s="18">
        <f>IF($B$5="Status quo",'Govt supply'!G22,'Govt supply'!O22)</f>
        <v>294.52091959450337</v>
      </c>
      <c r="U24" s="20">
        <f>IF($B$5="Status quo",'Govt supply'!C22,'Govt supply'!K22)*1000</f>
        <v>0</v>
      </c>
      <c r="V24" s="18">
        <f>IF($B$5="Status quo",'Govt supply'!H22,'Govt supply'!P22)</f>
        <v>367.72554122781935</v>
      </c>
      <c r="W24" s="20">
        <f>IF($B$5="Status quo",'Govt supply'!D22,'Govt supply'!L22)*1000</f>
        <v>299.99999999999994</v>
      </c>
      <c r="X24" s="18">
        <f ca="1">OFFSET(Prices!$B26,0,$C$4+1)</f>
        <v>62.884647337019622</v>
      </c>
      <c r="Y24" s="20">
        <f t="shared" ca="1" si="37"/>
        <v>0</v>
      </c>
      <c r="Z24" s="18">
        <f ca="1">IF(Y24=1,OFFSET(X24,MATCH(0,$Y24:$Y$33,0)-1,0)/((1+$B$27)^(MATCH(0,$Y24:$Y$33,0)-1)),X24)</f>
        <v>62.884647337019622</v>
      </c>
      <c r="AA24" s="18"/>
      <c r="AB24" s="20">
        <f ca="1">OFFSET('Industrial Allocation'!$C$62,0,ROW()-ROW($AB$6))</f>
        <v>2716.3475502903812</v>
      </c>
      <c r="AC24" s="20">
        <f ca="1">IF(X24&lt;S24,0,IF($B$5="Status quo",'Govt supply'!E22,'Govt supply'!M22)*1000)</f>
        <v>0</v>
      </c>
      <c r="AD24" s="20">
        <f t="shared" ca="1" si="20"/>
        <v>0</v>
      </c>
      <c r="AE24" s="32">
        <f t="shared" ca="1" si="0"/>
        <v>2716.3475502903812</v>
      </c>
      <c r="AF24" s="20">
        <f t="shared" ca="1" si="5"/>
        <v>23701.788132309142</v>
      </c>
      <c r="AG24" s="18">
        <f ca="1">(X24+IF($B$41&gt;0,NPV($B$40,X25:OFFSET(X24,$B$41,0)),0))/(1+PV($B$40,($B$41),-1))</f>
        <v>55.508837750568532</v>
      </c>
      <c r="AH24" s="13">
        <v>1</v>
      </c>
      <c r="AI24" s="20">
        <f t="shared" ca="1" si="21"/>
        <v>24684.989752735364</v>
      </c>
      <c r="AJ24" s="20">
        <f ca="1">INDEX(Removals!$G$3:$G$33,MATCH($K24,Removals!$A$3:$A$33,0))*1000</f>
        <v>15347.520321596416</v>
      </c>
      <c r="AK24" s="20">
        <f ca="1">INDEX(Removals!$G$3:$G$33,MATCH($K24,Removals!$A$3:$A$33,0))*1000</f>
        <v>15347.520321596416</v>
      </c>
      <c r="AL24" s="20">
        <f t="shared" ca="1" si="22"/>
        <v>15347.520321596416</v>
      </c>
      <c r="AM24" s="20">
        <f t="shared" ca="1" si="6"/>
        <v>9337.4694311389485</v>
      </c>
      <c r="AN24" s="20">
        <v>0</v>
      </c>
      <c r="AO24" s="32">
        <f t="shared" ca="1" si="29"/>
        <v>0</v>
      </c>
      <c r="AP24" s="18">
        <f ca="1">(X24+IF($B$39&gt;0,NPV($B$38,X25:OFFSET(X24,$B$39,0)),0))/(1+PV($B$38,($B$39),-1))/Model!$B$47</f>
        <v>47.558189877471072</v>
      </c>
      <c r="AQ24" s="20">
        <f t="shared" ca="1" si="30"/>
        <v>4057.2822591145177</v>
      </c>
      <c r="AR24" s="20">
        <f t="shared" ca="1" si="31"/>
        <v>1733.1459298641612</v>
      </c>
      <c r="AS24" s="32">
        <f ca="1">IF($C$4&lt;&gt;11,IF($B$10="ENZ",AR24,AQ24),Prices!BN26-OFFSET(Prices!$BB26,0,$C$4))</f>
        <v>1733.1459298641612</v>
      </c>
      <c r="AT24" s="32">
        <f t="shared" ca="1" si="16"/>
        <v>18063.867871886796</v>
      </c>
      <c r="AU24" s="32">
        <f t="shared" ca="1" si="23"/>
        <v>24684.989752735364</v>
      </c>
      <c r="AV24" s="32"/>
      <c r="AW24" s="32">
        <f t="shared" ca="1" si="17"/>
        <v>0</v>
      </c>
      <c r="AX24" s="32">
        <f t="shared" ca="1" si="25"/>
        <v>-6621.1218808485683</v>
      </c>
      <c r="AY24" s="32">
        <f t="shared" ca="1" si="26"/>
        <v>0</v>
      </c>
      <c r="AZ24" s="32">
        <f t="shared" ca="1" si="27"/>
        <v>0</v>
      </c>
      <c r="BA24" s="32">
        <f ca="1">IF(-AX24&gt;BF23-AO24,MIN(-(AY24+AX24),BG23*$B$13),0)</f>
        <v>6621.1218808485683</v>
      </c>
      <c r="BB24" s="32">
        <f t="shared" ca="1" si="24"/>
        <v>6621.1218808485683</v>
      </c>
      <c r="BC24" s="32">
        <f ca="1">MAX(0,MIN(BB24+AO24,$BF$5+SUM(BA$5:BA23)-(SUM(BC$6:BC23))))</f>
        <v>6621.1218808485683</v>
      </c>
      <c r="BD24" s="32">
        <f t="shared" ca="1" si="8"/>
        <v>0</v>
      </c>
      <c r="BE24" s="32">
        <f t="shared" ca="1" si="9"/>
        <v>0</v>
      </c>
      <c r="BF24" s="32">
        <f t="shared" ca="1" si="32"/>
        <v>0</v>
      </c>
      <c r="BG24" s="32">
        <f ca="1">MAX(0,BG23+(Removals!D24+Removals!H24)*1000-BA24)+AW24</f>
        <v>60451.80839759142</v>
      </c>
      <c r="BH24" s="32">
        <f t="shared" ca="1" si="10"/>
        <v>60451.80839759142</v>
      </c>
      <c r="BI24" s="32">
        <f t="shared" ca="1" si="2"/>
        <v>22360.853423485009</v>
      </c>
      <c r="BJ24" s="32">
        <f t="shared" ca="1" si="3"/>
        <v>24684.989752735364</v>
      </c>
      <c r="BK24" s="32">
        <f t="shared" ca="1" si="11"/>
        <v>0</v>
      </c>
      <c r="BL24" s="32">
        <f t="shared" ca="1" si="12"/>
        <v>60.451808397591421</v>
      </c>
      <c r="BM24" s="186">
        <f t="shared" ca="1" si="13"/>
        <v>0.84962536431536384</v>
      </c>
      <c r="BN24" s="193">
        <f t="shared" ca="1" si="18"/>
        <v>2.4489298558810502</v>
      </c>
      <c r="BO24">
        <v>2041</v>
      </c>
      <c r="BP24" s="89">
        <f t="shared" ca="1" si="33"/>
        <v>2.4489298558810502</v>
      </c>
      <c r="BQ24">
        <v>2041</v>
      </c>
      <c r="BR24" s="20">
        <f t="shared" ca="1" si="19"/>
        <v>34173.992050956585</v>
      </c>
      <c r="BS24" s="20"/>
      <c r="BT24" s="20"/>
      <c r="BU24" s="20"/>
      <c r="BV24" s="13">
        <v>0.64255160464466721</v>
      </c>
      <c r="BW24" s="20">
        <f t="shared" ca="1" si="34"/>
        <v>23885.272732426893</v>
      </c>
      <c r="BX24" s="20"/>
    </row>
    <row r="25" spans="1:76" x14ac:dyDescent="0.25">
      <c r="A25" s="138" t="s">
        <v>160</v>
      </c>
      <c r="B25" s="140">
        <f ca="1">SUM(AM6:AM33)</f>
        <v>336527.03075689165</v>
      </c>
      <c r="K25" s="19">
        <v>2042</v>
      </c>
      <c r="L25" s="127">
        <v>26234.008136521523</v>
      </c>
      <c r="M25" s="127">
        <f>IF($B$3="CPR/Demo average",AVERAGE(L25,Prices!BN27),IF($B$3="CPR zero price",L25,Prices!BN27))</f>
        <v>26234.008136521523</v>
      </c>
      <c r="N25" s="20">
        <v>0</v>
      </c>
      <c r="O25" s="20">
        <v>33366.060793125267</v>
      </c>
      <c r="P25" s="89">
        <v>-387.39076375402328</v>
      </c>
      <c r="Q25" s="20">
        <f t="shared" si="4"/>
        <v>26234.008136521523</v>
      </c>
      <c r="R25" s="20">
        <f>Prices!$BC27</f>
        <v>29656.68630548074</v>
      </c>
      <c r="S25" s="18">
        <f>IF($B$5="Status quo",'Govt supply'!F23,'Govt supply'!N23)</f>
        <v>105.2103631846261</v>
      </c>
      <c r="T25" s="18">
        <f>IF($B$5="Status quo",'Govt supply'!G23,'Govt supply'!O23)</f>
        <v>303.35654718233849</v>
      </c>
      <c r="U25" s="20">
        <f>IF($B$5="Status quo",'Govt supply'!C23,'Govt supply'!K23)*1000</f>
        <v>0</v>
      </c>
      <c r="V25" s="18">
        <f>IF($B$5="Status quo",'Govt supply'!H23,'Govt supply'!P23)</f>
        <v>378.75730746465393</v>
      </c>
      <c r="W25" s="20">
        <f>IF($B$5="Status quo",'Govt supply'!D23,'Govt supply'!L23)*1000</f>
        <v>99.999999999999929</v>
      </c>
      <c r="X25" s="18">
        <f ca="1">OFFSET(Prices!$B27,0,$C$4+1)</f>
        <v>61.343973477262644</v>
      </c>
      <c r="Y25" s="20">
        <f t="shared" ca="1" si="37"/>
        <v>0</v>
      </c>
      <c r="Z25" s="18">
        <f ca="1">IF(Y25=1,OFFSET(X25,MATCH(0,$Y25:$Y$33,0)-1,0)/((1+$B$27)^(MATCH(0,$Y25:$Y$33,0)-1)),X25)</f>
        <v>61.343973477262644</v>
      </c>
      <c r="AA25" s="18"/>
      <c r="AB25" s="20">
        <f ca="1">OFFSET('Industrial Allocation'!$C$62,0,ROW()-ROW($AB$6))</f>
        <v>2550.5342443194199</v>
      </c>
      <c r="AC25" s="20">
        <f ca="1">IF(X25&lt;S25,0,IF($B$5="Status quo",'Govt supply'!E23,'Govt supply'!M23)*1000)</f>
        <v>0</v>
      </c>
      <c r="AD25" s="20">
        <f t="shared" ca="1" si="20"/>
        <v>0</v>
      </c>
      <c r="AE25" s="32">
        <f t="shared" ca="1" si="0"/>
        <v>2550.5342443194199</v>
      </c>
      <c r="AF25" s="20">
        <f t="shared" ca="1" si="5"/>
        <v>23683.473892202102</v>
      </c>
      <c r="AG25" s="18">
        <f ca="1">(X25+IF($B$41&gt;0,NPV($B$40,X26:OFFSET(X25,$B$41,0)),0))/(1+PV($B$40,($B$41),-1))</f>
        <v>54.493877617806177</v>
      </c>
      <c r="AH25" s="13">
        <v>1</v>
      </c>
      <c r="AI25" s="20">
        <f t="shared" ca="1" si="21"/>
        <v>24529.30519849142</v>
      </c>
      <c r="AJ25" s="20">
        <f ca="1">INDEX(Removals!$G$3:$G$33,MATCH($K25,Removals!$A$3:$A$33,0))*1000</f>
        <v>15514.687464231649</v>
      </c>
      <c r="AK25" s="20">
        <f ca="1">INDEX(Removals!$G$3:$G$33,MATCH($K25,Removals!$A$3:$A$33,0))*1000</f>
        <v>15514.687464231649</v>
      </c>
      <c r="AL25" s="20">
        <f t="shared" ca="1" si="22"/>
        <v>15514.687464231649</v>
      </c>
      <c r="AM25" s="20">
        <f t="shared" ca="1" si="6"/>
        <v>9014.6177342597712</v>
      </c>
      <c r="AN25" s="20">
        <v>0</v>
      </c>
      <c r="AO25" s="32">
        <f t="shared" ca="1" si="29"/>
        <v>0</v>
      </c>
      <c r="AP25" s="18">
        <f ca="1">(X25+IF($B$39&gt;0,NPV($B$38,X26:OFFSET(X25,$B$39,0)),0))/(1+PV($B$38,($B$39),-1))/Model!$B$47</f>
        <v>46.523538789393946</v>
      </c>
      <c r="AQ25" s="20">
        <f t="shared" ca="1" si="30"/>
        <v>4100.5271890303238</v>
      </c>
      <c r="AR25" s="20">
        <f t="shared" ca="1" si="31"/>
        <v>1704.7029380301042</v>
      </c>
      <c r="AS25" s="32">
        <f ca="1">IF($C$4&lt;&gt;11,IF($B$10="ENZ",AR25,AQ25),Prices!BN27-OFFSET(Prices!$BB27,0,$C$4))</f>
        <v>1704.7029380301042</v>
      </c>
      <c r="AT25" s="32">
        <f t="shared" ca="1" si="16"/>
        <v>18065.221708551067</v>
      </c>
      <c r="AU25" s="32">
        <f t="shared" ca="1" si="23"/>
        <v>24529.30519849142</v>
      </c>
      <c r="AV25" s="32"/>
      <c r="AW25" s="32">
        <f t="shared" ca="1" si="17"/>
        <v>0</v>
      </c>
      <c r="AX25" s="32">
        <f t="shared" ca="1" si="25"/>
        <v>-6464.0834899403526</v>
      </c>
      <c r="AY25" s="32">
        <f t="shared" ca="1" si="26"/>
        <v>0</v>
      </c>
      <c r="AZ25" s="32">
        <f ca="1">MIN(AY25+AO25,BF24)</f>
        <v>0</v>
      </c>
      <c r="BA25" s="32">
        <f t="shared" ca="1" si="28"/>
        <v>6464.0834899403526</v>
      </c>
      <c r="BB25" s="32">
        <f t="shared" ca="1" si="24"/>
        <v>6464.0834899403526</v>
      </c>
      <c r="BC25" s="32">
        <f ca="1">MAX(0,MIN(BB25+AO25,$BF$5+SUM(BA$5:BA24)-(SUM(BC$6:BC24))))</f>
        <v>6464.0834899403526</v>
      </c>
      <c r="BD25" s="32">
        <f t="shared" ca="1" si="8"/>
        <v>0</v>
      </c>
      <c r="BE25" s="32">
        <f t="shared" ca="1" si="9"/>
        <v>0</v>
      </c>
      <c r="BF25" s="32">
        <f t="shared" ca="1" si="32"/>
        <v>0</v>
      </c>
      <c r="BG25" s="32">
        <f ca="1">MAX(0,BG24+(Removals!D25+Removals!H25)*1000-BA25)+AW25</f>
        <v>57030.862726309613</v>
      </c>
      <c r="BH25" s="32">
        <f t="shared" ca="1" si="10"/>
        <v>57030.862726309613</v>
      </c>
      <c r="BI25" s="32">
        <f t="shared" ca="1" si="2"/>
        <v>22133.4809474912</v>
      </c>
      <c r="BJ25" s="32">
        <f t="shared" ca="1" si="3"/>
        <v>24529.30519849142</v>
      </c>
      <c r="BK25" s="32">
        <f t="shared" ca="1" si="11"/>
        <v>0</v>
      </c>
      <c r="BL25" s="32">
        <f t="shared" ca="1" si="12"/>
        <v>57.030862726309614</v>
      </c>
      <c r="BM25" s="186">
        <f t="shared" ca="1" si="13"/>
        <v>0.85881522599237525</v>
      </c>
      <c r="BN25" s="193">
        <f t="shared" ca="1" si="18"/>
        <v>2.3250093007044113</v>
      </c>
      <c r="BO25">
        <v>2042</v>
      </c>
      <c r="BP25" s="89">
        <f t="shared" ca="1" si="33"/>
        <v>2.3250093007044113</v>
      </c>
      <c r="BQ25">
        <v>2042</v>
      </c>
      <c r="BR25" s="20">
        <f t="shared" ca="1" si="19"/>
        <v>32725.627913505767</v>
      </c>
      <c r="BS25" s="20"/>
      <c r="BT25" s="20"/>
      <c r="BU25" s="20"/>
      <c r="BV25" s="13">
        <v>0.62603785135573853</v>
      </c>
      <c r="BW25" s="20">
        <f t="shared" ca="1" si="34"/>
        <v>24782.347314356895</v>
      </c>
      <c r="BX25" s="20"/>
    </row>
    <row r="26" spans="1:76" x14ac:dyDescent="0.25">
      <c r="K26" s="19">
        <v>2043</v>
      </c>
      <c r="L26" s="127">
        <v>25907.214344432963</v>
      </c>
      <c r="M26" s="127">
        <f>IF($B$3="CPR/Demo average",AVERAGE(L26,Prices!BN28),IF($B$3="CPR zero price",L26,Prices!BN28))</f>
        <v>25907.214344432963</v>
      </c>
      <c r="N26" s="20">
        <v>0</v>
      </c>
      <c r="O26" s="20">
        <v>33274.380767766925</v>
      </c>
      <c r="P26" s="89">
        <v>-541.39122651642128</v>
      </c>
      <c r="Q26" s="20">
        <f t="shared" si="4"/>
        <v>25907.214344432963</v>
      </c>
      <c r="R26" s="20">
        <f>Prices!$BC28</f>
        <v>28995.164604489208</v>
      </c>
      <c r="S26" s="18">
        <f>IF($B$5="Status quo",'Govt supply'!F24,'Govt supply'!N24)</f>
        <v>108.36667408016488</v>
      </c>
      <c r="T26" s="18">
        <f>IF($B$5="Status quo",'Govt supply'!G24,'Govt supply'!O24)</f>
        <v>312.45724359780866</v>
      </c>
      <c r="U26" s="20">
        <f>IF($B$5="Status quo",'Govt supply'!C24,'Govt supply'!K24)*1000</f>
        <v>0</v>
      </c>
      <c r="V26" s="18">
        <f>IF($B$5="Status quo",'Govt supply'!H24,'Govt supply'!P24)</f>
        <v>390.12002668859355</v>
      </c>
      <c r="W26" s="20">
        <f>IF($B$5="Status quo",'Govt supply'!D24,'Govt supply'!L24)*1000</f>
        <v>0</v>
      </c>
      <c r="X26" s="18">
        <f ca="1">OFFSET(Prices!$B28,0,$C$4+1)</f>
        <v>59.84104612706971</v>
      </c>
      <c r="Y26" s="20">
        <f t="shared" ca="1" si="37"/>
        <v>0</v>
      </c>
      <c r="Z26" s="18">
        <f ca="1">IF(Y26=1,OFFSET(X26,MATCH(0,$Y26:$Y$33,0)-1,0)/((1+$B$27)^(MATCH(0,$Y26:$Y$33,0)-1)),X26)</f>
        <v>59.84104612706971</v>
      </c>
      <c r="AA26" s="18"/>
      <c r="AB26" s="20">
        <f ca="1">OFFSET('Industrial Allocation'!$C$62,0,ROW()-ROW($AB$6))</f>
        <v>2384.7209383484578</v>
      </c>
      <c r="AC26" s="20">
        <f ca="1">IF(X26&lt;S26,0,IF($B$5="Status quo",'Govt supply'!E24,'Govt supply'!M24)*1000)</f>
        <v>0</v>
      </c>
      <c r="AD26" s="20">
        <f t="shared" ca="1" si="20"/>
        <v>0</v>
      </c>
      <c r="AE26" s="32">
        <f t="shared" ca="1" si="0"/>
        <v>2384.7209383484578</v>
      </c>
      <c r="AF26" s="20">
        <f t="shared" ca="1" si="5"/>
        <v>23522.493406084504</v>
      </c>
      <c r="AG26" s="18">
        <f ca="1">(X26+IF($B$41&gt;0,NPV($B$40,X27:OFFSET(X26,$B$41,0)),0))/(1+PV($B$40,($B$41),-1))</f>
        <v>53.571781187852167</v>
      </c>
      <c r="AH26" s="13">
        <v>1</v>
      </c>
      <c r="AI26" s="20">
        <f t="shared" ca="1" si="21"/>
        <v>24229.06506841776</v>
      </c>
      <c r="AJ26" s="20">
        <f ca="1">INDEX(Removals!$G$3:$G$33,MATCH($K26,Removals!$A$3:$A$33,0))*1000</f>
        <v>15660.715826959915</v>
      </c>
      <c r="AK26" s="20">
        <f ca="1">INDEX(Removals!$G$3:$G$33,MATCH($K26,Removals!$A$3:$A$33,0))*1000</f>
        <v>15660.715826959915</v>
      </c>
      <c r="AL26" s="20">
        <f t="shared" ca="1" si="22"/>
        <v>15660.715826959915</v>
      </c>
      <c r="AM26" s="20">
        <f t="shared" ca="1" si="6"/>
        <v>8568.349241457845</v>
      </c>
      <c r="AN26" s="20">
        <v>0</v>
      </c>
      <c r="AO26" s="32">
        <f t="shared" ca="1" si="29"/>
        <v>0</v>
      </c>
      <c r="AP26" s="18">
        <f ca="1">(X26+IF($B$39&gt;0,NPV($B$38,X27:OFFSET(X26,$B$39,0)),0))/(1+PV($B$38,($B$39),-1))/Model!$B$47</f>
        <v>45.593396935579655</v>
      </c>
      <c r="AQ26" s="20">
        <f t="shared" ca="1" si="30"/>
        <v>4137.4946732986837</v>
      </c>
      <c r="AR26" s="20">
        <f t="shared" ca="1" si="31"/>
        <v>1678.1492760152021</v>
      </c>
      <c r="AS26" s="32">
        <f ca="1">IF($C$4&lt;&gt;11,IF($B$10="ENZ",AR26,AQ26),Prices!BN28-OFFSET(Prices!$BB28,0,$C$4))</f>
        <v>1678.1492760152021</v>
      </c>
      <c r="AT26" s="32">
        <f t="shared" ca="1" si="16"/>
        <v>18045.436765308372</v>
      </c>
      <c r="AU26" s="32">
        <f t="shared" ca="1" si="23"/>
        <v>24229.06506841776</v>
      </c>
      <c r="AV26" s="32"/>
      <c r="AW26" s="32">
        <f t="shared" ca="1" si="17"/>
        <v>0</v>
      </c>
      <c r="AX26" s="32">
        <f t="shared" ca="1" si="25"/>
        <v>-6183.6283031093881</v>
      </c>
      <c r="AY26" s="32">
        <f t="shared" ca="1" si="26"/>
        <v>0</v>
      </c>
      <c r="AZ26" s="32">
        <f t="shared" ca="1" si="27"/>
        <v>0</v>
      </c>
      <c r="BA26" s="32">
        <f t="shared" ca="1" si="28"/>
        <v>6183.6283031093881</v>
      </c>
      <c r="BB26" s="32">
        <f t="shared" ca="1" si="24"/>
        <v>6183.6283031093881</v>
      </c>
      <c r="BC26" s="32">
        <f ca="1">MAX(0,MIN(BB26+AO26,$BF$5+SUM(BA$5:BA25)-(SUM(BC$6:BC25))))</f>
        <v>6183.6283031093881</v>
      </c>
      <c r="BD26" s="32">
        <f t="shared" ca="1" si="8"/>
        <v>0</v>
      </c>
      <c r="BE26" s="32">
        <f t="shared" ca="1" si="9"/>
        <v>0</v>
      </c>
      <c r="BF26" s="32">
        <f t="shared" ca="1" si="32"/>
        <v>0</v>
      </c>
      <c r="BG26" s="32">
        <f ca="1">MAX(0,BG25+(Removals!D26+Removals!H26)*1000-BA26)+AW26</f>
        <v>54776.644271227604</v>
      </c>
      <c r="BH26" s="32">
        <f t="shared" ca="1" si="10"/>
        <v>54776.644271227604</v>
      </c>
      <c r="BI26" s="32">
        <f t="shared" ca="1" si="2"/>
        <v>21769.71967113428</v>
      </c>
      <c r="BJ26" s="32">
        <f t="shared" ca="1" si="3"/>
        <v>24229.06506841776</v>
      </c>
      <c r="BK26" s="32">
        <f t="shared" ca="1" si="11"/>
        <v>0</v>
      </c>
      <c r="BL26" s="32">
        <f t="shared" ca="1" si="12"/>
        <v>54.776644271227603</v>
      </c>
      <c r="BM26" s="186">
        <f t="shared" ca="1" si="13"/>
        <v>0.86784908731425181</v>
      </c>
      <c r="BN26" s="193">
        <f t="shared" ca="1" si="18"/>
        <v>2.2607824163478836</v>
      </c>
      <c r="BO26">
        <v>2043</v>
      </c>
      <c r="BP26" s="89">
        <f t="shared" ca="1" si="33"/>
        <v>2.2607824163478836</v>
      </c>
      <c r="BQ26">
        <v>2043</v>
      </c>
      <c r="BR26" s="20">
        <f t="shared" ca="1" si="19"/>
        <v>31721.991857415043</v>
      </c>
      <c r="BS26" s="20"/>
      <c r="BT26" s="20"/>
      <c r="BU26" s="20"/>
      <c r="BV26" s="13">
        <v>0.62047055828186704</v>
      </c>
      <c r="BW26" s="20">
        <f t="shared" ca="1" si="34"/>
        <v>25240.062752253223</v>
      </c>
      <c r="BX26" s="20"/>
    </row>
    <row r="27" spans="1:76" x14ac:dyDescent="0.25">
      <c r="A27" s="4" t="s">
        <v>161</v>
      </c>
      <c r="B27" s="159">
        <v>0.05</v>
      </c>
      <c r="K27" s="19">
        <v>2044</v>
      </c>
      <c r="L27" s="127">
        <v>25591.77268282594</v>
      </c>
      <c r="M27" s="127">
        <f>IF($B$3="CPR/Demo average",AVERAGE(L27,Prices!BN29),IF($B$3="CPR zero price",L27,Prices!BN29))</f>
        <v>25591.77268282594</v>
      </c>
      <c r="N27" s="20">
        <v>0</v>
      </c>
      <c r="O27" s="20">
        <v>33183.335626087261</v>
      </c>
      <c r="P27" s="89">
        <v>-684.37526333101141</v>
      </c>
      <c r="Q27" s="20">
        <f t="shared" si="4"/>
        <v>25591.77268282594</v>
      </c>
      <c r="R27" s="20">
        <f>Prices!$BC29</f>
        <v>28409.632385723533</v>
      </c>
      <c r="S27" s="18">
        <f>IF($B$5="Status quo",'Govt supply'!F25,'Govt supply'!N25)</f>
        <v>111.61767430256984</v>
      </c>
      <c r="T27" s="18">
        <f>IF($B$5="Status quo",'Govt supply'!G25,'Govt supply'!O25)</f>
        <v>321.83096090574293</v>
      </c>
      <c r="U27" s="20">
        <f>IF($B$5="Status quo",'Govt supply'!C25,'Govt supply'!K25)*1000</f>
        <v>0</v>
      </c>
      <c r="V27" s="18">
        <f>IF($B$5="Status quo",'Govt supply'!H25,'Govt supply'!P25)</f>
        <v>401.82362748925135</v>
      </c>
      <c r="W27" s="20">
        <f>IF($B$5="Status quo",'Govt supply'!D25,'Govt supply'!L25)*1000</f>
        <v>0</v>
      </c>
      <c r="X27" s="18">
        <f ca="1">OFFSET(Prices!$B29,0,$C$4+1)</f>
        <v>58.374940496956505</v>
      </c>
      <c r="Y27" s="20">
        <f t="shared" ca="1" si="37"/>
        <v>0</v>
      </c>
      <c r="Z27" s="18">
        <f ca="1">IF(Y27=1,OFFSET(X27,MATCH(0,$Y27:$Y$33,0)-1,0)/((1+$B$27)^(MATCH(0,$Y27:$Y$33,0)-1)),X27)</f>
        <v>58.374940496956505</v>
      </c>
      <c r="AA27" s="18"/>
      <c r="AB27" s="20">
        <f ca="1">OFFSET('Industrial Allocation'!$C$62,0,ROW()-ROW($AB$6))</f>
        <v>2218.9076323774957</v>
      </c>
      <c r="AC27" s="20">
        <f ca="1">IF(X27&lt;S27,0,IF($B$5="Status quo",'Govt supply'!E25,'Govt supply'!M25)*1000)</f>
        <v>0</v>
      </c>
      <c r="AD27" s="20">
        <f t="shared" ca="1" si="20"/>
        <v>0</v>
      </c>
      <c r="AE27" s="32">
        <f t="shared" ca="1" si="0"/>
        <v>2218.9076323774957</v>
      </c>
      <c r="AF27" s="20">
        <f t="shared" ca="1" si="5"/>
        <v>23372.865050448443</v>
      </c>
      <c r="AG27" s="18">
        <f ca="1">(X27+IF($B$41&gt;0,NPV($B$40,X28:OFFSET(X27,$B$41,0)),0))/(1+PV($B$40,($B$41),-1))</f>
        <v>52.745713074352196</v>
      </c>
      <c r="AH27" s="13">
        <v>1</v>
      </c>
      <c r="AI27" s="20">
        <f t="shared" ca="1" si="21"/>
        <v>23938.0117447472</v>
      </c>
      <c r="AJ27" s="20">
        <f ca="1">INDEX(Removals!$G$3:$G$33,MATCH($K27,Removals!$A$3:$A$33,0))*1000</f>
        <v>15759.155189935722</v>
      </c>
      <c r="AK27" s="20">
        <f ca="1">INDEX(Removals!$G$3:$G$33,MATCH($K27,Removals!$A$3:$A$33,0))*1000</f>
        <v>15759.155189935722</v>
      </c>
      <c r="AL27" s="20">
        <f t="shared" ca="1" si="22"/>
        <v>15759.155189935722</v>
      </c>
      <c r="AM27" s="20">
        <f t="shared" ca="1" si="6"/>
        <v>8178.8565548114784</v>
      </c>
      <c r="AN27" s="20">
        <v>0</v>
      </c>
      <c r="AO27" s="32">
        <f t="shared" ca="1" si="29"/>
        <v>0</v>
      </c>
      <c r="AP27" s="18">
        <f ca="1">(X27+IF($B$39&gt;0,NPV($B$38,X28:OFFSET(X27,$B$39,0)),0))/(1+PV($B$38,($B$39),-1))/Model!$B$47</f>
        <v>44.769161853919016</v>
      </c>
      <c r="AQ27" s="20">
        <f t="shared" ca="1" si="30"/>
        <v>4169.0652819498455</v>
      </c>
      <c r="AR27" s="20">
        <f t="shared" ca="1" si="31"/>
        <v>1653.7609380787389</v>
      </c>
      <c r="AS27" s="32">
        <f ca="1">IF($C$4&lt;&gt;11,IF($B$10="ENZ",AR27,AQ27),Prices!BN29-OFFSET(Prices!$BB29,0,$C$4))</f>
        <v>1653.7609380787389</v>
      </c>
      <c r="AT27" s="32">
        <f t="shared" ca="1" si="16"/>
        <v>17978.062822313219</v>
      </c>
      <c r="AU27" s="32">
        <f t="shared" ca="1" si="23"/>
        <v>23938.0117447472</v>
      </c>
      <c r="AV27" s="32"/>
      <c r="AW27" s="32">
        <f t="shared" ca="1" si="17"/>
        <v>0</v>
      </c>
      <c r="AX27" s="32">
        <f t="shared" ca="1" si="25"/>
        <v>-5959.9489224339814</v>
      </c>
      <c r="AY27" s="32">
        <f t="shared" ca="1" si="26"/>
        <v>0</v>
      </c>
      <c r="AZ27" s="32">
        <f t="shared" ca="1" si="27"/>
        <v>0</v>
      </c>
      <c r="BA27" s="32">
        <f t="shared" ca="1" si="28"/>
        <v>5959.9489224339814</v>
      </c>
      <c r="BB27" s="32">
        <f t="shared" ca="1" si="24"/>
        <v>5959.9489224339814</v>
      </c>
      <c r="BC27" s="32">
        <f ca="1">MAX(0,MIN(BB27+AO27,$BF$5+SUM(BA$5:BA26)-(SUM(BC$6:BC26))))</f>
        <v>5959.9489224339814</v>
      </c>
      <c r="BD27" s="32">
        <f t="shared" ca="1" si="8"/>
        <v>0</v>
      </c>
      <c r="BE27" s="32">
        <f t="shared" ca="1" si="9"/>
        <v>0</v>
      </c>
      <c r="BF27" s="32">
        <f t="shared" ca="1" si="32"/>
        <v>0</v>
      </c>
      <c r="BG27" s="32">
        <f ca="1">MAX(0,BG26+(Removals!D27+Removals!H27)*1000-BA27)+AW27</f>
        <v>53816.038673606992</v>
      </c>
      <c r="BH27" s="32">
        <f t="shared" ca="1" si="10"/>
        <v>53816.038673606992</v>
      </c>
      <c r="BI27" s="32">
        <f t="shared" ca="1" si="2"/>
        <v>21422.707400876094</v>
      </c>
      <c r="BJ27" s="32">
        <f t="shared" ca="1" si="3"/>
        <v>23938.0117447472</v>
      </c>
      <c r="BK27" s="32">
        <f t="shared" ca="1" si="11"/>
        <v>0</v>
      </c>
      <c r="BL27" s="32">
        <f t="shared" ca="1" si="12"/>
        <v>53.81603867360699</v>
      </c>
      <c r="BM27" s="186">
        <f t="shared" ca="1" si="13"/>
        <v>0.8765769341052958</v>
      </c>
      <c r="BN27" s="193">
        <f t="shared" ca="1" si="18"/>
        <v>2.2481415435605685</v>
      </c>
      <c r="BO27">
        <v>2044</v>
      </c>
      <c r="BP27" s="89">
        <f t="shared" ca="1" si="33"/>
        <v>2.2481415435605685</v>
      </c>
      <c r="BQ27">
        <v>2044</v>
      </c>
      <c r="BR27" s="20">
        <f t="shared" ca="1" si="19"/>
        <v>31314.922249496398</v>
      </c>
      <c r="BS27" s="20"/>
      <c r="BT27" s="20"/>
      <c r="BU27" s="20"/>
      <c r="BV27" s="13">
        <v>0.6273037144265069</v>
      </c>
      <c r="BW27" s="20">
        <f t="shared" ca="1" si="34"/>
        <v>25122.049858007049</v>
      </c>
      <c r="BX27" s="20"/>
    </row>
    <row r="28" spans="1:76" x14ac:dyDescent="0.25">
      <c r="A28" s="4" t="s">
        <v>162</v>
      </c>
      <c r="B28" s="22">
        <v>0</v>
      </c>
      <c r="D28" t="s">
        <v>163</v>
      </c>
      <c r="K28" s="19">
        <v>2045</v>
      </c>
      <c r="L28" s="127">
        <v>25204.709085383052</v>
      </c>
      <c r="M28" s="127">
        <f>IF($B$3="CPR/Demo average",AVERAGE(L28,Prices!BN30),IF($B$3="CPR zero price",L28,Prices!BN30))</f>
        <v>25204.709085383052</v>
      </c>
      <c r="N28" s="20">
        <v>0</v>
      </c>
      <c r="O28" s="20">
        <v>33098.02336977439</v>
      </c>
      <c r="P28" s="89">
        <v>-919.95523327864248</v>
      </c>
      <c r="Q28" s="20">
        <f t="shared" si="4"/>
        <v>25204.709085383052</v>
      </c>
      <c r="R28" s="20">
        <f>Prices!$BC30</f>
        <v>27756.136834920737</v>
      </c>
      <c r="S28" s="18">
        <f>IF($B$5="Status quo",'Govt supply'!F26,'Govt supply'!N26)</f>
        <v>114.96620453164694</v>
      </c>
      <c r="T28" s="18">
        <f>IF($B$5="Status quo",'Govt supply'!G26,'Govt supply'!O26)</f>
        <v>331.48588973291521</v>
      </c>
      <c r="U28" s="20">
        <f>IF($B$5="Status quo",'Govt supply'!C26,'Govt supply'!K26)*1000</f>
        <v>0</v>
      </c>
      <c r="V28" s="18">
        <f>IF($B$5="Status quo",'Govt supply'!H26,'Govt supply'!P26)</f>
        <v>413.87833631392891</v>
      </c>
      <c r="W28" s="20">
        <f>IF($B$5="Status quo",'Govt supply'!D26,'Govt supply'!L26)*1000</f>
        <v>0</v>
      </c>
      <c r="X28" s="18">
        <f ca="1">OFFSET(Prices!$B30,0,$C$4+1)</f>
        <v>56.944754454781069</v>
      </c>
      <c r="Y28" s="20">
        <f t="shared" ca="1" si="37"/>
        <v>0</v>
      </c>
      <c r="Z28" s="18">
        <f ca="1">IF(Y28=1,OFFSET(X28,MATCH(0,$Y28:$Y$33,0)-1,0)/((1+$B$27)^(MATCH(0,$Y28:$Y$33,0)-1)),X28)</f>
        <v>56.944754454781069</v>
      </c>
      <c r="AA28" s="18"/>
      <c r="AB28" s="20">
        <f ca="1">OFFSET('Industrial Allocation'!$C$62,0,ROW()-ROW($AB$6))</f>
        <v>2053.0943264065336</v>
      </c>
      <c r="AC28" s="20">
        <f ca="1">IF(X28&lt;S28,0,IF($B$5="Status quo",'Govt supply'!E26,'Govt supply'!M26)*1000)</f>
        <v>0</v>
      </c>
      <c r="AD28" s="20">
        <f t="shared" ca="1" si="20"/>
        <v>0</v>
      </c>
      <c r="AE28" s="32">
        <f t="shared" ca="1" si="0"/>
        <v>2053.0943264065336</v>
      </c>
      <c r="AF28" s="20">
        <f t="shared" ca="1" si="5"/>
        <v>23151.614758976517</v>
      </c>
      <c r="AG28" s="18">
        <f ca="1">(X28+IF($B$41&gt;0,NPV($B$40,X29:OFFSET(X28,$B$41,0)),0))/(1+PV($B$40,($B$41),-1))</f>
        <v>52.019195539866736</v>
      </c>
      <c r="AH28" s="13">
        <v>1</v>
      </c>
      <c r="AI28" s="20">
        <f t="shared" ca="1" si="21"/>
        <v>23572.974807135037</v>
      </c>
      <c r="AJ28" s="20">
        <f ca="1">INDEX(Removals!$G$3:$G$33,MATCH($K28,Removals!$A$3:$A$33,0))*1000</f>
        <v>15881.829730245667</v>
      </c>
      <c r="AK28" s="20">
        <f ca="1">INDEX(Removals!$G$3:$G$33,MATCH($K28,Removals!$A$3:$A$33,0))*1000</f>
        <v>15881.829730245667</v>
      </c>
      <c r="AL28" s="20">
        <f t="shared" ca="1" si="22"/>
        <v>15881.829730245667</v>
      </c>
      <c r="AM28" s="20">
        <f t="shared" ca="1" si="6"/>
        <v>7691.1450768893701</v>
      </c>
      <c r="AN28" s="20">
        <v>0</v>
      </c>
      <c r="AO28" s="32">
        <f t="shared" ca="1" si="29"/>
        <v>0</v>
      </c>
      <c r="AP28" s="18">
        <f ca="1">(X28+IF($B$39&gt;0,NPV($B$38,X29:OFFSET(X28,$B$39,0)),0))/(1+PV($B$38,($B$39),-1))/Model!$B$47</f>
        <v>44.052394743331014</v>
      </c>
      <c r="AQ28" s="20">
        <f t="shared" ca="1" si="30"/>
        <v>4196.0133558105354</v>
      </c>
      <c r="AR28" s="20">
        <f t="shared" ca="1" si="31"/>
        <v>1631.7342782480157</v>
      </c>
      <c r="AS28" s="32">
        <f ca="1">IF($C$4&lt;&gt;11,IF($B$10="ENZ",AR28,AQ28),Prices!BN30-OFFSET(Prices!$BB30,0,$C$4))</f>
        <v>1631.7342782480157</v>
      </c>
      <c r="AT28" s="32">
        <f t="shared" ca="1" si="16"/>
        <v>17934.924056652198</v>
      </c>
      <c r="AU28" s="32">
        <f t="shared" ca="1" si="23"/>
        <v>23572.974807135037</v>
      </c>
      <c r="AV28" s="32"/>
      <c r="AW28" s="32">
        <f t="shared" ca="1" si="17"/>
        <v>0</v>
      </c>
      <c r="AX28" s="32">
        <f t="shared" ca="1" si="25"/>
        <v>-5638.0507504828383</v>
      </c>
      <c r="AY28" s="32">
        <f t="shared" ca="1" si="26"/>
        <v>0</v>
      </c>
      <c r="AZ28" s="32">
        <f t="shared" ca="1" si="27"/>
        <v>0</v>
      </c>
      <c r="BA28" s="32">
        <f t="shared" ca="1" si="28"/>
        <v>5638.0507504828383</v>
      </c>
      <c r="BB28" s="32">
        <f t="shared" ca="1" si="24"/>
        <v>5638.0507504828383</v>
      </c>
      <c r="BC28" s="32">
        <f ca="1">MAX(0,MIN(BB28+AO28,$BF$5+SUM(BA$5:BA27)-(SUM(BC$6:BC27))))</f>
        <v>5638.0507504828383</v>
      </c>
      <c r="BD28" s="32">
        <f t="shared" ca="1" si="8"/>
        <v>0</v>
      </c>
      <c r="BE28" s="32">
        <f t="shared" ca="1" si="9"/>
        <v>0</v>
      </c>
      <c r="BF28" s="32">
        <f t="shared" ca="1" si="32"/>
        <v>0</v>
      </c>
      <c r="BG28" s="32">
        <f ca="1">MAX(0,BG27+(Removals!D28+Removals!H28)*1000-BA28)+AW28</f>
        <v>53699.257035096627</v>
      </c>
      <c r="BH28" s="32">
        <f t="shared" ca="1" si="10"/>
        <v>53699.257035096627</v>
      </c>
      <c r="BI28" s="32">
        <f t="shared" ca="1" si="2"/>
        <v>21008.695729572515</v>
      </c>
      <c r="BJ28" s="32">
        <f t="shared" ca="1" si="3"/>
        <v>23572.974807135037</v>
      </c>
      <c r="BK28" s="32">
        <f t="shared" ca="1" si="11"/>
        <v>0</v>
      </c>
      <c r="BL28" s="32">
        <f t="shared" ca="1" si="12"/>
        <v>53.699257035096629</v>
      </c>
      <c r="BM28" s="186">
        <f t="shared" ca="1" si="13"/>
        <v>0.88552534039612929</v>
      </c>
      <c r="BN28" s="193">
        <f t="shared" ca="1" si="18"/>
        <v>2.2780008664346854</v>
      </c>
      <c r="BO28">
        <v>2045</v>
      </c>
      <c r="BP28" s="89">
        <f t="shared" ca="1" si="33"/>
        <v>2.2780008664346854</v>
      </c>
      <c r="BQ28">
        <v>2045</v>
      </c>
      <c r="BR28" s="20">
        <f t="shared" ca="1" si="19"/>
        <v>31069.196294071488</v>
      </c>
      <c r="BS28" s="20">
        <f t="shared" ref="BS28" ca="1" si="40">SUM(BR24:BR28)</f>
        <v>161005.73036544526</v>
      </c>
      <c r="BT28" s="20"/>
      <c r="BU28" s="20"/>
      <c r="BV28" s="13">
        <v>0.6434619725072005</v>
      </c>
      <c r="BW28" s="20">
        <f t="shared" ca="1" si="34"/>
        <v>24681.846649559302</v>
      </c>
      <c r="BX28" s="20">
        <f t="shared" ref="BX28" ca="1" si="41">SUM(BW24:BW28)</f>
        <v>123711.57930660338</v>
      </c>
    </row>
    <row r="29" spans="1:76" x14ac:dyDescent="0.25">
      <c r="D29" t="s">
        <v>17</v>
      </c>
      <c r="E29" t="s">
        <v>164</v>
      </c>
      <c r="F29" t="s">
        <v>165</v>
      </c>
      <c r="G29" t="s">
        <v>166</v>
      </c>
      <c r="H29" t="s">
        <v>167</v>
      </c>
      <c r="I29" t="s">
        <v>168</v>
      </c>
      <c r="K29" s="19">
        <v>2046</v>
      </c>
      <c r="L29" s="127">
        <v>24966.163939883983</v>
      </c>
      <c r="M29" s="127">
        <f>IF($B$3="CPR/Demo average",AVERAGE(L29,Prices!BN31),IF($B$3="CPR zero price",L29,Prices!BN31))</f>
        <v>24966.163939883983</v>
      </c>
      <c r="N29" s="20">
        <v>0</v>
      </c>
      <c r="O29" s="20">
        <v>33062.180631633593</v>
      </c>
      <c r="P29" s="89">
        <v>-1126.658329320222</v>
      </c>
      <c r="Q29" s="20">
        <f t="shared" si="4"/>
        <v>24966.163939883983</v>
      </c>
      <c r="R29" s="20">
        <f>Prices!$BC31</f>
        <v>27015.177520324236</v>
      </c>
      <c r="S29" s="18">
        <f>IF($B$5="Status quo",'Govt supply'!F27,'Govt supply'!N27)</f>
        <v>118.41519066759635</v>
      </c>
      <c r="T29" s="18">
        <f>IF($B$5="Status quo",'Govt supply'!G27,'Govt supply'!O27)</f>
        <v>341.4304664249027</v>
      </c>
      <c r="U29" s="20">
        <f>IF($B$5="Status quo",'Govt supply'!C27,'Govt supply'!K27)*1000</f>
        <v>0</v>
      </c>
      <c r="V29" s="18">
        <f>IF($B$5="Status quo",'Govt supply'!H27,'Govt supply'!P27)</f>
        <v>426.29468640334682</v>
      </c>
      <c r="W29" s="20">
        <f>IF($B$5="Status quo",'Govt supply'!D27,'Govt supply'!L27)*1000</f>
        <v>0</v>
      </c>
      <c r="X29" s="18">
        <f ca="1">OFFSET(Prices!$B31,0,$C$4+1)</f>
        <v>55.549607970638938</v>
      </c>
      <c r="Y29" s="20">
        <f t="shared" ca="1" si="37"/>
        <v>0</v>
      </c>
      <c r="Z29" s="18">
        <f ca="1">IF(Y29=1,OFFSET(X29,MATCH(0,$Y29:$Y$33,0)-1,0)/((1+$B$27)^(MATCH(0,$Y29:$Y$33,0)-1)),X29)</f>
        <v>55.549607970638938</v>
      </c>
      <c r="AA29" s="18"/>
      <c r="AB29" s="20">
        <f ca="1">OFFSET('Industrial Allocation'!$C$62,0,ROW()-ROW($AB$6))</f>
        <v>1887.2810204355719</v>
      </c>
      <c r="AC29" s="20">
        <f ca="1">IF(X29&lt;S29,0,IF($B$5="Status quo",'Govt supply'!E27,'Govt supply'!M27)*1000)</f>
        <v>0</v>
      </c>
      <c r="AD29" s="20">
        <f t="shared" ca="1" si="20"/>
        <v>0</v>
      </c>
      <c r="AE29" s="32">
        <f t="shared" ca="1" si="0"/>
        <v>1887.2810204355719</v>
      </c>
      <c r="AF29" s="20">
        <f t="shared" ca="1" si="5"/>
        <v>23078.882919448413</v>
      </c>
      <c r="AG29" s="18">
        <f ca="1">(X29+IF($B$41&gt;0,NPV($B$40,X30:OFFSET(X29,$B$41,0)),0))/(1+PV($B$40,($B$41),-1))</f>
        <v>51.396134548028634</v>
      </c>
      <c r="AH29" s="13">
        <v>1</v>
      </c>
      <c r="AI29" s="20">
        <f t="shared" ca="1" si="21"/>
        <v>23353.945414675643</v>
      </c>
      <c r="AJ29" s="20">
        <f ca="1">INDEX(Removals!$G$3:$G$33,MATCH($K29,Removals!$A$3:$A$33,0))*1000</f>
        <v>16015.282058222119</v>
      </c>
      <c r="AK29" s="20">
        <f ca="1">INDEX(Removals!$G$3:$G$33,MATCH($K29,Removals!$A$3:$A$33,0))*1000</f>
        <v>16015.282058222119</v>
      </c>
      <c r="AL29" s="20">
        <f t="shared" ca="1" si="22"/>
        <v>16015.282058222119</v>
      </c>
      <c r="AM29" s="20">
        <f t="shared" ca="1" si="6"/>
        <v>7338.6633564535241</v>
      </c>
      <c r="AN29" s="20">
        <v>0</v>
      </c>
      <c r="AO29" s="32">
        <f t="shared" ca="1" si="29"/>
        <v>0</v>
      </c>
      <c r="AP29" s="18">
        <f ca="1">(X29+IF($B$39&gt;0,NPV($B$38,X30:OFFSET(X29,$B$39,0)),0))/(1+PV($B$38,($B$39),-1))/Model!$B$47</f>
        <v>43.444826349102982</v>
      </c>
      <c r="AQ29" s="20">
        <f t="shared" ca="1" si="30"/>
        <v>4219.0201986345619</v>
      </c>
      <c r="AR29" s="20">
        <f t="shared" ca="1" si="31"/>
        <v>1612.2185252083409</v>
      </c>
      <c r="AS29" s="32">
        <f ca="1">IF($C$4&lt;&gt;11,IF($B$10="ENZ",AR29,AQ29),Prices!BN31-OFFSET(Prices!$BB31,0,$C$4))</f>
        <v>1612.2185252083409</v>
      </c>
      <c r="AT29" s="32">
        <f t="shared" ca="1" si="16"/>
        <v>17902.563078657691</v>
      </c>
      <c r="AU29" s="32">
        <f t="shared" ca="1" si="23"/>
        <v>23353.945414675643</v>
      </c>
      <c r="AV29" s="32"/>
      <c r="AW29" s="32">
        <f t="shared" ca="1" si="17"/>
        <v>0</v>
      </c>
      <c r="AX29" s="32">
        <f t="shared" ca="1" si="25"/>
        <v>-5451.3823360179522</v>
      </c>
      <c r="AY29" s="32">
        <f t="shared" ca="1" si="26"/>
        <v>0</v>
      </c>
      <c r="AZ29" s="32">
        <f t="shared" ca="1" si="27"/>
        <v>0</v>
      </c>
      <c r="BA29" s="32">
        <f t="shared" ca="1" si="28"/>
        <v>5451.3823360179522</v>
      </c>
      <c r="BB29" s="32">
        <f t="shared" ca="1" si="24"/>
        <v>5451.3823360179522</v>
      </c>
      <c r="BC29" s="32">
        <f ca="1">MAX(0,MIN(BB29+AO29,$BF$5+SUM(BA$5:BA28)-(SUM(BC$6:BC28))))</f>
        <v>5451.3823360179522</v>
      </c>
      <c r="BD29" s="32">
        <f t="shared" ca="1" si="8"/>
        <v>0</v>
      </c>
      <c r="BE29" s="32">
        <f t="shared" ca="1" si="9"/>
        <v>0</v>
      </c>
      <c r="BF29" s="32">
        <f t="shared" ca="1" si="32"/>
        <v>0</v>
      </c>
      <c r="BG29" s="32">
        <f ca="1">MAX(0,BG28+(Removals!D29+Removals!H29)*1000-BA29)+AW29</f>
        <v>53130.493559979426</v>
      </c>
      <c r="BH29" s="32">
        <f t="shared" ca="1" si="10"/>
        <v>53130.493559979426</v>
      </c>
      <c r="BI29" s="32">
        <f t="shared" ca="1" si="2"/>
        <v>20747.14374124942</v>
      </c>
      <c r="BJ29" s="32">
        <f t="shared" ca="1" si="3"/>
        <v>23353.945414675643</v>
      </c>
      <c r="BK29" s="32">
        <f t="shared" ca="1" si="11"/>
        <v>0</v>
      </c>
      <c r="BL29" s="32">
        <f t="shared" ca="1" si="12"/>
        <v>53.130493559979428</v>
      </c>
      <c r="BM29" s="186">
        <f t="shared" ca="1" si="13"/>
        <v>0.89458040102171354</v>
      </c>
      <c r="BN29" s="193">
        <f t="shared" ca="1" si="18"/>
        <v>2.2750114645122093</v>
      </c>
      <c r="BO29">
        <v>2046</v>
      </c>
      <c r="BP29" s="89">
        <f t="shared" ca="1" si="33"/>
        <v>2.2750114645122093</v>
      </c>
      <c r="BQ29">
        <v>2046</v>
      </c>
      <c r="BR29" s="20">
        <f t="shared" ca="1" si="19"/>
        <v>31823.187679394912</v>
      </c>
      <c r="BS29" s="20"/>
      <c r="BT29" s="20"/>
      <c r="BU29" s="20"/>
      <c r="BV29" s="13">
        <v>0.68248065021660331</v>
      </c>
      <c r="BW29" s="20">
        <f t="shared" ca="1" si="34"/>
        <v>23466.280037594101</v>
      </c>
      <c r="BX29" s="20"/>
    </row>
    <row r="30" spans="1:76" x14ac:dyDescent="0.25">
      <c r="A30" s="121" t="s">
        <v>109</v>
      </c>
      <c r="B30" s="121"/>
      <c r="D30">
        <v>1</v>
      </c>
      <c r="E30">
        <v>2</v>
      </c>
      <c r="F30">
        <v>3</v>
      </c>
      <c r="G30">
        <v>4</v>
      </c>
      <c r="H30">
        <v>5</v>
      </c>
      <c r="K30" s="19">
        <v>2047</v>
      </c>
      <c r="L30" s="127">
        <v>24643.983157773051</v>
      </c>
      <c r="M30" s="127">
        <f>IF($B$3="CPR/Demo average",AVERAGE(L30,Prices!BN32),IF($B$3="CPR zero price",L30,Prices!BN32))</f>
        <v>24643.983157773051</v>
      </c>
      <c r="N30" s="20">
        <v>0</v>
      </c>
      <c r="O30" s="20">
        <v>33025.785221620841</v>
      </c>
      <c r="P30" s="89">
        <v>-1333.6356688956193</v>
      </c>
      <c r="Q30" s="20">
        <f t="shared" si="4"/>
        <v>24643.983157773051</v>
      </c>
      <c r="R30" s="20">
        <f>Prices!$BC32</f>
        <v>26270.218573061793</v>
      </c>
      <c r="S30" s="18">
        <f>IF($B$5="Status quo",'Govt supply'!F28,'Govt supply'!N28)</f>
        <v>121.96764638762424</v>
      </c>
      <c r="T30" s="18">
        <f>IF($B$5="Status quo",'Govt supply'!G28,'Govt supply'!O28)</f>
        <v>351.67338041764981</v>
      </c>
      <c r="U30" s="20">
        <f>IF($B$5="Status quo",'Govt supply'!C28,'Govt supply'!K28)*1000</f>
        <v>0</v>
      </c>
      <c r="V30" s="18">
        <f>IF($B$5="Status quo",'Govt supply'!H28,'Govt supply'!P28)</f>
        <v>439.08352699544724</v>
      </c>
      <c r="W30" s="20">
        <f>IF($B$5="Status quo",'Govt supply'!D28,'Govt supply'!L28)*1000</f>
        <v>0</v>
      </c>
      <c r="X30" s="18">
        <f ca="1">OFFSET(Prices!$B32,0,$C$4+1)</f>
        <v>54.188642575358287</v>
      </c>
      <c r="Y30" s="20">
        <f t="shared" ca="1" si="37"/>
        <v>0</v>
      </c>
      <c r="Z30" s="18">
        <f ca="1">IF(Y30=1,OFFSET(X30,MATCH(0,$Y30:$Y$33,0)-1,0)/((1+$B$27)^(MATCH(0,$Y30:$Y$33,0)-1)),X30)</f>
        <v>54.188642575358287</v>
      </c>
      <c r="AA30" s="18"/>
      <c r="AB30" s="20">
        <f ca="1">OFFSET('Industrial Allocation'!$C$62,0,ROW()-ROW($AB$6))</f>
        <v>1721.46771446461</v>
      </c>
      <c r="AC30" s="20">
        <f ca="1">IF(X30&lt;S30,0,IF($B$5="Status quo",'Govt supply'!E28,'Govt supply'!M28)*1000)</f>
        <v>0</v>
      </c>
      <c r="AD30" s="20">
        <f t="shared" ca="1" si="20"/>
        <v>0</v>
      </c>
      <c r="AE30" s="32">
        <f t="shared" ca="1" si="0"/>
        <v>1721.46771446461</v>
      </c>
      <c r="AF30" s="20">
        <f t="shared" ca="1" si="5"/>
        <v>22922.515443308443</v>
      </c>
      <c r="AG30" s="18">
        <f ca="1">(X30+IF($B$41&gt;0,NPV($B$40,X31:OFFSET(X30,$B$41,0)),0))/(1+PV($B$40,($B$41),-1))</f>
        <v>50.880847962587239</v>
      </c>
      <c r="AH30" s="13">
        <v>1</v>
      </c>
      <c r="AI30" s="20">
        <f t="shared" ca="1" si="21"/>
        <v>23048.648156860301</v>
      </c>
      <c r="AJ30" s="20">
        <f ca="1">INDEX(Removals!$G$3:$G$33,MATCH($K30,Removals!$A$3:$A$33,0))*1000</f>
        <v>16161.700778430386</v>
      </c>
      <c r="AK30" s="20">
        <f ca="1">INDEX(Removals!$G$3:$G$33,MATCH($K30,Removals!$A$3:$A$33,0))*1000</f>
        <v>16161.700778430386</v>
      </c>
      <c r="AL30" s="20">
        <f t="shared" ca="1" si="22"/>
        <v>16161.700778430386</v>
      </c>
      <c r="AM30" s="20">
        <f t="shared" ca="1" si="6"/>
        <v>6886.9473784299153</v>
      </c>
      <c r="AN30" s="20">
        <v>0</v>
      </c>
      <c r="AO30" s="32">
        <f t="shared" ca="1" si="29"/>
        <v>0</v>
      </c>
      <c r="AP30" s="18">
        <f ca="1">(X30+IF($B$39&gt;0,NPV($B$38,X31:OFFSET(X30,$B$39,0)),0))/(1+PV($B$38,($B$39),-1))/Model!$B$47</f>
        <v>42.948363198791618</v>
      </c>
      <c r="AQ30" s="20">
        <f t="shared" ca="1" si="30"/>
        <v>4238.6856597083442</v>
      </c>
      <c r="AR30" s="20">
        <f t="shared" ca="1" si="31"/>
        <v>1595.3350009127512</v>
      </c>
      <c r="AS30" s="32">
        <f ca="1">IF($C$4&lt;&gt;11,IF($B$10="ENZ",AR30,AQ30),Prices!BN32-OFFSET(Prices!$BB32,0,$C$4))</f>
        <v>1595.3350009127512</v>
      </c>
      <c r="AT30" s="32">
        <f t="shared" ca="1" si="16"/>
        <v>17883.168492894994</v>
      </c>
      <c r="AU30" s="32">
        <f t="shared" ca="1" si="23"/>
        <v>23048.648156860301</v>
      </c>
      <c r="AV30" s="32"/>
      <c r="AW30" s="32">
        <f t="shared" ca="1" si="17"/>
        <v>0</v>
      </c>
      <c r="AX30" s="32">
        <f t="shared" ca="1" si="25"/>
        <v>-5165.4796639653068</v>
      </c>
      <c r="AY30" s="32">
        <f t="shared" ca="1" si="26"/>
        <v>0</v>
      </c>
      <c r="AZ30" s="32">
        <f t="shared" ca="1" si="27"/>
        <v>0</v>
      </c>
      <c r="BA30" s="32">
        <f t="shared" ca="1" si="28"/>
        <v>5165.4796639653068</v>
      </c>
      <c r="BB30" s="32">
        <f t="shared" ca="1" si="24"/>
        <v>5165.4796639653068</v>
      </c>
      <c r="BC30" s="32">
        <f ca="1">MAX(0,MIN(BB30+AO30,$BF$5+SUM(BA$5:BA29)-(SUM(BC$6:BC29))))</f>
        <v>5165.4796639653068</v>
      </c>
      <c r="BD30" s="32">
        <f t="shared" ca="1" si="8"/>
        <v>0</v>
      </c>
      <c r="BE30" s="32">
        <f t="shared" ca="1" si="9"/>
        <v>0</v>
      </c>
      <c r="BF30" s="32">
        <f t="shared" ca="1" si="32"/>
        <v>0</v>
      </c>
      <c r="BG30" s="32">
        <f ca="1">MAX(0,BG29+(Removals!D30+Removals!H30)*1000-BA30)+AW30</f>
        <v>50280.984057564514</v>
      </c>
      <c r="BH30" s="32">
        <f t="shared" ca="1" si="10"/>
        <v>50280.984057564514</v>
      </c>
      <c r="BI30" s="32">
        <f t="shared" ca="1" si="2"/>
        <v>20405.297498064705</v>
      </c>
      <c r="BJ30" s="32">
        <f t="shared" ca="1" si="3"/>
        <v>23048.648156860301</v>
      </c>
      <c r="BK30" s="32">
        <f t="shared" ca="1" si="11"/>
        <v>0</v>
      </c>
      <c r="BL30" s="32">
        <f t="shared" ca="1" si="12"/>
        <v>50.280984057564517</v>
      </c>
      <c r="BM30" s="186">
        <f t="shared" ca="1" si="13"/>
        <v>0.90373810350506123</v>
      </c>
      <c r="BN30" s="193">
        <f t="shared" ca="1" si="18"/>
        <v>2.181515536849334</v>
      </c>
      <c r="BO30">
        <v>2047</v>
      </c>
      <c r="BP30" s="89">
        <f t="shared" ca="1" si="33"/>
        <v>2.181515536849334</v>
      </c>
      <c r="BQ30">
        <v>2047</v>
      </c>
      <c r="BR30" s="20">
        <f t="shared" ca="1" si="19"/>
        <v>32539.525799001989</v>
      </c>
      <c r="BS30" s="20"/>
      <c r="BT30" s="20"/>
      <c r="BU30" s="20"/>
      <c r="BV30" s="13">
        <v>0.72796283219818436</v>
      </c>
      <c r="BW30" s="20">
        <f t="shared" ca="1" si="34"/>
        <v>22201.271910583535</v>
      </c>
      <c r="BX30" s="20"/>
    </row>
    <row r="31" spans="1:76" x14ac:dyDescent="0.25">
      <c r="A31" s="4" t="s">
        <v>138</v>
      </c>
      <c r="B31" s="22">
        <f>HLOOKUP($C$17,$D$30:$H$37,2,FALSE)</f>
        <v>491.27474463399471</v>
      </c>
      <c r="D31">
        <f>Prices!DT32</f>
        <v>491.27474463399471</v>
      </c>
      <c r="E31">
        <f>Prices!$DX$32</f>
        <v>396.42981079342081</v>
      </c>
      <c r="F31">
        <f>D31-I31</f>
        <v>443.18702439682511</v>
      </c>
      <c r="G31">
        <f>Prices!$DY$32</f>
        <v>586.11967847456856</v>
      </c>
      <c r="H31">
        <f>D31+I31</f>
        <v>539.36246487116432</v>
      </c>
      <c r="I31">
        <f>Prices!DU32</f>
        <v>48.087720237169613</v>
      </c>
      <c r="K31" s="19">
        <v>2048</v>
      </c>
      <c r="L31" s="127">
        <v>24390.937422627991</v>
      </c>
      <c r="M31" s="127">
        <f>IF($B$3="CPR/Demo average",AVERAGE(L31,Prices!BN33),IF($B$3="CPR zero price",L31,Prices!BN33))</f>
        <v>24390.937422627991</v>
      </c>
      <c r="N31" s="20">
        <v>0</v>
      </c>
      <c r="O31" s="20">
        <v>32990.319017417445</v>
      </c>
      <c r="P31" s="89">
        <v>-1513.599547166255</v>
      </c>
      <c r="Q31" s="20">
        <f t="shared" si="4"/>
        <v>24390.937422627991</v>
      </c>
      <c r="R31" s="20">
        <f>Prices!$BC33</f>
        <v>25523.541235011537</v>
      </c>
      <c r="S31" s="18">
        <f>IF($B$5="Status quo",'Govt supply'!F29,'Govt supply'!N29)</f>
        <v>125.62667577925298</v>
      </c>
      <c r="T31" s="18">
        <f>IF($B$5="Status quo",'Govt supply'!G29,'Govt supply'!O29)</f>
        <v>362.22358183017934</v>
      </c>
      <c r="U31" s="20">
        <f>IF($B$5="Status quo",'Govt supply'!C29,'Govt supply'!K29)*1000</f>
        <v>0</v>
      </c>
      <c r="V31" s="18">
        <f>IF($B$5="Status quo",'Govt supply'!H29,'Govt supply'!P29)</f>
        <v>452.25603280531067</v>
      </c>
      <c r="W31" s="20">
        <f>IF($B$5="Status quo",'Govt supply'!D29,'Govt supply'!L29)*1000</f>
        <v>0</v>
      </c>
      <c r="X31" s="18">
        <f ca="1">OFFSET(Prices!$B33,0,$C$4+1)</f>
        <v>52.861020832262014</v>
      </c>
      <c r="Y31" s="20">
        <f t="shared" ca="1" si="37"/>
        <v>0</v>
      </c>
      <c r="Z31" s="18">
        <f ca="1">IF(Y31=1,OFFSET(X31,MATCH(0,$Y31:$Y$33,0)-1,0)/((1+$B$27)^(MATCH(0,$Y31:$Y$33,0)-1)),X31)</f>
        <v>52.861020832262014</v>
      </c>
      <c r="AA31" s="18"/>
      <c r="AB31" s="20">
        <f ca="1">OFFSET('Industrial Allocation'!$C$62,0,ROW()-ROW($AB$6))</f>
        <v>1555.6544084936475</v>
      </c>
      <c r="AC31" s="20">
        <f ca="1">IF(X31&lt;S31,0,IF($B$5="Status quo",'Govt supply'!E29,'Govt supply'!M29)*1000)</f>
        <v>0</v>
      </c>
      <c r="AD31" s="20">
        <f t="shared" ca="1" si="20"/>
        <v>0</v>
      </c>
      <c r="AE31" s="32">
        <f t="shared" ca="1" si="0"/>
        <v>1555.6544084936475</v>
      </c>
      <c r="AF31" s="20">
        <f t="shared" ca="1" si="5"/>
        <v>22835.283014134344</v>
      </c>
      <c r="AG31" s="18">
        <f ca="1">(X31+IF($B$41&gt;0,NPV($B$40,X32:OFFSET(X31,$B$41,0)),0))/(1+PV($B$40,($B$41),-1))</f>
        <v>50.478096063553544</v>
      </c>
      <c r="AH31" s="13">
        <v>1</v>
      </c>
      <c r="AI31" s="20">
        <f t="shared" ca="1" si="21"/>
        <v>22809.749040803676</v>
      </c>
      <c r="AJ31" s="20">
        <f ca="1">INDEX(Removals!$G$3:$G$33,MATCH($K31,Removals!$A$3:$A$33,0))*1000</f>
        <v>16294.32573361255</v>
      </c>
      <c r="AK31" s="20">
        <f ca="1">INDEX(Removals!$G$3:$G$33,MATCH($K31,Removals!$A$3:$A$33,0))*1000</f>
        <v>16294.32573361255</v>
      </c>
      <c r="AL31" s="20">
        <f t="shared" ca="1" si="22"/>
        <v>16294.32573361255</v>
      </c>
      <c r="AM31" s="20">
        <f t="shared" ca="1" si="6"/>
        <v>6515.4233071911258</v>
      </c>
      <c r="AN31" s="20">
        <v>0</v>
      </c>
      <c r="AO31" s="32">
        <f t="shared" ca="1" si="29"/>
        <v>0</v>
      </c>
      <c r="AP31" s="18">
        <f ca="1">(X31+IF($B$39&gt;0,NPV($B$38,X32:OFFSET(X31,$B$39,0)),0))/(1+PV($B$38,($B$39),-1))/Model!$B$47</f>
        <v>42.565094204833862</v>
      </c>
      <c r="AQ31" s="20">
        <f t="shared" ca="1" si="30"/>
        <v>4255.5383044914824</v>
      </c>
      <c r="AR31" s="20">
        <f t="shared" ca="1" si="31"/>
        <v>1581.1883818243148</v>
      </c>
      <c r="AS31" s="32">
        <f ca="1">IF($C$4&lt;&gt;11,IF($B$10="ENZ",AR31,AQ31),Prices!BN33-OFFSET(Prices!$BB33,0,$C$4))</f>
        <v>1581.1883818243148</v>
      </c>
      <c r="AT31" s="32">
        <f t="shared" ca="1" si="16"/>
        <v>17849.980142106197</v>
      </c>
      <c r="AU31" s="32">
        <f t="shared" ca="1" si="23"/>
        <v>22809.749040803676</v>
      </c>
      <c r="AV31" s="32"/>
      <c r="AW31" s="32">
        <f t="shared" ca="1" si="17"/>
        <v>0</v>
      </c>
      <c r="AX31" s="32">
        <f t="shared" ca="1" si="25"/>
        <v>-4959.768898697479</v>
      </c>
      <c r="AY31" s="32">
        <f t="shared" ca="1" si="26"/>
        <v>0</v>
      </c>
      <c r="AZ31" s="32">
        <f t="shared" ca="1" si="27"/>
        <v>0</v>
      </c>
      <c r="BA31" s="32">
        <f t="shared" ca="1" si="28"/>
        <v>4959.768898697479</v>
      </c>
      <c r="BB31" s="32">
        <f t="shared" ca="1" si="24"/>
        <v>4959.768898697479</v>
      </c>
      <c r="BC31" s="32">
        <f ca="1">MAX(0,MIN(BB31+AO31,$BF$5+SUM(BA$5:BA30)-(SUM(BC$6:BC30))))</f>
        <v>4959.768898697479</v>
      </c>
      <c r="BD31" s="32">
        <f t="shared" ca="1" si="8"/>
        <v>0</v>
      </c>
      <c r="BE31" s="32">
        <f t="shared" ca="1" si="9"/>
        <v>0</v>
      </c>
      <c r="BF31" s="32">
        <f t="shared" ca="1" si="32"/>
        <v>0</v>
      </c>
      <c r="BG31" s="32">
        <f ca="1">MAX(0,BG30+(Removals!D31+Removals!H31)*1000-BA31)+AW31</f>
        <v>47178.790966878412</v>
      </c>
      <c r="BH31" s="32">
        <f t="shared" ca="1" si="10"/>
        <v>47178.790966878412</v>
      </c>
      <c r="BI31" s="32">
        <f t="shared" ca="1" si="2"/>
        <v>20135.399118136509</v>
      </c>
      <c r="BJ31" s="32">
        <f t="shared" ca="1" si="3"/>
        <v>22809.749040803676</v>
      </c>
      <c r="BK31" s="32">
        <f t="shared" ca="1" si="11"/>
        <v>0</v>
      </c>
      <c r="BL31" s="32">
        <f t="shared" ca="1" si="12"/>
        <v>47.17879096687841</v>
      </c>
      <c r="BM31" s="186">
        <f t="shared" ca="1" si="13"/>
        <v>0.91284839556633324</v>
      </c>
      <c r="BN31" s="193">
        <f t="shared" ca="1" si="18"/>
        <v>2.0683608084631571</v>
      </c>
      <c r="BO31">
        <v>2048</v>
      </c>
      <c r="BP31" s="89">
        <f t="shared" ca="1" si="33"/>
        <v>2.0683608084631571</v>
      </c>
      <c r="BQ31">
        <v>2048</v>
      </c>
      <c r="BR31" s="20">
        <f t="shared" ca="1" si="19"/>
        <v>32859.862001821894</v>
      </c>
      <c r="BS31" s="20"/>
      <c r="BT31" s="20"/>
      <c r="BU31" s="20"/>
      <c r="BV31" s="13">
        <v>0.76047159995172997</v>
      </c>
      <c r="BW31" s="20">
        <f t="shared" ca="1" si="34"/>
        <v>21426.60650923297</v>
      </c>
      <c r="BX31" s="20"/>
    </row>
    <row r="32" spans="1:76" x14ac:dyDescent="0.25">
      <c r="A32" s="4" t="s">
        <v>169</v>
      </c>
      <c r="B32" s="22">
        <f>HLOOKUP($C$17,$D$30:$H$37,3,FALSE)</f>
        <v>0.87749563505492534</v>
      </c>
      <c r="D32">
        <f>Prices!DT33</f>
        <v>0.87749563505492534</v>
      </c>
      <c r="E32">
        <f>Prices!$DX$33</f>
        <v>0.84587248155316208</v>
      </c>
      <c r="F32">
        <f t="shared" ref="F32:F33" si="42">D32-I32</f>
        <v>0.86146224985413011</v>
      </c>
      <c r="G32">
        <f>Prices!$DY$33</f>
        <v>0.9091187885566886</v>
      </c>
      <c r="H32">
        <f t="shared" ref="H32:H33" si="43">D32+I32</f>
        <v>0.89352902025572056</v>
      </c>
      <c r="I32">
        <f>Prices!DU33</f>
        <v>1.6033385200795253E-2</v>
      </c>
      <c r="K32" s="19">
        <v>2049</v>
      </c>
      <c r="L32" s="127">
        <v>24089.380959919028</v>
      </c>
      <c r="M32" s="127">
        <f>IF($B$3="CPR/Demo average",AVERAGE(L32,Prices!BN34),IF($B$3="CPR zero price",L32,Prices!BN34))</f>
        <v>24089.380959919028</v>
      </c>
      <c r="N32" s="20">
        <v>0</v>
      </c>
      <c r="O32" s="20">
        <v>32933.588799488512</v>
      </c>
      <c r="P32" s="89">
        <v>-1662.8289228320846</v>
      </c>
      <c r="Q32" s="20">
        <f t="shared" si="4"/>
        <v>24089.380959919028</v>
      </c>
      <c r="R32" s="20">
        <f>Prices!$BC34</f>
        <v>24725.371579114108</v>
      </c>
      <c r="S32" s="18">
        <f>IF($B$5="Status quo",'Govt supply'!F30,'Govt supply'!N30)</f>
        <v>129.39547605263056</v>
      </c>
      <c r="T32" s="18">
        <f>IF($B$5="Status quo",'Govt supply'!G30,'Govt supply'!O30)</f>
        <v>373.09028928508474</v>
      </c>
      <c r="U32" s="20">
        <f>IF($B$5="Status quo",'Govt supply'!C30,'Govt supply'!K30)*1000</f>
        <v>0</v>
      </c>
      <c r="V32" s="18">
        <f>IF($B$5="Status quo",'Govt supply'!H30,'Govt supply'!P30)</f>
        <v>465.82371378946999</v>
      </c>
      <c r="W32" s="20">
        <f>IF($B$5="Status quo",'Govt supply'!D30,'Govt supply'!L30)*1000</f>
        <v>0</v>
      </c>
      <c r="X32" s="18">
        <f ca="1">OFFSET(Prices!$B34,0,$C$4+1)</f>
        <v>51.565925821871595</v>
      </c>
      <c r="Y32" s="20">
        <f t="shared" ca="1" si="37"/>
        <v>0</v>
      </c>
      <c r="Z32" s="18">
        <f ca="1">IF(Y32=1,OFFSET(X32,MATCH(0,$Y32:$Y$33,0)-1,0)/((1+$B$27)^(MATCH(0,$Y32:$Y$33,0)-1)),X32)</f>
        <v>51.565925821871595</v>
      </c>
      <c r="AA32" s="18"/>
      <c r="AB32" s="20">
        <f ca="1">OFFSET('Industrial Allocation'!$C$62,0,ROW()-ROW($AB$6))</f>
        <v>1389.8411025226862</v>
      </c>
      <c r="AC32" s="20">
        <f ca="1">IF(X32&lt;S32,0,IF($B$5="Status quo",'Govt supply'!E30,'Govt supply'!M30)*1000)</f>
        <v>0</v>
      </c>
      <c r="AD32" s="20">
        <f t="shared" ca="1" si="20"/>
        <v>0</v>
      </c>
      <c r="AE32" s="32">
        <f t="shared" ca="1" si="0"/>
        <v>1389.8411025226862</v>
      </c>
      <c r="AF32" s="20">
        <f t="shared" ca="1" si="5"/>
        <v>22699.539857396343</v>
      </c>
      <c r="AG32" s="18">
        <f ca="1">(X32+IF($B$41&gt;0,NPV($B$40,X33:OFFSET(X32,$B$41,0)),0))/(1+PV($B$40,($B$41),-1))</f>
        <v>50.193114564315721</v>
      </c>
      <c r="AH32" s="13">
        <v>1</v>
      </c>
      <c r="AI32" s="20">
        <f t="shared" ca="1" si="21"/>
        <v>22519.507750277153</v>
      </c>
      <c r="AJ32" s="20">
        <f ca="1">INDEX(Removals!$G$3:$G$33,MATCH($K32,Removals!$A$3:$A$33,0))*1000</f>
        <v>16437.615463454007</v>
      </c>
      <c r="AK32" s="20">
        <f ca="1">INDEX(Removals!$G$3:$G$33,MATCH($K32,Removals!$A$3:$A$33,0))*1000</f>
        <v>16437.615463454007</v>
      </c>
      <c r="AL32" s="20">
        <f t="shared" ca="1" si="22"/>
        <v>16437.615463454007</v>
      </c>
      <c r="AM32" s="20">
        <f t="shared" ca="1" si="6"/>
        <v>6081.8922868231457</v>
      </c>
      <c r="AN32" s="20">
        <v>0</v>
      </c>
      <c r="AO32" s="32">
        <f t="shared" ca="1" si="29"/>
        <v>0</v>
      </c>
      <c r="AP32" s="18">
        <f ca="1">(X32+IF($B$39&gt;0,NPV($B$38,X33:OFFSET(X32,$B$39,0)),0))/(1+PV($B$38,($B$39),-1))/Model!$B$47</f>
        <v>42.297297650857615</v>
      </c>
      <c r="AQ32" s="20">
        <f t="shared" ca="1" si="30"/>
        <v>4270.0443466684046</v>
      </c>
      <c r="AR32" s="20">
        <f t="shared" ca="1" si="31"/>
        <v>1569.8732096418746</v>
      </c>
      <c r="AS32" s="32">
        <f ca="1">IF($C$4&lt;&gt;11,IF($B$10="ENZ",AR32,AQ32),Prices!BN34-OFFSET(Prices!$BB34,0,$C$4))</f>
        <v>1569.8732096418746</v>
      </c>
      <c r="AT32" s="32">
        <f t="shared" ca="1" si="16"/>
        <v>17827.456565976692</v>
      </c>
      <c r="AU32" s="32">
        <f t="shared" ca="1" si="23"/>
        <v>22519.507750277153</v>
      </c>
      <c r="AV32" s="32"/>
      <c r="AW32" s="32">
        <f t="shared" ca="1" si="17"/>
        <v>0</v>
      </c>
      <c r="AX32" s="32">
        <f t="shared" ca="1" si="25"/>
        <v>-4692.0511843004606</v>
      </c>
      <c r="AY32" s="32">
        <f t="shared" ca="1" si="26"/>
        <v>0</v>
      </c>
      <c r="AZ32" s="32">
        <f t="shared" ca="1" si="27"/>
        <v>0</v>
      </c>
      <c r="BA32" s="32">
        <f t="shared" ca="1" si="28"/>
        <v>4692.0511843004606</v>
      </c>
      <c r="BB32" s="32">
        <f t="shared" ca="1" si="24"/>
        <v>4692.0511843004606</v>
      </c>
      <c r="BC32" s="32">
        <f ca="1">MAX(0,MIN(BB32+AO32,$BF$5+SUM(BA$5:BA31)-(SUM(BC$6:BC31))))</f>
        <v>4692.0511843004606</v>
      </c>
      <c r="BD32" s="32">
        <f t="shared" ca="1" si="8"/>
        <v>0</v>
      </c>
      <c r="BE32" s="32">
        <f t="shared" ca="1" si="9"/>
        <v>0</v>
      </c>
      <c r="BF32" s="32">
        <f t="shared" ca="1" si="32"/>
        <v>0</v>
      </c>
      <c r="BG32" s="32">
        <f ca="1">MAX(0,BG31+(Removals!D32+Removals!H32)*1000-BA32)+AW32</f>
        <v>42621.824592330013</v>
      </c>
      <c r="BH32" s="32">
        <f t="shared" ca="1" si="10"/>
        <v>42621.824592330013</v>
      </c>
      <c r="BI32" s="32">
        <f t="shared" ca="1" si="2"/>
        <v>19819.336613250623</v>
      </c>
      <c r="BJ32" s="32">
        <f t="shared" ca="1" si="3"/>
        <v>22519.507750277153</v>
      </c>
      <c r="BK32" s="32">
        <f t="shared" ca="1" si="11"/>
        <v>0</v>
      </c>
      <c r="BL32" s="32">
        <f t="shared" ca="1" si="12"/>
        <v>42.621824592330015</v>
      </c>
      <c r="BM32" s="186">
        <f t="shared" ca="1" si="13"/>
        <v>0.92203929386230188</v>
      </c>
      <c r="BN32" s="193">
        <f t="shared" ca="1" si="18"/>
        <v>1.8926623558992073</v>
      </c>
      <c r="BO32">
        <v>2049</v>
      </c>
      <c r="BP32" s="89">
        <f t="shared" ca="1" si="33"/>
        <v>1.8926623558992073</v>
      </c>
      <c r="BQ32">
        <v>2049</v>
      </c>
      <c r="BR32" s="20">
        <f t="shared" ca="1" si="19"/>
        <v>32228.484864162132</v>
      </c>
      <c r="BS32" s="20"/>
      <c r="BT32" s="20"/>
      <c r="BU32" s="20"/>
      <c r="BV32" s="13">
        <v>0.76234955357379719</v>
      </c>
      <c r="BW32" s="20">
        <f t="shared" ca="1" si="34"/>
        <v>21561.782762771447</v>
      </c>
      <c r="BX32" s="20"/>
    </row>
    <row r="33" spans="1:76" x14ac:dyDescent="0.25">
      <c r="A33" s="4" t="s">
        <v>170</v>
      </c>
      <c r="B33" s="22">
        <f>HLOOKUP($C$17,$D$30:$H$37,4,FALSE)</f>
        <v>1.0533371517457484</v>
      </c>
      <c r="D33">
        <f>Prices!DT34</f>
        <v>1.0533371517457484</v>
      </c>
      <c r="E33">
        <f>Prices!$DX$34</f>
        <v>0.52492691157783777</v>
      </c>
      <c r="F33">
        <f t="shared" si="42"/>
        <v>0.7854257012262913</v>
      </c>
      <c r="G33">
        <f>Prices!$DY$34</f>
        <v>1.5817473919136589</v>
      </c>
      <c r="H33">
        <f t="shared" si="43"/>
        <v>1.3212486022652055</v>
      </c>
      <c r="I33">
        <f>Prices!DU34</f>
        <v>0.26791145051945703</v>
      </c>
      <c r="K33" s="19">
        <v>2050</v>
      </c>
      <c r="L33" s="127">
        <v>23832.888740920491</v>
      </c>
      <c r="M33" s="127">
        <f>IF($B$3="CPR/Demo average",AVERAGE(L33,Prices!BN35),IF($B$3="CPR zero price",L33,Prices!BN35))</f>
        <v>23832.888740920491</v>
      </c>
      <c r="N33" s="20">
        <v>0</v>
      </c>
      <c r="O33" s="20">
        <v>32870.711306229125</v>
      </c>
      <c r="P33" s="89">
        <v>-1733.708440918504</v>
      </c>
      <c r="Q33" s="20">
        <f t="shared" si="4"/>
        <v>23832.888740920491</v>
      </c>
      <c r="R33" s="20">
        <f>Prices!$BC35</f>
        <v>24058.122866562899</v>
      </c>
      <c r="S33" s="18">
        <f>IF($B$5="Status quo",'Govt supply'!F31,'Govt supply'!N31)</f>
        <v>133.27734033420947</v>
      </c>
      <c r="T33" s="18">
        <f>IF($B$5="Status quo",'Govt supply'!G31,'Govt supply'!O31)</f>
        <v>384.28299796363729</v>
      </c>
      <c r="U33" s="20">
        <f>IF($B$5="Status quo",'Govt supply'!C31,'Govt supply'!K31)*1000</f>
        <v>0</v>
      </c>
      <c r="V33" s="18">
        <f>IF($B$5="Status quo",'Govt supply'!H31,'Govt supply'!P31)</f>
        <v>479.79842520315412</v>
      </c>
      <c r="W33" s="20">
        <f>IF($B$5="Status quo",'Govt supply'!D31,'Govt supply'!L31)*1000</f>
        <v>0</v>
      </c>
      <c r="X33" s="18">
        <f ca="1">OFFSET(Prices!$B35,0,$C$4+1)</f>
        <v>50.302560639235743</v>
      </c>
      <c r="Y33" s="20">
        <f t="shared" ca="1" si="37"/>
        <v>0</v>
      </c>
      <c r="Z33" s="18">
        <f ca="1">IF(Y33=1,OFFSET(X33,MATCH(0,$Y$33:$Y33,0)-1,0)/((1+$B$27)^(MATCH(0,$Y$33:$Y33,0)-1)),X33)</f>
        <v>50.302560639235743</v>
      </c>
      <c r="AA33" s="18"/>
      <c r="AB33" s="20">
        <f ca="1">OFFSET('Industrial Allocation'!$C$62,0,ROW()-ROW($AB$6))</f>
        <v>1224.0277965517241</v>
      </c>
      <c r="AC33" s="20">
        <f ca="1">IF(X33&lt;S33,0,IF($B$5="Status quo",'Govt supply'!E31,'Govt supply'!M31)*1000)</f>
        <v>0</v>
      </c>
      <c r="AD33" s="20">
        <f t="shared" ca="1" si="20"/>
        <v>0</v>
      </c>
      <c r="AE33" s="32">
        <f t="shared" ca="1" si="0"/>
        <v>1224.0277965517241</v>
      </c>
      <c r="AF33" s="20">
        <f t="shared" ca="1" si="5"/>
        <v>22608.860944368767</v>
      </c>
      <c r="AG33" s="18">
        <f ca="1">(X33+IF($B$41&gt;0,NPV($B$40,X34:OFFSET(X33,$B$41,0)),0))/(1+PV($B$40,($B$41),-1))</f>
        <v>50.031650328340355</v>
      </c>
      <c r="AH33" s="13">
        <v>1</v>
      </c>
      <c r="AI33" s="20">
        <f t="shared" ca="1" si="21"/>
        <v>22271.411166192418</v>
      </c>
      <c r="AJ33" s="20">
        <f ca="1">INDEX(Removals!$G$3:$G$33,MATCH($K33,Removals!$A$3:$A$33,0))*1000</f>
        <v>16584.731147867849</v>
      </c>
      <c r="AK33" s="20">
        <f ca="1">INDEX(Removals!$G$3:$G$33,MATCH($K33,Removals!$A$3:$A$33,0))*1000</f>
        <v>16584.731147867849</v>
      </c>
      <c r="AL33" s="20">
        <f t="shared" ca="1" si="22"/>
        <v>16584.731147867849</v>
      </c>
      <c r="AM33" s="20">
        <f t="shared" ca="1" si="6"/>
        <v>5686.6800183245687</v>
      </c>
      <c r="AN33" s="20">
        <v>0</v>
      </c>
      <c r="AO33" s="32">
        <f t="shared" ca="1" si="29"/>
        <v>0</v>
      </c>
      <c r="AP33" s="18">
        <f ca="1">(X33+IF($B$39&gt;0,NPV($B$38,X34:OFFSET(X33,$B$39,0)),0))/(1+PV($B$38,($B$39),-1))/Model!$B$47</f>
        <v>42.147448579564795</v>
      </c>
      <c r="AQ33" s="20">
        <f t="shared" ca="1" si="30"/>
        <v>4282.6154937666297</v>
      </c>
      <c r="AR33" s="20">
        <f t="shared" ca="1" si="31"/>
        <v>1561.4775747280717</v>
      </c>
      <c r="AS33" s="32">
        <f ca="1">IF($C$4&lt;&gt;11,IF($B$10="ENZ",AR33,AQ33),Prices!BN35-OFFSET(Prices!$BB35,0,$C$4))</f>
        <v>1561.4775747280717</v>
      </c>
      <c r="AT33" s="32">
        <f t="shared" ca="1" si="16"/>
        <v>17808.758944419573</v>
      </c>
      <c r="AU33" s="32">
        <f t="shared" ca="1" si="23"/>
        <v>22271.411166192418</v>
      </c>
      <c r="AV33" s="32"/>
      <c r="AW33" s="32">
        <f t="shared" ca="1" si="17"/>
        <v>0</v>
      </c>
      <c r="AX33" s="32">
        <f t="shared" ca="1" si="25"/>
        <v>-4462.6522217728452</v>
      </c>
      <c r="AY33" s="32">
        <f t="shared" ca="1" si="26"/>
        <v>0</v>
      </c>
      <c r="AZ33" s="32">
        <f t="shared" ca="1" si="27"/>
        <v>0</v>
      </c>
      <c r="BA33" s="32">
        <f t="shared" ca="1" si="28"/>
        <v>4462.6522217728452</v>
      </c>
      <c r="BB33" s="32">
        <f t="shared" ca="1" si="24"/>
        <v>4462.6522217728452</v>
      </c>
      <c r="BC33" s="32">
        <f ca="1">MAX(0,MIN(BB33+AO33,$BF$5+SUM(BA$5:BA32)-(SUM(BC$6:BC32))))</f>
        <v>4462.6522217728452</v>
      </c>
      <c r="BD33" s="32">
        <f t="shared" ca="1" si="8"/>
        <v>0</v>
      </c>
      <c r="BE33" s="32">
        <f t="shared" ca="1" si="9"/>
        <v>0</v>
      </c>
      <c r="BF33" s="32">
        <f t="shared" ca="1" si="32"/>
        <v>0</v>
      </c>
      <c r="BG33" s="32">
        <f ca="1">MAX(0,BG32+(Removals!D33+Removals!H33)*1000-BA33)+AW33</f>
        <v>37575.368275598754</v>
      </c>
      <c r="BH33" s="32">
        <f t="shared" ca="1" si="10"/>
        <v>37575.368275598754</v>
      </c>
      <c r="BI33" s="32">
        <f t="shared" ca="1" si="2"/>
        <v>19550.273247153862</v>
      </c>
      <c r="BJ33" s="32">
        <f t="shared" ca="1" si="3"/>
        <v>22271.411166192418</v>
      </c>
      <c r="BK33" s="32">
        <f t="shared" ca="1" si="11"/>
        <v>0</v>
      </c>
      <c r="BL33" s="32">
        <f t="shared" ca="1" si="12"/>
        <v>37.575368275598755</v>
      </c>
      <c r="BM33" s="186">
        <f t="shared" ca="1" si="13"/>
        <v>0.931268214681783</v>
      </c>
      <c r="BN33" s="193">
        <f t="shared" ca="1" si="18"/>
        <v>1.6871570460985181</v>
      </c>
      <c r="BO33">
        <v>2050</v>
      </c>
      <c r="BP33" s="89">
        <f t="shared" ca="1" si="33"/>
        <v>1.6871570460985181</v>
      </c>
      <c r="BQ33">
        <v>2050</v>
      </c>
      <c r="BR33" s="20">
        <f t="shared" ca="1" si="19"/>
        <v>31655.267662028862</v>
      </c>
      <c r="BS33" s="20">
        <f t="shared" ref="BS33" ca="1" si="44">SUM(BR29:BR33)</f>
        <v>161106.32800640981</v>
      </c>
      <c r="BT33" s="20"/>
      <c r="BU33" s="20"/>
      <c r="BV33" s="13">
        <v>0.76240608444307267</v>
      </c>
      <c r="BW33" s="20">
        <f t="shared" ca="1" si="34"/>
        <v>21753.146369474176</v>
      </c>
      <c r="BX33" s="20">
        <f t="shared" ref="BX33" ca="1" si="45">SUM(BW29:BW33)</f>
        <v>110409.08758965624</v>
      </c>
    </row>
    <row r="34" spans="1:76" x14ac:dyDescent="0.25">
      <c r="A34" s="121" t="s">
        <v>110</v>
      </c>
      <c r="B34" s="121"/>
      <c r="D34" s="20"/>
      <c r="U34" s="20"/>
      <c r="V34" s="20"/>
      <c r="W34" s="20"/>
      <c r="X34" s="18">
        <f ca="1">OFFSET(Prices!$B36,0,$C$4+1)</f>
        <v>50</v>
      </c>
      <c r="Y34" s="18"/>
      <c r="Z34" s="18">
        <f ca="1">IF(Y34=1,OFFSET(X34,MATCH(0,$Y$33:$Y34,0)-1,0)/((1+$B$27)^(MATCH(0,$Y$33:$Y34,0)-1)),X34)</f>
        <v>50</v>
      </c>
      <c r="AL34" s="20"/>
      <c r="BC34" s="32"/>
      <c r="BI34" s="32"/>
      <c r="BJ34" s="32"/>
      <c r="BK34" s="32"/>
      <c r="BL34" s="32"/>
      <c r="BM34" s="32"/>
      <c r="BN34" s="193"/>
      <c r="BP34" s="89"/>
      <c r="BQ34" s="20"/>
      <c r="BR34" s="20"/>
      <c r="BS34" s="20"/>
    </row>
    <row r="35" spans="1:76" x14ac:dyDescent="0.25">
      <c r="A35" s="4" t="s">
        <v>138</v>
      </c>
      <c r="B35" s="191">
        <f>HLOOKUP($C$17,$D$30:$H$37,6,FALSE)</f>
        <v>1.8298457519041029</v>
      </c>
      <c r="D35">
        <f>Prices!DT61</f>
        <v>1.8298457519041029</v>
      </c>
      <c r="E35">
        <f>Prices!DX61</f>
        <v>1.6816586825527093</v>
      </c>
      <c r="F35">
        <v>1.7547128160140952</v>
      </c>
      <c r="G35">
        <f>Prices!DY61</f>
        <v>1.9780328212554965</v>
      </c>
      <c r="H35">
        <f>D35+I35</f>
        <v>1.9049786877941106</v>
      </c>
      <c r="I35">
        <f>Prices!DU61</f>
        <v>7.5132935890007718E-2</v>
      </c>
      <c r="Q35" s="18"/>
      <c r="U35" s="20"/>
      <c r="V35" s="20"/>
      <c r="W35" s="20"/>
      <c r="X35" s="18">
        <f ca="1">OFFSET(Prices!$B37,0,$C$4+1)</f>
        <v>50</v>
      </c>
      <c r="Y35" s="18"/>
      <c r="Z35" s="18">
        <f ca="1">IF(Y35=1,OFFSET(X35,MATCH(0,$Y$33:$Y35,0)-1,0)/((1+$B$27)^(MATCH(0,$Y$33:$Y35,0)-1)),X35)</f>
        <v>50</v>
      </c>
      <c r="AI35" s="20"/>
      <c r="AJ35" s="20"/>
      <c r="AL35" s="20"/>
      <c r="AU35" s="20"/>
      <c r="BA35" s="186"/>
      <c r="BC35" s="32"/>
      <c r="BF35" s="32"/>
      <c r="BI35" s="32"/>
      <c r="BJ35" s="32"/>
      <c r="BK35" s="32"/>
      <c r="BL35" s="32"/>
      <c r="BM35" s="32"/>
      <c r="BN35" s="193"/>
      <c r="BP35" s="89"/>
      <c r="BQ35" s="20"/>
      <c r="BR35" s="20"/>
      <c r="BS35" s="20"/>
      <c r="BU35" s="20"/>
    </row>
    <row r="36" spans="1:76" x14ac:dyDescent="0.25">
      <c r="A36" s="4" t="s">
        <v>169</v>
      </c>
      <c r="B36" s="191">
        <f>HLOOKUP($C$17,$D$30:$H$37,7,FALSE)</f>
        <v>0.60914101539490539</v>
      </c>
      <c r="D36">
        <f>Prices!DT62</f>
        <v>0.60914101539490539</v>
      </c>
      <c r="E36">
        <f>Prices!DX62</f>
        <v>0.58571894045535033</v>
      </c>
      <c r="F36">
        <v>0.59726569278715724</v>
      </c>
      <c r="G36">
        <f>Prices!DY62</f>
        <v>0.63256309033446045</v>
      </c>
      <c r="H36">
        <f t="shared" ref="H36:H37" si="46">D36+I36</f>
        <v>0.62101633800265355</v>
      </c>
      <c r="I36">
        <f>Prices!DU62</f>
        <v>1.1875322607748165E-2</v>
      </c>
      <c r="Q36" s="19"/>
      <c r="R36" s="18"/>
      <c r="S36" s="37"/>
      <c r="T36" s="37"/>
      <c r="U36" s="20"/>
      <c r="V36" s="20"/>
      <c r="W36" s="20"/>
      <c r="X36" s="18">
        <f ca="1">OFFSET(Prices!$B38,0,$C$4+1)</f>
        <v>50</v>
      </c>
      <c r="Y36" s="18"/>
      <c r="Z36" s="18">
        <f ca="1">IF(Y36=1,OFFSET(X36,MATCH(0,$Y$33:$Y36,0)-1,0)/((1+$B$27)^(MATCH(0,$Y$33:$Y36,0)-1)),X36)</f>
        <v>50</v>
      </c>
      <c r="AH36" s="20"/>
      <c r="AI36" s="20"/>
      <c r="AJ36" s="20"/>
      <c r="AK36" s="20"/>
      <c r="AL36" s="20"/>
      <c r="AM36" s="20"/>
      <c r="AN36" s="20"/>
      <c r="AO36" s="20"/>
      <c r="AP36" s="20"/>
      <c r="AQ36" s="20"/>
      <c r="AR36" s="20"/>
      <c r="AS36" s="20"/>
      <c r="AT36" s="20"/>
      <c r="AU36" s="20"/>
      <c r="AV36" s="20"/>
      <c r="AW36" s="20"/>
      <c r="AX36" s="20"/>
      <c r="AY36" s="20"/>
      <c r="AZ36" s="20"/>
      <c r="BA36" s="19"/>
      <c r="BC36" s="32"/>
      <c r="BD36" s="20"/>
      <c r="BE36" s="20"/>
      <c r="BF36" s="20"/>
      <c r="BG36" s="20"/>
      <c r="BH36" s="20"/>
      <c r="BI36" s="32"/>
      <c r="BJ36" s="32"/>
      <c r="BK36" s="32"/>
      <c r="BL36" s="32"/>
      <c r="BM36" s="32"/>
      <c r="BN36" s="193"/>
      <c r="BP36" s="89"/>
      <c r="BQ36" s="20"/>
      <c r="BR36" s="20"/>
      <c r="BS36" s="20"/>
      <c r="BT36" s="20"/>
      <c r="BU36" s="20"/>
      <c r="BV36" s="20"/>
    </row>
    <row r="37" spans="1:76" x14ac:dyDescent="0.25">
      <c r="A37" s="4" t="s">
        <v>170</v>
      </c>
      <c r="B37" s="191">
        <f>HLOOKUP($C$17,$D$30:$H$37,8,FALSE)</f>
        <v>0.27826171436944558</v>
      </c>
      <c r="D37">
        <f>Prices!DT63</f>
        <v>0.27826171436944558</v>
      </c>
      <c r="E37">
        <f>Prices!DX63</f>
        <v>0.24449982637781026</v>
      </c>
      <c r="F37">
        <v>0.26114396059306116</v>
      </c>
      <c r="G37">
        <f>Prices!DY63</f>
        <v>0.3120236023610809</v>
      </c>
      <c r="H37">
        <f t="shared" si="46"/>
        <v>0.29537946814582999</v>
      </c>
      <c r="I37">
        <f>Prices!DU63</f>
        <v>1.7117753776384439E-2</v>
      </c>
      <c r="Q37" s="19"/>
      <c r="R37" s="18"/>
      <c r="S37" s="20"/>
      <c r="T37" s="20"/>
      <c r="U37" s="20"/>
      <c r="V37" s="20"/>
      <c r="W37" s="20"/>
      <c r="X37" s="18">
        <f ca="1">OFFSET(Prices!$B39,0,$C$4+1)</f>
        <v>50</v>
      </c>
      <c r="Y37" s="18"/>
      <c r="Z37" s="18">
        <f ca="1">IF(Y37=1,OFFSET(X37,MATCH(0,$Y$33:$Y37,0)-1,0)/((1+$B$27)^(MATCH(0,$Y$33:$Y37,0)-1)),X37)</f>
        <v>50</v>
      </c>
      <c r="AH37" s="20"/>
      <c r="AI37" s="20"/>
      <c r="AJ37" s="20"/>
      <c r="AK37" s="20"/>
      <c r="AL37" s="20"/>
      <c r="AM37" s="20"/>
      <c r="AN37" s="20"/>
      <c r="AO37" s="20"/>
      <c r="AP37" s="20"/>
      <c r="AQ37" s="20"/>
      <c r="AR37" s="20"/>
      <c r="AS37" s="20"/>
      <c r="AT37" s="20"/>
      <c r="AU37" s="20"/>
      <c r="AV37" s="20"/>
      <c r="AW37" s="20"/>
      <c r="AX37" s="20"/>
      <c r="AY37" s="20"/>
      <c r="AZ37" s="20"/>
      <c r="BA37" s="19"/>
      <c r="BC37" s="32"/>
      <c r="BD37" s="20"/>
      <c r="BE37" s="20"/>
      <c r="BF37" s="20"/>
      <c r="BG37" s="20"/>
      <c r="BH37" s="20"/>
      <c r="BI37" s="32"/>
      <c r="BJ37" s="32"/>
      <c r="BK37" s="32"/>
      <c r="BL37" s="32"/>
      <c r="BM37" s="32"/>
      <c r="BN37" s="193"/>
      <c r="BP37" s="89"/>
      <c r="BQ37" s="20"/>
      <c r="BR37" s="20"/>
      <c r="BS37" s="46"/>
      <c r="BT37" s="46"/>
      <c r="BU37" s="20"/>
      <c r="BV37" s="20"/>
    </row>
    <row r="38" spans="1:76" x14ac:dyDescent="0.25">
      <c r="A38" s="4" t="s">
        <v>161</v>
      </c>
      <c r="B38" s="44">
        <v>0.05</v>
      </c>
      <c r="Q38" s="19"/>
      <c r="R38" s="18"/>
      <c r="S38" s="20"/>
      <c r="T38" s="20"/>
      <c r="U38" s="20"/>
      <c r="V38" s="20"/>
      <c r="W38" s="20"/>
      <c r="X38" s="18">
        <f ca="1">OFFSET(Prices!$B40,0,$C$4+1)</f>
        <v>50</v>
      </c>
      <c r="Y38" s="18"/>
      <c r="Z38" s="18">
        <f ca="1">IF(Y38=1,OFFSET(X38,MATCH(0,$Y$33:$Y38,0)-1,0)/((1+$B$27)^(MATCH(0,$Y$33:$Y38,0)-1)),X38)</f>
        <v>50</v>
      </c>
      <c r="AH38" s="20"/>
      <c r="AI38" s="20"/>
      <c r="AJ38" s="20"/>
      <c r="AK38" s="20"/>
      <c r="AL38" s="20"/>
      <c r="AM38" s="20"/>
      <c r="AN38" s="20"/>
      <c r="AO38" s="20"/>
      <c r="AP38" s="20"/>
      <c r="AQ38" s="20"/>
      <c r="AR38" s="20"/>
      <c r="AS38" s="20"/>
      <c r="AT38" s="20"/>
      <c r="AU38" s="20"/>
      <c r="AV38" s="20"/>
      <c r="AW38" s="20"/>
      <c r="AX38" s="20"/>
      <c r="AY38" s="20"/>
      <c r="AZ38" s="20"/>
      <c r="BA38" s="19"/>
      <c r="BC38" s="32"/>
      <c r="BD38" s="20"/>
      <c r="BE38" s="20"/>
      <c r="BF38" s="20"/>
      <c r="BG38" s="20"/>
      <c r="BH38" s="20"/>
      <c r="BI38" s="32"/>
      <c r="BJ38" s="32"/>
      <c r="BK38" s="32"/>
      <c r="BL38" s="32"/>
      <c r="BM38" s="32"/>
      <c r="BN38" s="193"/>
      <c r="BP38" s="89"/>
      <c r="BQ38" s="20"/>
      <c r="BR38" s="20"/>
      <c r="BS38" s="46"/>
      <c r="BT38" s="46"/>
      <c r="BU38" s="20"/>
      <c r="BV38" s="20"/>
    </row>
    <row r="39" spans="1:76" x14ac:dyDescent="0.25">
      <c r="A39" s="4" t="s">
        <v>171</v>
      </c>
      <c r="B39" s="22">
        <v>10</v>
      </c>
      <c r="K39" s="20"/>
      <c r="Q39" s="19"/>
      <c r="R39" s="18"/>
      <c r="S39" s="20"/>
      <c r="T39" s="20"/>
      <c r="U39" s="20"/>
      <c r="V39" s="20"/>
      <c r="W39" s="20"/>
      <c r="X39" s="18">
        <f ca="1">OFFSET(Prices!$B41,0,$C$4+1)</f>
        <v>50</v>
      </c>
      <c r="Y39" s="18"/>
      <c r="Z39" s="18">
        <f ca="1">IF(Y39=1,OFFSET(X39,MATCH(0,$Y$33:$Y39,0)-1,0)/((1+$B$27)^(MATCH(0,$Y$33:$Y39,0)-1)),X39)</f>
        <v>50</v>
      </c>
      <c r="AH39" s="20"/>
      <c r="AI39" s="20"/>
      <c r="AJ39" s="20"/>
      <c r="AK39" s="20"/>
      <c r="AL39" s="20"/>
      <c r="AM39" s="20"/>
      <c r="AN39" s="20"/>
      <c r="AO39" s="20"/>
      <c r="AP39" s="20"/>
      <c r="AQ39" s="20"/>
      <c r="AR39" s="20"/>
      <c r="AS39" s="20"/>
      <c r="AT39" s="20"/>
      <c r="AU39" s="20"/>
      <c r="AV39" s="20"/>
      <c r="AW39" s="20"/>
      <c r="AX39" s="20"/>
      <c r="AY39" s="20"/>
      <c r="AZ39" s="20"/>
      <c r="BA39" s="19"/>
      <c r="BC39" s="32"/>
      <c r="BD39" s="20"/>
      <c r="BE39" s="20"/>
      <c r="BF39" s="20"/>
      <c r="BG39" s="20"/>
      <c r="BH39" s="20"/>
      <c r="BI39" s="32"/>
      <c r="BJ39" s="32"/>
      <c r="BK39" s="32"/>
      <c r="BL39" s="32"/>
      <c r="BM39" s="32"/>
      <c r="BN39" s="193"/>
      <c r="BP39" s="359"/>
      <c r="BQ39" s="20"/>
      <c r="BR39" s="20"/>
      <c r="BS39" s="46"/>
      <c r="BT39" s="46"/>
      <c r="BU39" s="20"/>
      <c r="BV39" s="20"/>
    </row>
    <row r="40" spans="1:76" x14ac:dyDescent="0.25">
      <c r="A40" s="4" t="s">
        <v>172</v>
      </c>
      <c r="B40" s="44">
        <v>0.08</v>
      </c>
      <c r="I40" s="21"/>
      <c r="J40" s="252"/>
      <c r="K40" s="20"/>
      <c r="Q40" s="19"/>
      <c r="R40" s="18"/>
      <c r="S40" s="20"/>
      <c r="T40" s="20"/>
      <c r="U40" s="20"/>
      <c r="V40" s="20"/>
      <c r="W40" s="20"/>
      <c r="X40" s="18">
        <f ca="1">OFFSET(Prices!$B42,0,$C$4+1)</f>
        <v>50</v>
      </c>
      <c r="Y40" s="18"/>
      <c r="Z40" s="18">
        <f ca="1">IF(Y40=1,OFFSET(X40,MATCH(0,$Y$33:$Y40,0)-1,0)/((1+$B$27)^(MATCH(0,$Y$33:$Y40,0)-1)),X40)</f>
        <v>50</v>
      </c>
      <c r="AH40" s="20"/>
      <c r="AI40" s="20"/>
      <c r="AJ40" s="20"/>
      <c r="AK40" s="20"/>
      <c r="AL40" s="20"/>
      <c r="AM40" s="20"/>
      <c r="AN40" s="20"/>
      <c r="AO40" s="20"/>
      <c r="AP40" s="20"/>
      <c r="AQ40" s="20"/>
      <c r="AR40" s="20"/>
      <c r="AS40" s="20"/>
      <c r="AT40" s="20"/>
      <c r="AU40" s="20"/>
      <c r="AV40" s="20"/>
      <c r="AW40" s="20"/>
      <c r="AX40" s="20"/>
      <c r="AY40" s="20"/>
      <c r="AZ40" s="20"/>
      <c r="BA40" s="19"/>
      <c r="BC40" s="32"/>
      <c r="BD40" s="20"/>
      <c r="BE40" s="20"/>
      <c r="BF40" s="20"/>
      <c r="BG40" s="20"/>
      <c r="BH40" s="20"/>
      <c r="BI40" s="32"/>
      <c r="BJ40" s="32"/>
      <c r="BK40" s="32"/>
      <c r="BL40" s="32"/>
      <c r="BM40" s="32"/>
      <c r="BN40" s="193"/>
      <c r="BP40" s="89"/>
      <c r="BQ40" s="20"/>
      <c r="BR40" s="20"/>
      <c r="BS40" s="20"/>
      <c r="BU40" s="20"/>
      <c r="BV40" s="20"/>
    </row>
    <row r="41" spans="1:76" x14ac:dyDescent="0.25">
      <c r="A41" s="4" t="s">
        <v>173</v>
      </c>
      <c r="B41" s="22">
        <v>15</v>
      </c>
      <c r="J41" s="252"/>
      <c r="K41" s="253"/>
      <c r="Q41" s="19"/>
      <c r="R41" s="18"/>
      <c r="S41" s="20"/>
      <c r="T41" s="20"/>
      <c r="U41" s="20"/>
      <c r="V41" s="20"/>
      <c r="W41" s="20"/>
      <c r="X41" s="18">
        <f ca="1">OFFSET(Prices!$B43,0,$C$4+1)</f>
        <v>50</v>
      </c>
      <c r="Y41" s="18"/>
      <c r="Z41" s="18">
        <f ca="1">IF(Y41=1,OFFSET(X41,MATCH(0,$Y$33:$Y41,0)-1,0)/((1+$B$27)^(MATCH(0,$Y$33:$Y41,0)-1)),X41)</f>
        <v>50</v>
      </c>
      <c r="AH41" s="37"/>
      <c r="AI41" s="37"/>
      <c r="AL41" s="20"/>
      <c r="AT41" s="20"/>
      <c r="AW41" s="20"/>
      <c r="BA41" s="19"/>
      <c r="BC41" s="32"/>
      <c r="BD41" s="20"/>
      <c r="BG41" s="20"/>
      <c r="BH41" s="20"/>
      <c r="BI41" s="32"/>
      <c r="BJ41" s="32"/>
      <c r="BK41" s="32"/>
      <c r="BL41" s="32"/>
      <c r="BM41" s="32"/>
      <c r="BN41" s="193"/>
      <c r="BP41" s="89"/>
      <c r="BQ41" s="20"/>
      <c r="BR41" s="20"/>
      <c r="BS41" s="89"/>
      <c r="BT41" s="20"/>
      <c r="BU41" s="20"/>
      <c r="BV41" s="20"/>
    </row>
    <row r="42" spans="1:76" x14ac:dyDescent="0.25">
      <c r="A42" s="4" t="s">
        <v>174</v>
      </c>
      <c r="B42" s="156">
        <v>50</v>
      </c>
      <c r="C42">
        <v>50</v>
      </c>
      <c r="Q42" s="19"/>
      <c r="R42" s="18"/>
      <c r="S42" s="20"/>
      <c r="T42" s="20"/>
      <c r="U42" s="20"/>
      <c r="V42" s="20"/>
      <c r="W42" s="20"/>
      <c r="X42" s="18">
        <f ca="1">OFFSET(Prices!$B44,0,$C$4+1)</f>
        <v>50</v>
      </c>
      <c r="Y42" s="18"/>
      <c r="Z42" s="18">
        <f ca="1">IF(Y42=1,OFFSET(X42,MATCH(0,$Y$33:$Y42,0)-1,0)/((1+$B$27)^(MATCH(0,$Y$33:$Y42,0)-1)),X42)</f>
        <v>50</v>
      </c>
      <c r="AH42" s="147"/>
      <c r="AI42" s="147"/>
      <c r="AJ42" s="147"/>
      <c r="AK42" s="20"/>
      <c r="AL42" s="20"/>
      <c r="AM42" s="20"/>
      <c r="AN42" s="20"/>
      <c r="AO42" s="20"/>
      <c r="AP42" s="20"/>
      <c r="AQ42" s="20"/>
      <c r="AR42" s="20"/>
      <c r="AS42" s="20"/>
      <c r="AT42" s="20"/>
      <c r="AU42" s="20"/>
      <c r="AV42" s="20"/>
      <c r="AW42" s="20"/>
      <c r="AX42" s="20"/>
      <c r="AY42" s="20"/>
      <c r="AZ42" s="20"/>
      <c r="BA42" s="19"/>
      <c r="BC42" s="32"/>
      <c r="BD42" s="20"/>
      <c r="BE42" s="20"/>
      <c r="BF42" s="20"/>
      <c r="BG42" s="20"/>
      <c r="BH42" s="20"/>
      <c r="BI42" s="32"/>
      <c r="BJ42" s="32"/>
      <c r="BK42" s="32"/>
      <c r="BL42" s="32"/>
      <c r="BM42" s="32"/>
      <c r="BN42" s="193"/>
      <c r="BP42" s="89"/>
      <c r="BQ42" s="20"/>
      <c r="BR42" s="20"/>
      <c r="BS42" s="20"/>
      <c r="BT42" s="192"/>
      <c r="BU42" s="20"/>
      <c r="BV42" s="20"/>
    </row>
    <row r="43" spans="1:76" x14ac:dyDescent="0.25">
      <c r="A43" s="4" t="s">
        <v>175</v>
      </c>
      <c r="B43" s="156">
        <v>50</v>
      </c>
      <c r="C43">
        <v>60</v>
      </c>
      <c r="Q43" s="19"/>
      <c r="R43" s="18"/>
      <c r="S43" s="20"/>
      <c r="T43" s="20"/>
      <c r="U43" s="20"/>
      <c r="V43" s="20"/>
      <c r="W43" s="20"/>
      <c r="X43" s="18">
        <f ca="1">OFFSET(Prices!$B45,0,$C$4+1)</f>
        <v>50</v>
      </c>
      <c r="Y43" s="18"/>
      <c r="Z43" s="18">
        <f ca="1">IF(Y43=1,OFFSET(X43,MATCH(0,$Y$33:$Y43,0)-1,0)/((1+$B$27)^(MATCH(0,$Y$33:$Y43,0)-1)),X43)</f>
        <v>50</v>
      </c>
      <c r="AA43" s="20"/>
      <c r="AH43" s="20"/>
      <c r="AI43" s="20"/>
      <c r="AJ43" s="20"/>
      <c r="AK43" s="20"/>
      <c r="AL43" s="20"/>
      <c r="AM43" s="20"/>
      <c r="AN43" s="20"/>
      <c r="AO43" s="20"/>
      <c r="AP43" s="20"/>
      <c r="AQ43" s="20"/>
      <c r="AR43" s="20"/>
      <c r="AS43" s="20"/>
      <c r="AT43" s="20"/>
      <c r="AU43" s="20"/>
      <c r="AV43" s="20"/>
      <c r="AW43" s="20"/>
      <c r="AX43" s="20"/>
      <c r="AY43" s="20"/>
      <c r="AZ43" s="20"/>
      <c r="BA43" s="19"/>
      <c r="BC43" s="32"/>
      <c r="BD43" s="20"/>
      <c r="BE43" s="20"/>
      <c r="BF43" s="20"/>
      <c r="BG43" s="20"/>
      <c r="BH43" s="20"/>
      <c r="BI43" s="32"/>
      <c r="BJ43" s="32"/>
      <c r="BK43" s="32"/>
      <c r="BL43" s="32"/>
      <c r="BM43" s="32"/>
      <c r="BN43" s="193"/>
      <c r="BP43" s="89"/>
      <c r="BQ43" s="20"/>
      <c r="BR43" s="20"/>
      <c r="BS43" s="89"/>
      <c r="BT43" s="192"/>
      <c r="BU43" s="20"/>
      <c r="BV43" s="20"/>
    </row>
    <row r="44" spans="1:76" x14ac:dyDescent="0.25">
      <c r="A44" s="78" t="s">
        <v>176</v>
      </c>
      <c r="B44">
        <v>50</v>
      </c>
      <c r="Q44" s="19"/>
      <c r="R44" s="18"/>
      <c r="S44" s="20"/>
      <c r="T44" s="20"/>
      <c r="U44" s="20"/>
      <c r="V44" s="20"/>
      <c r="W44" s="20"/>
      <c r="X44" s="18">
        <f ca="1">OFFSET(Prices!$B46,0,$C$4+1)</f>
        <v>50</v>
      </c>
      <c r="Y44" s="18"/>
      <c r="Z44" s="18">
        <f ca="1">IF(Y44=1,OFFSET(X44,MATCH(0,$Y$33:$Y44,0)-1,0)/((1+$B$27)^(MATCH(0,$Y$33:$Y44,0)-1)),X44)</f>
        <v>50</v>
      </c>
      <c r="AA44" s="20"/>
      <c r="AH44" s="20"/>
      <c r="AI44" s="20"/>
      <c r="AJ44" s="20"/>
      <c r="AK44" s="20"/>
      <c r="AL44" s="20"/>
      <c r="AM44" s="20"/>
      <c r="AN44" s="20"/>
      <c r="AO44" s="20"/>
      <c r="AP44" s="20"/>
      <c r="AQ44" s="20"/>
      <c r="AR44" s="20"/>
      <c r="AS44" s="20"/>
      <c r="AT44" s="20"/>
      <c r="AU44" s="20"/>
      <c r="AV44" s="20"/>
      <c r="AW44" s="20"/>
      <c r="AX44" s="20"/>
      <c r="AY44" s="20"/>
      <c r="AZ44" s="20"/>
      <c r="BA44" s="19"/>
      <c r="BC44" s="32"/>
      <c r="BD44" s="20"/>
      <c r="BE44" s="20"/>
      <c r="BF44" s="20"/>
      <c r="BG44" s="20"/>
      <c r="BH44" s="20"/>
      <c r="BI44" s="32"/>
      <c r="BJ44" s="32"/>
      <c r="BK44" s="32"/>
      <c r="BL44" s="32"/>
      <c r="BM44" s="32"/>
      <c r="BN44" s="193"/>
      <c r="BP44" s="89"/>
      <c r="BQ44" s="20"/>
      <c r="BR44" s="20"/>
      <c r="BS44" s="89"/>
      <c r="BU44" s="20"/>
      <c r="BV44" s="20"/>
    </row>
    <row r="45" spans="1:76" x14ac:dyDescent="0.25">
      <c r="Q45" s="19"/>
      <c r="R45" s="18"/>
      <c r="U45" s="20"/>
      <c r="V45" s="20"/>
      <c r="W45" s="20"/>
      <c r="X45" s="18">
        <f ca="1">OFFSET(Prices!$B47,0,$C$4+1)</f>
        <v>50</v>
      </c>
      <c r="Y45" s="18"/>
      <c r="Z45" s="18">
        <f ca="1">IF(Y45=1,OFFSET(X45,MATCH(0,$Y$33:$Y45,0)-1,0)/((1+$B$27)^(MATCH(0,$Y$33:$Y45,0)-1)),X45)</f>
        <v>50</v>
      </c>
      <c r="AL45" s="20"/>
      <c r="AT45" s="20"/>
      <c r="AW45" s="20"/>
      <c r="BA45" s="19"/>
      <c r="BC45" s="32"/>
      <c r="BD45" s="20"/>
      <c r="BG45" s="20"/>
      <c r="BH45" s="20"/>
      <c r="BI45" s="32"/>
      <c r="BJ45" s="32"/>
      <c r="BK45" s="32"/>
      <c r="BL45" s="32"/>
      <c r="BM45" s="32"/>
      <c r="BN45" s="193"/>
      <c r="BP45" s="89"/>
      <c r="BQ45" s="20"/>
      <c r="BR45" s="20"/>
      <c r="BS45" s="89"/>
      <c r="BU45" s="20"/>
      <c r="BV45" s="20"/>
    </row>
    <row r="46" spans="1:76" x14ac:dyDescent="0.25">
      <c r="A46" s="174"/>
      <c r="B46" s="175" t="s">
        <v>177</v>
      </c>
      <c r="Q46" s="19"/>
      <c r="R46" s="18"/>
      <c r="U46" s="20"/>
      <c r="V46" s="20"/>
      <c r="W46" s="20"/>
      <c r="X46" s="18">
        <f ca="1">OFFSET(Prices!$B48,0,$C$4+1)</f>
        <v>50</v>
      </c>
      <c r="Y46" s="18"/>
      <c r="Z46" s="18">
        <f ca="1">IF(Y46=1,OFFSET(X46,MATCH(0,$Y$33:$Y46,0)-1,0)/((1+$B$27)^(MATCH(0,$Y$33:$Y46,0)-1)),X46)</f>
        <v>50</v>
      </c>
      <c r="AL46" s="20"/>
      <c r="AT46" s="20"/>
      <c r="AW46" s="20"/>
      <c r="BA46" s="19"/>
      <c r="BC46" s="32"/>
      <c r="BD46" s="20"/>
      <c r="BG46" s="20"/>
      <c r="BH46" s="20"/>
      <c r="BI46" s="32"/>
      <c r="BJ46" s="32"/>
      <c r="BK46" s="32"/>
      <c r="BL46" s="32"/>
      <c r="BM46" s="32"/>
      <c r="BN46" s="193"/>
      <c r="BP46" s="89"/>
      <c r="BQ46" s="20"/>
      <c r="BR46" s="20"/>
      <c r="BS46" s="20"/>
    </row>
    <row r="47" spans="1:76" x14ac:dyDescent="0.25">
      <c r="A47" s="171" t="s">
        <v>178</v>
      </c>
      <c r="B47" s="172">
        <f>'Govt supply'!V18/'Govt supply'!V2</f>
        <v>1.1871345029239766</v>
      </c>
      <c r="Q47" s="19"/>
      <c r="R47" s="18"/>
      <c r="U47" s="20"/>
      <c r="V47" s="20"/>
      <c r="W47" s="20"/>
      <c r="X47" s="18">
        <f ca="1">OFFSET(Prices!$B49,0,$C$4+1)</f>
        <v>50</v>
      </c>
      <c r="Y47" s="18"/>
      <c r="Z47" s="18">
        <f ca="1">IF(Y47=1,OFFSET(X47,MATCH(0,$Y$33:$Y47,0)-1,0)/((1+$B$27)^(MATCH(0,$Y$33:$Y47,0)-1)),X47)</f>
        <v>50</v>
      </c>
      <c r="AL47" s="20"/>
      <c r="AT47" s="20"/>
      <c r="AW47" s="20"/>
      <c r="BA47" s="19"/>
      <c r="BC47" s="32"/>
      <c r="BD47" s="20"/>
      <c r="BG47" s="20"/>
      <c r="BH47" s="20"/>
      <c r="BI47" s="32"/>
      <c r="BJ47" s="32"/>
      <c r="BK47" s="32"/>
      <c r="BL47" s="32"/>
      <c r="BM47" s="32"/>
      <c r="BN47" s="193"/>
      <c r="BP47" s="89"/>
      <c r="BQ47" s="20"/>
      <c r="BR47" s="20"/>
      <c r="BS47" s="20"/>
    </row>
    <row r="48" spans="1:76" x14ac:dyDescent="0.25">
      <c r="A48" s="173" t="s">
        <v>179</v>
      </c>
      <c r="B48" s="172">
        <f>'Govt supply'!V18/'Govt supply'!V10</f>
        <v>1.1404494382022472</v>
      </c>
      <c r="N48" s="20"/>
      <c r="O48" s="20"/>
      <c r="P48" s="20"/>
      <c r="Q48" s="19"/>
      <c r="R48" s="18"/>
      <c r="U48" s="20"/>
      <c r="V48" s="20"/>
      <c r="W48" s="20"/>
      <c r="X48" s="18">
        <f ca="1">OFFSET(Prices!$B50,0,$C$4+1)</f>
        <v>50</v>
      </c>
      <c r="Y48" s="18"/>
      <c r="Z48" s="18">
        <f ca="1">IF(Y48=1,OFFSET(X48,MATCH(0,$Y$33:$Y48,0)-1,0)/((1+$B$27)^(MATCH(0,$Y$33:$Y48,0)-1)),X48)</f>
        <v>50</v>
      </c>
      <c r="AL48" s="20"/>
      <c r="AT48" s="20"/>
      <c r="AW48" s="20"/>
      <c r="BA48" s="19"/>
      <c r="BC48" s="32"/>
      <c r="BD48" s="20"/>
      <c r="BG48" s="20"/>
      <c r="BH48" s="20"/>
      <c r="BI48" s="32"/>
      <c r="BJ48" s="32"/>
      <c r="BK48" s="32"/>
      <c r="BL48" s="32"/>
      <c r="BM48" s="32"/>
      <c r="BN48" s="193"/>
      <c r="BP48" s="89"/>
      <c r="BQ48" s="20"/>
      <c r="BR48" s="20"/>
      <c r="BS48" s="20"/>
    </row>
    <row r="49" spans="1:72" x14ac:dyDescent="0.25">
      <c r="N49" s="20"/>
      <c r="O49" s="20"/>
      <c r="P49" s="20"/>
      <c r="Q49" s="19"/>
      <c r="R49" s="18"/>
      <c r="U49" s="20"/>
      <c r="V49" s="20"/>
      <c r="W49" s="20"/>
      <c r="X49" s="18">
        <f ca="1">OFFSET(Prices!$B51,0,$C$4+1)</f>
        <v>50</v>
      </c>
      <c r="Y49" s="18"/>
      <c r="Z49" s="18">
        <f ca="1">IF(Y49=1,OFFSET(X49,MATCH(0,$Y$33:$Y49,0)-1,0)/((1+$B$27)^(MATCH(0,$Y$33:$Y49,0)-1)),X49)</f>
        <v>50</v>
      </c>
      <c r="AL49" s="20"/>
      <c r="AT49" s="20"/>
      <c r="AW49" s="20"/>
      <c r="BA49" s="19"/>
      <c r="BC49" s="32"/>
      <c r="BD49" s="20"/>
      <c r="BG49" s="20"/>
      <c r="BH49" s="20"/>
      <c r="BI49" s="32"/>
      <c r="BJ49" s="32"/>
      <c r="BK49" s="32"/>
      <c r="BL49" s="32"/>
      <c r="BM49" s="32"/>
      <c r="BN49" s="193"/>
      <c r="BP49" s="89"/>
      <c r="BQ49" s="20"/>
      <c r="BR49" s="20"/>
      <c r="BS49" s="20"/>
    </row>
    <row r="50" spans="1:72" x14ac:dyDescent="0.25">
      <c r="N50" s="20"/>
      <c r="O50" s="20"/>
      <c r="P50" s="20"/>
      <c r="Q50" s="19"/>
      <c r="R50" s="18"/>
      <c r="U50" s="20"/>
      <c r="V50" s="20"/>
      <c r="W50" s="20"/>
      <c r="X50" s="18">
        <f ca="1">OFFSET(Prices!$B52,0,$C$4+1)</f>
        <v>50</v>
      </c>
      <c r="Y50" s="18"/>
      <c r="Z50" s="18">
        <f ca="1">IF(Y50=1,OFFSET(X50,MATCH(0,$Y$33:$Y50,0)-1,0)/((1+$B$27)^(MATCH(0,$Y$33:$Y50,0)-1)),X50)</f>
        <v>50</v>
      </c>
      <c r="AL50" s="20"/>
      <c r="AT50" s="20"/>
      <c r="AW50" s="20"/>
      <c r="BA50" s="19"/>
      <c r="BC50" s="32"/>
      <c r="BD50" s="20"/>
      <c r="BG50" s="20"/>
      <c r="BH50" s="20"/>
      <c r="BI50" s="32"/>
      <c r="BJ50" s="32"/>
      <c r="BK50" s="32"/>
      <c r="BL50" s="32"/>
      <c r="BM50" s="32"/>
      <c r="BN50" s="193"/>
      <c r="BP50" s="89"/>
      <c r="BQ50" s="20"/>
      <c r="BR50" s="20"/>
      <c r="BS50" s="20"/>
    </row>
    <row r="51" spans="1:72" x14ac:dyDescent="0.25">
      <c r="B51" s="20"/>
      <c r="N51" s="20"/>
      <c r="O51" s="20"/>
      <c r="P51" s="20"/>
      <c r="Q51" s="19"/>
      <c r="R51" s="18"/>
      <c r="U51" s="20"/>
      <c r="V51" s="20"/>
      <c r="W51" s="20"/>
      <c r="X51" s="18">
        <f ca="1">OFFSET(Prices!$B53,0,$C$4+1)</f>
        <v>50</v>
      </c>
      <c r="Y51" s="18"/>
      <c r="Z51" s="18">
        <f ca="1">IF(Y51=1,OFFSET(X51,MATCH(0,$Y$33:$Y51,0)-1,0)/((1+$B$27)^(MATCH(0,$Y$33:$Y51,0)-1)),X51)</f>
        <v>50</v>
      </c>
      <c r="AL51" s="20"/>
      <c r="AT51" s="20"/>
      <c r="AW51" s="20"/>
      <c r="BA51" s="19"/>
      <c r="BC51" s="32"/>
      <c r="BD51" s="20"/>
      <c r="BG51" s="20"/>
      <c r="BH51" s="20"/>
      <c r="BI51" s="32"/>
      <c r="BJ51" s="32"/>
      <c r="BK51" s="32"/>
      <c r="BL51" s="32"/>
      <c r="BM51" s="32"/>
      <c r="BN51" s="193"/>
      <c r="BP51" s="89"/>
      <c r="BQ51" s="20"/>
      <c r="BR51" s="20"/>
      <c r="BS51" s="20"/>
    </row>
    <row r="52" spans="1:72" x14ac:dyDescent="0.25">
      <c r="A52" s="20"/>
      <c r="B52" s="20"/>
      <c r="N52" s="20"/>
      <c r="O52" s="20"/>
      <c r="P52" s="20"/>
      <c r="Q52" s="19"/>
      <c r="R52" s="18"/>
      <c r="U52" s="20"/>
      <c r="V52" s="20"/>
      <c r="W52" s="20"/>
      <c r="X52" s="18">
        <f ca="1">OFFSET(Prices!$B54,0,$C$4+1)</f>
        <v>50</v>
      </c>
      <c r="Y52" s="18"/>
      <c r="Z52" s="18">
        <f ca="1">IF(Y52=1,OFFSET(X52,MATCH(0,$Y$33:$Y52,0)-1,0)/((1+$B$27)^(MATCH(0,$Y$33:$Y52,0)-1)),X52)</f>
        <v>50</v>
      </c>
      <c r="AL52" s="20"/>
      <c r="AT52" s="20"/>
      <c r="AW52" s="20"/>
      <c r="BA52" s="19"/>
      <c r="BC52" s="32"/>
      <c r="BD52" s="20"/>
      <c r="BG52" s="20"/>
      <c r="BH52" s="20"/>
      <c r="BI52" s="32"/>
      <c r="BJ52" s="32"/>
      <c r="BK52" s="32"/>
      <c r="BL52" s="32"/>
      <c r="BM52" s="32"/>
      <c r="BN52" s="193"/>
      <c r="BP52" s="89"/>
      <c r="BQ52" s="20"/>
      <c r="BR52" s="20"/>
      <c r="BS52" s="20"/>
    </row>
    <row r="53" spans="1:72" x14ac:dyDescent="0.25">
      <c r="N53" s="20"/>
      <c r="O53" s="20"/>
      <c r="P53" s="20"/>
      <c r="Q53" s="19"/>
      <c r="R53" s="18"/>
      <c r="U53" s="20"/>
      <c r="V53" s="20"/>
      <c r="W53" s="20"/>
      <c r="X53" s="18">
        <f ca="1">OFFSET(Prices!$B55,0,$C$4+1)</f>
        <v>50</v>
      </c>
      <c r="Y53" s="18"/>
      <c r="Z53" s="18">
        <f ca="1">IF(Y53=1,OFFSET(X53,MATCH(0,$Y$33:$Y53,0)-1,0)/((1+$B$27)^(MATCH(0,$Y$33:$Y53,0)-1)),X53)</f>
        <v>50</v>
      </c>
      <c r="AL53" s="20"/>
      <c r="AT53" s="20"/>
      <c r="AW53" s="20"/>
      <c r="BA53" s="19"/>
      <c r="BC53" s="32"/>
      <c r="BD53" s="20"/>
      <c r="BI53" s="32"/>
      <c r="BJ53" s="32"/>
      <c r="BK53" s="32"/>
      <c r="BL53" s="32"/>
      <c r="BM53" s="32"/>
      <c r="BN53" s="193"/>
      <c r="BP53" s="89"/>
      <c r="BQ53" s="20"/>
      <c r="BR53" s="192"/>
      <c r="BS53" s="128"/>
      <c r="BT53" s="192"/>
    </row>
    <row r="54" spans="1:72" x14ac:dyDescent="0.25">
      <c r="N54" s="20"/>
      <c r="O54" s="20"/>
      <c r="P54" s="20"/>
      <c r="Q54" s="19"/>
      <c r="R54" s="18"/>
      <c r="U54" s="20"/>
      <c r="V54" s="20"/>
      <c r="W54" s="20"/>
      <c r="X54" s="18">
        <f ca="1">OFFSET(Prices!$B56,0,$C$4+1)</f>
        <v>50</v>
      </c>
      <c r="Y54" s="18"/>
      <c r="Z54" s="18">
        <f ca="1">IF(Y54=1,OFFSET(X54,MATCH(0,$Y$33:$Y54,0)-1,0)/((1+$B$27)^(MATCH(0,$Y$33:$Y54,0)-1)),X54)</f>
        <v>50</v>
      </c>
      <c r="AL54" s="20"/>
      <c r="AT54" s="20"/>
      <c r="AW54" s="20"/>
      <c r="BA54" s="19"/>
      <c r="BC54" s="32"/>
      <c r="BD54" s="20"/>
      <c r="BI54" s="32"/>
      <c r="BJ54" s="32"/>
      <c r="BK54" s="32"/>
      <c r="BL54" s="32"/>
      <c r="BM54" s="32"/>
      <c r="BN54" s="193"/>
      <c r="BP54" s="89"/>
      <c r="BQ54" s="20"/>
      <c r="BR54" s="192"/>
      <c r="BS54" s="128"/>
      <c r="BT54" s="192"/>
    </row>
    <row r="55" spans="1:72" x14ac:dyDescent="0.25">
      <c r="Q55" s="19"/>
      <c r="R55" s="18"/>
      <c r="U55" s="20"/>
      <c r="V55" s="20"/>
      <c r="W55" s="20"/>
      <c r="X55" s="18">
        <f ca="1">OFFSET(Prices!$B57,0,$C$4+1)</f>
        <v>50</v>
      </c>
      <c r="Y55" s="18"/>
      <c r="Z55" s="18">
        <f ca="1">IF(Y55=1,OFFSET(X55,MATCH(0,$Y$33:$Y55,0)-1,0)/((1+$B$27)^(MATCH(0,$Y$33:$Y55,0)-1)),X55)</f>
        <v>50</v>
      </c>
      <c r="AL55" s="20"/>
      <c r="AT55" s="20"/>
      <c r="AW55" s="20"/>
      <c r="BA55" s="19"/>
      <c r="BC55" s="32"/>
      <c r="BD55" s="20"/>
      <c r="BI55" s="32"/>
      <c r="BJ55" s="32"/>
      <c r="BK55" s="32"/>
      <c r="BL55" s="32"/>
      <c r="BM55" s="32"/>
      <c r="BN55" s="193"/>
      <c r="BP55" s="89"/>
      <c r="BQ55" s="20"/>
      <c r="BR55" s="20"/>
      <c r="BS55" s="20"/>
    </row>
    <row r="56" spans="1:72" x14ac:dyDescent="0.25">
      <c r="A56" s="20"/>
      <c r="B56" s="20"/>
      <c r="Q56" s="19"/>
      <c r="R56" s="18"/>
      <c r="U56" s="20"/>
      <c r="V56" s="20"/>
      <c r="W56" s="20"/>
      <c r="X56" s="18">
        <f ca="1">OFFSET(Prices!$B58,0,$C$4+1)</f>
        <v>50</v>
      </c>
      <c r="Y56" s="18"/>
      <c r="Z56" s="18">
        <f ca="1">IF(Y56=1,OFFSET(X56,MATCH(0,$Y$33:$Y56,0)-1,0)/((1+$B$27)^(MATCH(0,$Y$33:$Y56,0)-1)),X56)</f>
        <v>50</v>
      </c>
      <c r="AL56" s="20"/>
      <c r="AT56" s="20"/>
      <c r="AW56" s="20"/>
      <c r="BA56" s="19"/>
      <c r="BC56" s="32"/>
      <c r="BD56" s="20"/>
      <c r="BI56" s="32"/>
      <c r="BJ56" s="32"/>
      <c r="BK56" s="32"/>
      <c r="BL56" s="32"/>
      <c r="BM56" s="32"/>
      <c r="BN56" s="193"/>
      <c r="BP56" s="89"/>
      <c r="BQ56" s="20"/>
      <c r="BR56" s="20"/>
      <c r="BS56" s="20"/>
    </row>
    <row r="57" spans="1:72" x14ac:dyDescent="0.25">
      <c r="Q57" s="19"/>
      <c r="R57" s="18"/>
      <c r="U57" s="20"/>
      <c r="V57" s="20"/>
      <c r="W57" s="20"/>
      <c r="X57" s="18">
        <f ca="1">OFFSET(Prices!$B59,0,$C$4+1)</f>
        <v>50</v>
      </c>
      <c r="Y57" s="18"/>
      <c r="Z57" s="18">
        <f ca="1">IF(Y57=1,OFFSET(X57,MATCH(0,$Y$33:$Y57,0)-1,0)/((1+$B$27)^(MATCH(0,$Y$33:$Y57,0)-1)),X57)</f>
        <v>50</v>
      </c>
      <c r="AL57" s="20"/>
      <c r="AT57" s="20"/>
      <c r="AW57" s="20"/>
      <c r="BA57" s="19"/>
      <c r="BC57" s="32"/>
      <c r="BD57" s="20"/>
      <c r="BI57" s="32"/>
      <c r="BJ57" s="32"/>
      <c r="BK57" s="32"/>
      <c r="BL57" s="32"/>
      <c r="BM57" s="32"/>
      <c r="BN57" s="193"/>
      <c r="BP57" s="89"/>
      <c r="BQ57" s="20"/>
      <c r="BR57" s="20"/>
      <c r="BS57" s="20"/>
    </row>
    <row r="58" spans="1:72" x14ac:dyDescent="0.25">
      <c r="Q58" s="19"/>
      <c r="R58" s="18"/>
      <c r="U58" s="20"/>
      <c r="V58" s="20"/>
      <c r="W58" s="20"/>
      <c r="X58" s="18">
        <f ca="1">OFFSET(Prices!$B60,0,$C$4+1)</f>
        <v>50</v>
      </c>
      <c r="Y58" s="18"/>
      <c r="Z58" s="18">
        <f ca="1">IF(Y58=1,OFFSET(X58,MATCH(0,$Y$33:$Y58,0)-1,0)/((1+$B$27)^(MATCH(0,$Y$33:$Y58,0)-1)),X58)</f>
        <v>50</v>
      </c>
      <c r="AL58" s="20"/>
      <c r="AT58" s="20"/>
      <c r="AW58" s="20"/>
      <c r="BA58" s="19"/>
      <c r="BC58" s="32"/>
      <c r="BD58" s="20"/>
      <c r="BI58" s="32"/>
      <c r="BJ58" s="32"/>
      <c r="BK58" s="32"/>
      <c r="BL58" s="32"/>
      <c r="BM58" s="32"/>
      <c r="BN58" s="193"/>
      <c r="BP58" s="89"/>
      <c r="BQ58" s="20"/>
      <c r="BR58" s="20"/>
      <c r="BS58" s="20"/>
    </row>
    <row r="59" spans="1:72" x14ac:dyDescent="0.25">
      <c r="Q59" s="19"/>
      <c r="R59" s="18"/>
      <c r="U59" s="20"/>
      <c r="X59" s="18">
        <f ca="1">OFFSET(Prices!$B61,0,$C$4+1)</f>
        <v>50</v>
      </c>
      <c r="Y59" s="18"/>
      <c r="Z59" s="18">
        <f ca="1">IF(Y59=1,OFFSET(X59,MATCH(0,$Y$33:$Y59,0)-1,0)/((1+$B$27)^(MATCH(0,$Y$33:$Y59,0)-1)),X59)</f>
        <v>50</v>
      </c>
      <c r="AL59" s="20"/>
      <c r="AT59" s="20"/>
      <c r="AW59" s="20"/>
      <c r="BA59" s="19"/>
      <c r="BC59" s="32"/>
      <c r="BD59" s="20"/>
      <c r="BK59" s="32"/>
      <c r="BL59" s="32"/>
      <c r="BM59" s="32"/>
      <c r="BN59" s="193"/>
      <c r="BP59" s="89"/>
      <c r="BQ59" s="20"/>
      <c r="BR59" s="20"/>
      <c r="BS59" s="20"/>
    </row>
    <row r="60" spans="1:72" x14ac:dyDescent="0.25">
      <c r="A60" s="20"/>
      <c r="B60" s="20"/>
      <c r="Q60" s="19"/>
      <c r="R60" s="18"/>
      <c r="U60" s="20"/>
      <c r="X60" s="18">
        <f ca="1">OFFSET(Prices!$B62,0,$C$4+1)</f>
        <v>50</v>
      </c>
      <c r="Y60" s="18"/>
      <c r="Z60" s="18">
        <f ca="1">IF(Y60=1,OFFSET(X60,MATCH(0,$Y$33:$Y60,0)-1,0)/((1+$B$27)^(MATCH(0,$Y$33:$Y60,0)-1)),X60)</f>
        <v>50</v>
      </c>
      <c r="AL60" s="20"/>
      <c r="AT60" s="20"/>
      <c r="AW60" s="20"/>
      <c r="BA60" s="19"/>
      <c r="BC60" s="32"/>
      <c r="BD60" s="20"/>
      <c r="BK60" s="32"/>
      <c r="BL60" s="32"/>
      <c r="BM60" s="32"/>
      <c r="BN60" s="193"/>
      <c r="BP60" s="89"/>
      <c r="BQ60" s="20"/>
      <c r="BR60" s="20"/>
      <c r="BS60" s="20"/>
    </row>
    <row r="61" spans="1:72" x14ac:dyDescent="0.25">
      <c r="Q61" s="19"/>
      <c r="R61" s="18"/>
      <c r="U61" s="20"/>
      <c r="X61" s="18">
        <f ca="1">OFFSET(Prices!$B63,0,$C$4+1)</f>
        <v>50</v>
      </c>
      <c r="Y61" s="18"/>
      <c r="Z61" s="18">
        <f ca="1">IF(Y61=1,OFFSET(X61,MATCH(0,$Y$33:$Y61,0)-1,0)/((1+$B$27)^(MATCH(0,$Y$33:$Y61,0)-1)),X61)</f>
        <v>50</v>
      </c>
      <c r="AL61" s="20"/>
      <c r="AT61" s="20"/>
      <c r="AW61" s="20"/>
      <c r="BA61" s="19"/>
      <c r="BC61" s="32"/>
      <c r="BD61" s="20"/>
      <c r="BK61" s="32"/>
      <c r="BL61" s="32"/>
      <c r="BM61" s="32"/>
      <c r="BN61" s="193"/>
      <c r="BP61" s="89"/>
      <c r="BQ61" s="20"/>
      <c r="BR61" s="20"/>
      <c r="BS61" s="20"/>
    </row>
    <row r="62" spans="1:72" x14ac:dyDescent="0.25">
      <c r="Q62" s="19"/>
      <c r="R62" s="18"/>
      <c r="U62" s="20"/>
      <c r="X62" s="18">
        <f ca="1">OFFSET(Prices!$B64,0,$C$4+1)</f>
        <v>50</v>
      </c>
      <c r="Z62" s="18">
        <f ca="1">IF(Y62=1,OFFSET(X62,MATCH(0,$Y$33:$Y62,0)-1,0)/((1+$B$27)^(MATCH(0,$Y$33:$Y62,0)-1)),X62)</f>
        <v>50</v>
      </c>
      <c r="AL62" s="20"/>
      <c r="AT62" s="20"/>
      <c r="AW62" s="20"/>
      <c r="BA62" s="19"/>
      <c r="BC62" s="32"/>
      <c r="BD62" s="20"/>
      <c r="BK62" s="32"/>
      <c r="BL62" s="32"/>
      <c r="BM62" s="32"/>
      <c r="BN62" s="193"/>
      <c r="BP62" s="89"/>
      <c r="BQ62" s="20"/>
      <c r="BR62" s="20"/>
      <c r="BS62" s="20"/>
    </row>
    <row r="63" spans="1:72" x14ac:dyDescent="0.25">
      <c r="Q63" s="19"/>
      <c r="R63" s="18"/>
      <c r="U63" s="20"/>
      <c r="X63" s="18">
        <f ca="1">OFFSET(Prices!$B65,0,$C$4+1)</f>
        <v>50</v>
      </c>
      <c r="Z63" s="18">
        <f ca="1">IF(Y63=1,OFFSET(X63,MATCH(0,$Y$33:$Y63,0)-1,0)/((1+$B$27)^(MATCH(0,$Y$33:$Y63,0)-1)),X63)</f>
        <v>50</v>
      </c>
      <c r="AL63" s="20"/>
      <c r="AT63" s="20"/>
      <c r="AW63" s="20"/>
      <c r="BC63" s="32"/>
      <c r="BK63" s="32"/>
      <c r="BL63" s="32"/>
      <c r="BM63" s="32"/>
      <c r="BN63" s="193"/>
      <c r="BP63" s="89"/>
      <c r="BQ63" s="20"/>
      <c r="BR63" s="20"/>
      <c r="BS63" s="20"/>
    </row>
    <row r="64" spans="1:72" x14ac:dyDescent="0.25">
      <c r="Q64" s="19"/>
      <c r="R64" s="18"/>
      <c r="U64" s="20"/>
      <c r="X64" s="18">
        <f ca="1">OFFSET(Prices!$B66,0,$C$4+1)</f>
        <v>50</v>
      </c>
      <c r="Z64" s="18">
        <f ca="1">IF(Y64=1,OFFSET(X64,MATCH(0,$Y$33:$Y64,0)-1,0)/((1+$B$27)^(MATCH(0,$Y$33:$Y64,0)-1)),X64)</f>
        <v>50</v>
      </c>
      <c r="AL64" s="20"/>
      <c r="AT64" s="20"/>
      <c r="AW64" s="20"/>
      <c r="BC64" s="32"/>
      <c r="BK64" s="32"/>
      <c r="BL64" s="32"/>
      <c r="BM64" s="32"/>
      <c r="BN64" s="193"/>
      <c r="BP64" s="89"/>
      <c r="BQ64" s="20"/>
      <c r="BR64" s="20"/>
      <c r="BS64" s="20"/>
    </row>
    <row r="65" spans="46:55" x14ac:dyDescent="0.25">
      <c r="AT65" s="20"/>
      <c r="AW65" s="20"/>
      <c r="BC65" s="32"/>
    </row>
    <row r="66" spans="46:55" x14ac:dyDescent="0.25">
      <c r="AT66" s="20"/>
      <c r="AW66" s="20"/>
      <c r="BC66" s="32"/>
    </row>
    <row r="67" spans="46:55" x14ac:dyDescent="0.25">
      <c r="AT67" s="20"/>
      <c r="AW67" s="20"/>
      <c r="BC67" s="32"/>
    </row>
    <row r="68" spans="46:55" x14ac:dyDescent="0.25">
      <c r="AT68" s="20"/>
      <c r="AW68" s="20"/>
      <c r="BC68" s="32"/>
    </row>
    <row r="69" spans="46:55" x14ac:dyDescent="0.25">
      <c r="BC69" s="32"/>
    </row>
    <row r="117" spans="29:29" x14ac:dyDescent="0.25">
      <c r="AC117" s="20"/>
    </row>
  </sheetData>
  <mergeCells count="1">
    <mergeCell ref="BR2:BS2"/>
  </mergeCells>
  <phoneticPr fontId="18" type="noConversion"/>
  <dataValidations count="10">
    <dataValidation type="list" allowBlank="1" showInputMessage="1" showErrorMessage="1" sqref="B6" xr:uid="{19E9E4BB-7392-47D8-B559-F8D5322F9054}">
      <formula1>"MPI Lower,MPI Central,MPI Upper,Manley Model"</formula1>
    </dataValidation>
    <dataValidation type="list" allowBlank="1" showInputMessage="1" showErrorMessage="1" sqref="B16" xr:uid="{B1DFB1D2-DC1B-43AA-B4D2-8DF1F2E7DB62}">
      <formula1>"Exclude"</formula1>
    </dataValidation>
    <dataValidation type="list" allowBlank="1" showInputMessage="1" showErrorMessage="1" sqref="B3" xr:uid="{41E2EBBF-1A8E-431B-ACE9-7706887D5D85}">
      <formula1>"CPR zero price,Demo path zero price,CPR/Demo average"</formula1>
    </dataValidation>
    <dataValidation type="list" allowBlank="1" showInputMessage="1" showErrorMessage="1" sqref="B8" xr:uid="{A3A1F3DE-196E-43A2-BB6B-AA9FD8609899}">
      <formula1>"Low,Medium,High"</formula1>
    </dataValidation>
    <dataValidation type="list" allowBlank="1" showInputMessage="1" showErrorMessage="1" sqref="B9" xr:uid="{5502A775-A38C-4682-B3D4-76E8FD9081CC}">
      <formula1>"Current,Future"</formula1>
    </dataValidation>
    <dataValidation type="list" allowBlank="1" showInputMessage="1" showErrorMessage="1" sqref="B5" xr:uid="{D7BCC1B5-26CD-4F3C-801D-6CDE46E15B1D}">
      <formula1>"Status quo,CCC"</formula1>
    </dataValidation>
    <dataValidation type="list" allowBlank="1" showInputMessage="1" showErrorMessage="1" sqref="B10" xr:uid="{0D773E60-5460-419B-BF67-F173E7082084}">
      <formula1>"ENZ,MACC"</formula1>
    </dataValidation>
    <dataValidation type="list" allowBlank="1" showInputMessage="1" showErrorMessage="1" sqref="B28" xr:uid="{F59C2A6A-3DF2-43FE-AEE9-1603F6AEF04A}">
      <formula1>"0,2050"</formula1>
    </dataValidation>
    <dataValidation type="list" allowBlank="1" showInputMessage="1" showErrorMessage="1" sqref="B4" xr:uid="{43011B51-521C-429A-9E82-2F5C259B2DB3}">
      <formula1>$BZ$3:$BZ$7</formula1>
    </dataValidation>
    <dataValidation type="list" allowBlank="1" showInputMessage="1" showErrorMessage="1" sqref="B17" xr:uid="{FFEFD3D8-1029-4D76-BE82-FD21A5159544}">
      <formula1>$D$29:$H$29</formula1>
    </dataValidation>
  </dataValidations>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1" r:id="rId4" name="Button 589">
              <controlPr defaultSize="0" print="0" autoFill="0" autoPict="0" macro="[0]!OptimisePriceSlow">
                <anchor moveWithCells="1" sizeWithCells="1">
                  <from>
                    <xdr:col>1</xdr:col>
                    <xdr:colOff>476250</xdr:colOff>
                    <xdr:row>0</xdr:row>
                    <xdr:rowOff>142875</xdr:rowOff>
                  </from>
                  <to>
                    <xdr:col>1</xdr:col>
                    <xdr:colOff>1914525</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796DB-EE15-45F9-A8C4-C9069B9DCD1F}">
  <sheetPr codeName="Sheet21">
    <tabColor rgb="FFC00000"/>
  </sheetPr>
  <dimension ref="A1:BM45"/>
  <sheetViews>
    <sheetView topLeftCell="AM1" zoomScale="70" zoomScaleNormal="70" workbookViewId="0">
      <selection activeCell="BA32" sqref="BA32"/>
    </sheetView>
  </sheetViews>
  <sheetFormatPr defaultRowHeight="15" x14ac:dyDescent="0.25"/>
  <cols>
    <col min="35" max="35" width="14.42578125" customWidth="1"/>
    <col min="36" max="36" width="9.5703125" customWidth="1"/>
    <col min="37" max="37" width="18.140625" bestFit="1" customWidth="1"/>
  </cols>
  <sheetData>
    <row r="1" spans="1:65" x14ac:dyDescent="0.25">
      <c r="A1" t="s">
        <v>181</v>
      </c>
      <c r="E1" t="s">
        <v>182</v>
      </c>
      <c r="J1" s="161"/>
      <c r="AK1" s="17"/>
      <c r="AQ1" t="s">
        <v>183</v>
      </c>
      <c r="AU1" t="s">
        <v>132</v>
      </c>
      <c r="BE1" t="s">
        <v>132</v>
      </c>
    </row>
    <row r="2" spans="1:65" ht="90" x14ac:dyDescent="0.25">
      <c r="A2" s="137" t="s">
        <v>83</v>
      </c>
      <c r="B2" s="137" t="s">
        <v>184</v>
      </c>
      <c r="C2" s="137" t="s">
        <v>185</v>
      </c>
      <c r="D2" s="137" t="s">
        <v>186</v>
      </c>
      <c r="E2" s="86" t="s">
        <v>84</v>
      </c>
      <c r="F2" s="31" t="s">
        <v>187</v>
      </c>
      <c r="G2" s="31" t="s">
        <v>112</v>
      </c>
      <c r="H2" s="31" t="s">
        <v>97</v>
      </c>
      <c r="I2" s="31" t="s">
        <v>60</v>
      </c>
      <c r="J2" s="31" t="s">
        <v>61</v>
      </c>
      <c r="K2" s="31" t="s">
        <v>98</v>
      </c>
      <c r="L2" s="31" t="s">
        <v>103</v>
      </c>
      <c r="M2" s="31" t="str">
        <f>Model!AY$2</f>
        <v>Liquid stockpile use</v>
      </c>
      <c r="N2" s="31" t="str">
        <f>Model!BA$2</f>
        <v>Other stockpile use</v>
      </c>
      <c r="O2" s="31" t="str">
        <f>Model!BB$2</f>
        <v>Stockpile use</v>
      </c>
      <c r="P2" s="31" t="str">
        <f>Model!$BF$2</f>
        <v>End of year liquid stockpile</v>
      </c>
      <c r="Q2" s="31" t="str">
        <f>Model!$BF$2</f>
        <v>End of year liquid stockpile</v>
      </c>
      <c r="R2" s="162" t="s">
        <v>65</v>
      </c>
      <c r="S2" s="92" t="s">
        <v>60</v>
      </c>
      <c r="T2" s="92" t="s">
        <v>61</v>
      </c>
      <c r="U2" s="92" t="s">
        <v>188</v>
      </c>
      <c r="V2" s="92" t="s">
        <v>64</v>
      </c>
      <c r="W2" s="92" t="s">
        <v>115</v>
      </c>
      <c r="X2" s="92" t="s">
        <v>170</v>
      </c>
      <c r="Y2" s="163" t="str">
        <f>R2</f>
        <v>NZU demand (after price response)</v>
      </c>
      <c r="Z2" s="163" t="str">
        <f t="shared" ref="Z2:AC2" si="0">S2</f>
        <v>Industrial allocation</v>
      </c>
      <c r="AA2" s="163" t="str">
        <f t="shared" si="0"/>
        <v>Auction</v>
      </c>
      <c r="AB2" s="163" t="str">
        <f t="shared" si="0"/>
        <v>Cost containment reserve</v>
      </c>
      <c r="AC2" s="163" t="str">
        <f t="shared" si="0"/>
        <v>Expected forestry supply</v>
      </c>
      <c r="AD2" s="163" t="str">
        <f>M2</f>
        <v>Liquid stockpile use</v>
      </c>
      <c r="AE2" s="163" t="str">
        <f>N2</f>
        <v>Other stockpile use</v>
      </c>
      <c r="AF2" s="163" t="s">
        <v>189</v>
      </c>
      <c r="AG2" s="163" t="s">
        <v>170</v>
      </c>
      <c r="AH2" s="31"/>
      <c r="AI2" s="160" t="s">
        <v>190</v>
      </c>
      <c r="AJ2" s="160" t="str">
        <f>Model!Z2</f>
        <v>Discovered price revised</v>
      </c>
      <c r="AK2" s="38" t="s">
        <v>183</v>
      </c>
      <c r="AL2" s="38" t="s">
        <v>132</v>
      </c>
      <c r="AQ2" s="23" t="str">
        <f>B2</f>
        <v>No liability</v>
      </c>
      <c r="AR2" s="23" t="str">
        <f>C2</f>
        <v>With harvest liability</v>
      </c>
      <c r="AS2" t="str">
        <f>Y2</f>
        <v>NZU demand (after price response)</v>
      </c>
      <c r="AT2" t="str">
        <f>X2</f>
        <v>Price</v>
      </c>
      <c r="AU2" s="23" t="s">
        <v>184</v>
      </c>
      <c r="AV2" s="23" t="s">
        <v>185</v>
      </c>
      <c r="AW2" t="s">
        <v>65</v>
      </c>
      <c r="AX2" t="s">
        <v>170</v>
      </c>
      <c r="AY2" s="23" t="str">
        <f>AU2</f>
        <v>No liability</v>
      </c>
      <c r="AZ2" s="23" t="str">
        <f>AV2</f>
        <v>With harvest liability</v>
      </c>
      <c r="BA2" s="23" t="str">
        <f>AW2</f>
        <v>NZU demand (after price response)</v>
      </c>
      <c r="BB2" s="23" t="str">
        <f>AX2</f>
        <v>Price</v>
      </c>
      <c r="BC2" s="23" t="s">
        <v>191</v>
      </c>
      <c r="BE2" s="163" t="s">
        <v>65</v>
      </c>
      <c r="BF2" s="163" t="s">
        <v>60</v>
      </c>
      <c r="BG2" s="163" t="s">
        <v>61</v>
      </c>
      <c r="BH2" s="163" t="s">
        <v>188</v>
      </c>
      <c r="BI2" s="163" t="s">
        <v>64</v>
      </c>
      <c r="BJ2" s="163" t="s">
        <v>62</v>
      </c>
      <c r="BK2" s="163" t="s">
        <v>63</v>
      </c>
      <c r="BL2" s="163" t="s">
        <v>189</v>
      </c>
      <c r="BM2" s="163" t="s">
        <v>170</v>
      </c>
    </row>
    <row r="3" spans="1:65" x14ac:dyDescent="0.25">
      <c r="A3" s="19">
        <v>2020</v>
      </c>
      <c r="B3" s="2">
        <f ca="1">Removals!C3</f>
        <v>3.8497408439486671</v>
      </c>
      <c r="C3" s="2">
        <f ca="1">Removals!D3</f>
        <v>7.9963015393850583</v>
      </c>
      <c r="D3" s="2">
        <f ca="1">Removals!H3</f>
        <v>-2.324873667327326</v>
      </c>
      <c r="AI3" t="s">
        <v>192</v>
      </c>
    </row>
    <row r="4" spans="1:65" x14ac:dyDescent="0.25">
      <c r="A4" s="19">
        <v>2021</v>
      </c>
      <c r="B4" s="2">
        <f ca="1">Removals!C4</f>
        <v>4.0055967121192673</v>
      </c>
      <c r="C4" s="2">
        <f ca="1">Removals!D4</f>
        <v>7.5585566855436257</v>
      </c>
      <c r="D4" s="2">
        <f ca="1">Removals!H4</f>
        <v>-3.5526439361037987</v>
      </c>
      <c r="AI4" t="s">
        <v>193</v>
      </c>
      <c r="AM4" s="89">
        <f ca="1">SUM(AK4:AK8)</f>
        <v>87.558282358357616</v>
      </c>
      <c r="AN4" s="89">
        <f>SUM(AL4:AL8)</f>
        <v>95.933975424818797</v>
      </c>
      <c r="AO4" s="89">
        <f ca="1">AM4-AN4</f>
        <v>-8.3756930664611815</v>
      </c>
    </row>
    <row r="5" spans="1:65" x14ac:dyDescent="0.25">
      <c r="A5" s="19">
        <v>2022</v>
      </c>
      <c r="B5" s="2">
        <f ca="1">Removals!C5</f>
        <v>4.3734773485979597</v>
      </c>
      <c r="C5" s="2">
        <f ca="1">Removals!D5</f>
        <v>6.8991949995693211</v>
      </c>
      <c r="D5" s="2">
        <f ca="1">Removals!H5</f>
        <v>-7.1031544328219329</v>
      </c>
      <c r="E5" s="127">
        <f>Model!$L5/1000</f>
        <v>34.302540724803414</v>
      </c>
      <c r="F5" s="127">
        <f>Model!M5/1000</f>
        <v>34.302540724803414</v>
      </c>
      <c r="G5" s="127">
        <f ca="1">Model!AU5/1000</f>
        <v>34.302540724803414</v>
      </c>
      <c r="H5" s="127">
        <f>Model!AA5/1000</f>
        <v>0</v>
      </c>
      <c r="I5" s="127">
        <f>Model!AB5/1000</f>
        <v>7.9117060000000006</v>
      </c>
      <c r="J5" s="127">
        <f ca="1">Model!AC5/1000</f>
        <v>19.95683</v>
      </c>
      <c r="K5" s="127">
        <f>Model!AD5/1000</f>
        <v>7</v>
      </c>
      <c r="L5" s="127">
        <f ca="1">Model!AJ5/1000</f>
        <v>4.3734773485979597</v>
      </c>
      <c r="M5" s="127">
        <f ca="1">Model!AZ5/1000</f>
        <v>0</v>
      </c>
      <c r="N5" s="127">
        <f>Model!BA5/1000</f>
        <v>0</v>
      </c>
      <c r="O5" s="127">
        <f ca="1">SUM(M5:N5)</f>
        <v>0</v>
      </c>
      <c r="P5" s="127">
        <f ca="1">Model!BF5/1000</f>
        <v>73.804984485383514</v>
      </c>
      <c r="Q5" s="127">
        <f ca="1">Model!BG5/1000</f>
        <v>66.252474460931282</v>
      </c>
      <c r="R5" s="127">
        <f ca="1">G5</f>
        <v>34.302540724803414</v>
      </c>
      <c r="S5" s="127">
        <f>I5</f>
        <v>7.9117060000000006</v>
      </c>
      <c r="T5" s="127">
        <f ca="1">J5+H5</f>
        <v>19.95683</v>
      </c>
      <c r="U5" s="127">
        <f>K5</f>
        <v>7</v>
      </c>
      <c r="V5" s="127">
        <f ca="1">L5</f>
        <v>4.3734773485979597</v>
      </c>
      <c r="W5" s="127">
        <f ca="1">O5</f>
        <v>0</v>
      </c>
      <c r="X5" s="18">
        <f ca="1">AI5</f>
        <v>84.15</v>
      </c>
      <c r="Y5" s="127">
        <f ca="1">R5</f>
        <v>34.302540724803414</v>
      </c>
      <c r="Z5" s="127">
        <f t="shared" ref="Z5:AB5" si="1">S5</f>
        <v>7.9117060000000006</v>
      </c>
      <c r="AA5" s="127">
        <f t="shared" ca="1" si="1"/>
        <v>19.95683</v>
      </c>
      <c r="AB5" s="127">
        <f t="shared" si="1"/>
        <v>7</v>
      </c>
      <c r="AC5" s="127">
        <f ca="1">Model!AL5/1000</f>
        <v>4.3734773485979597</v>
      </c>
      <c r="AD5" s="127">
        <f ca="1">M5</f>
        <v>0</v>
      </c>
      <c r="AE5" s="127">
        <f>N5</f>
        <v>0</v>
      </c>
      <c r="AF5" s="127">
        <f ca="1">Model!AW5/1000</f>
        <v>0</v>
      </c>
      <c r="AG5" s="18">
        <f ca="1">X5</f>
        <v>84.15</v>
      </c>
      <c r="AH5" s="127"/>
      <c r="AI5" s="18">
        <f ca="1">Model!X5</f>
        <v>84.15</v>
      </c>
      <c r="AJ5" s="18">
        <f ca="1">Model!Z5</f>
        <v>84.15</v>
      </c>
      <c r="AK5" s="89">
        <f t="shared" ref="AK5:AK33" ca="1" si="2">AS5-AQ5-AR5</f>
        <v>23.029868376636134</v>
      </c>
      <c r="AL5" s="89">
        <f t="shared" ref="AL5:AL33" si="3">AW5-AU5-AV5</f>
        <v>23.804779249460321</v>
      </c>
      <c r="AQ5" s="2">
        <f t="shared" ref="AQ5:AQ33" ca="1" si="4">B5</f>
        <v>4.3734773485979597</v>
      </c>
      <c r="AR5" s="2">
        <f t="shared" ref="AR5:AR33" ca="1" si="5">C5</f>
        <v>6.8991949995693211</v>
      </c>
      <c r="AS5" s="20">
        <f t="shared" ref="AS5:AS33" ca="1" si="6">Y5</f>
        <v>34.302540724803414</v>
      </c>
      <c r="AT5" s="18">
        <f t="shared" ref="AT5:AT33" ca="1" si="7">AI5</f>
        <v>84.15</v>
      </c>
      <c r="AU5" s="2">
        <v>3.598566475773771</v>
      </c>
      <c r="AV5" s="2">
        <v>6.8991949995693211</v>
      </c>
      <c r="AW5" s="20">
        <v>34.302540724803414</v>
      </c>
      <c r="AX5" s="18">
        <v>79</v>
      </c>
      <c r="AY5" s="2">
        <f t="shared" ref="AY5:AY33" ca="1" si="8">AQ5-AU5</f>
        <v>0.77491087282418869</v>
      </c>
      <c r="AZ5" s="2">
        <f t="shared" ref="AZ5:AZ33" ca="1" si="9">AR5-AV5</f>
        <v>0</v>
      </c>
      <c r="BA5" s="2">
        <f t="shared" ref="BA5:BA33" ca="1" si="10">AS5-AW5</f>
        <v>0</v>
      </c>
      <c r="BB5" s="17">
        <f t="shared" ref="BB5:BB33" ca="1" si="11">AT5-AX5</f>
        <v>5.1500000000000057</v>
      </c>
      <c r="BC5" s="17"/>
      <c r="BE5" s="127">
        <v>34.302540724803414</v>
      </c>
      <c r="BF5" s="127">
        <v>7.9117060000000006</v>
      </c>
      <c r="BG5" s="127">
        <v>19.95683</v>
      </c>
      <c r="BH5" s="127">
        <v>7</v>
      </c>
      <c r="BI5" s="127">
        <v>3.598566475773771</v>
      </c>
      <c r="BJ5" s="127">
        <v>0</v>
      </c>
      <c r="BK5" s="127">
        <v>0</v>
      </c>
      <c r="BL5" s="127">
        <v>0</v>
      </c>
      <c r="BM5" s="18">
        <v>79</v>
      </c>
    </row>
    <row r="6" spans="1:65" x14ac:dyDescent="0.25">
      <c r="A6" s="19">
        <v>2023</v>
      </c>
      <c r="B6" s="2">
        <f ca="1">Removals!C6</f>
        <v>5.5215918458227504</v>
      </c>
      <c r="C6" s="2">
        <f ca="1">Removals!D6</f>
        <v>6.2522055070772984</v>
      </c>
      <c r="D6" s="2">
        <f ca="1">Removals!H6</f>
        <v>-8.6508629228133689</v>
      </c>
      <c r="E6" s="127">
        <f>Model!$L6/1000</f>
        <v>34.061631972162303</v>
      </c>
      <c r="F6" s="127">
        <f>Model!M6/1000</f>
        <v>34.061631972162303</v>
      </c>
      <c r="G6" s="127">
        <f ca="1">Model!AU6/1000</f>
        <v>34.062453712507796</v>
      </c>
      <c r="H6" s="127"/>
      <c r="I6" s="127">
        <f ca="1">Model!AB6/1000</f>
        <v>5.5744047575069988</v>
      </c>
      <c r="J6" s="127">
        <f ca="1">Model!AC6/1000</f>
        <v>0</v>
      </c>
      <c r="K6" s="127">
        <f ca="1">Model!AD6/1000</f>
        <v>0</v>
      </c>
      <c r="L6" s="127">
        <f ca="1">Model!AJ6/1000</f>
        <v>5.5215918458227504</v>
      </c>
      <c r="M6" s="127">
        <f ca="1">Model!AZ6/1000</f>
        <v>22.966457109178048</v>
      </c>
      <c r="N6" s="127">
        <f ca="1">Model!BA6/1000</f>
        <v>0</v>
      </c>
      <c r="O6" s="127">
        <f t="shared" ref="O6:O33" ca="1" si="12">SUM(M6:N6)</f>
        <v>22.966457109178048</v>
      </c>
      <c r="P6" s="127">
        <f ca="1">Model!BF6/1000</f>
        <v>78.744457109178057</v>
      </c>
      <c r="Q6" s="127">
        <f ca="1">Model!BG6/1000</f>
        <v>81.155542890821948</v>
      </c>
      <c r="R6" s="127">
        <f t="shared" ref="R6:R33" ca="1" si="13">G6</f>
        <v>34.062453712507796</v>
      </c>
      <c r="S6" s="127">
        <f t="shared" ref="S6:S33" ca="1" si="14">I6</f>
        <v>5.5744047575069988</v>
      </c>
      <c r="T6" s="127">
        <f t="shared" ref="T6:T33" ca="1" si="15">J6+H6</f>
        <v>0</v>
      </c>
      <c r="U6" s="127">
        <f t="shared" ref="U6:U33" ca="1" si="16">K6</f>
        <v>0</v>
      </c>
      <c r="V6" s="127">
        <f t="shared" ref="V6:V33" ca="1" si="17">L6</f>
        <v>5.5215918458227504</v>
      </c>
      <c r="W6" s="127">
        <f t="shared" ref="W6:W33" ca="1" si="18">O6</f>
        <v>22.966457109178048</v>
      </c>
      <c r="X6" s="18">
        <f t="shared" ref="X6:X33" ca="1" si="19">AI6</f>
        <v>63</v>
      </c>
      <c r="Y6" s="127">
        <f t="shared" ref="Y6:Y33" ca="1" si="20">R6</f>
        <v>34.062453712507796</v>
      </c>
      <c r="Z6" s="127">
        <f t="shared" ref="Z6:Z33" ca="1" si="21">S6</f>
        <v>5.5744047575069988</v>
      </c>
      <c r="AA6" s="127">
        <f t="shared" ref="AA6:AA33" ca="1" si="22">T6</f>
        <v>0</v>
      </c>
      <c r="AB6" s="127">
        <f t="shared" ref="AB6:AB33" ca="1" si="23">U6</f>
        <v>0</v>
      </c>
      <c r="AC6" s="127">
        <f ca="1">Model!AL6/1000</f>
        <v>5.5215918458227504</v>
      </c>
      <c r="AD6" s="127">
        <f t="shared" ref="AD6:AD33" ca="1" si="24">M6</f>
        <v>22.966457109178048</v>
      </c>
      <c r="AE6" s="127">
        <f t="shared" ref="AE6:AE33" ca="1" si="25">N6</f>
        <v>0</v>
      </c>
      <c r="AF6" s="127">
        <f ca="1">Model!AW6/1000</f>
        <v>0</v>
      </c>
      <c r="AG6" s="18">
        <f t="shared" ref="AG6:AG33" ca="1" si="26">X6</f>
        <v>63</v>
      </c>
      <c r="AH6" s="127"/>
      <c r="AI6" s="18">
        <f ca="1">Model!X6</f>
        <v>63</v>
      </c>
      <c r="AJ6" s="18">
        <f ca="1">Model!Z6</f>
        <v>63</v>
      </c>
      <c r="AK6" s="89">
        <f t="shared" ca="1" si="2"/>
        <v>22.288656359607746</v>
      </c>
      <c r="AL6" s="89">
        <f t="shared" si="3"/>
        <v>24.033386723897788</v>
      </c>
      <c r="AQ6" s="2">
        <f t="shared" ca="1" si="4"/>
        <v>5.5215918458227504</v>
      </c>
      <c r="AR6" s="2">
        <f t="shared" ca="1" si="5"/>
        <v>6.2522055070772984</v>
      </c>
      <c r="AS6" s="20">
        <f t="shared" ca="1" si="6"/>
        <v>34.062453712507796</v>
      </c>
      <c r="AT6" s="18">
        <f t="shared" ca="1" si="7"/>
        <v>63</v>
      </c>
      <c r="AU6" s="2">
        <v>3.8021356564419095</v>
      </c>
      <c r="AV6" s="2">
        <v>6.2522055070772984</v>
      </c>
      <c r="AW6" s="20">
        <v>34.087727887416996</v>
      </c>
      <c r="AX6" s="18">
        <v>63</v>
      </c>
      <c r="AY6" s="2">
        <f t="shared" ca="1" si="8"/>
        <v>1.7194561893808409</v>
      </c>
      <c r="AZ6" s="2">
        <f t="shared" ca="1" si="9"/>
        <v>0</v>
      </c>
      <c r="BA6" s="2">
        <f t="shared" ca="1" si="10"/>
        <v>-2.5274174909199587E-2</v>
      </c>
      <c r="BB6" s="17">
        <f t="shared" ca="1" si="11"/>
        <v>0</v>
      </c>
      <c r="BC6" s="17"/>
      <c r="BE6" s="127">
        <v>34.087727887416996</v>
      </c>
      <c r="BF6" s="127">
        <v>6.0670949988244498</v>
      </c>
      <c r="BG6" s="127">
        <v>0</v>
      </c>
      <c r="BH6" s="127">
        <v>0</v>
      </c>
      <c r="BI6" s="127">
        <v>3.8021356564419095</v>
      </c>
      <c r="BJ6" s="127">
        <v>24.218497232150632</v>
      </c>
      <c r="BK6" s="127">
        <v>0</v>
      </c>
      <c r="BL6" s="127">
        <v>0</v>
      </c>
      <c r="BM6" s="18">
        <v>63</v>
      </c>
    </row>
    <row r="7" spans="1:65" s="1" customFormat="1" x14ac:dyDescent="0.25">
      <c r="A7" s="67">
        <v>2024</v>
      </c>
      <c r="B7" s="276">
        <f ca="1">Removals!C7</f>
        <v>6.6446509993934484</v>
      </c>
      <c r="C7" s="276">
        <f ca="1">Removals!D7</f>
        <v>5.5317668061692098</v>
      </c>
      <c r="D7" s="276">
        <f ca="1">Removals!H7</f>
        <v>-11.377046089842661</v>
      </c>
      <c r="E7" s="277">
        <f>Model!$L7/1000</f>
        <v>35.048369261527412</v>
      </c>
      <c r="F7" s="277">
        <f>Model!M7/1000</f>
        <v>35.048369261527412</v>
      </c>
      <c r="G7" s="277">
        <f ca="1">Model!AU7/1000</f>
        <v>34.412842896588415</v>
      </c>
      <c r="H7" s="277"/>
      <c r="I7" s="277">
        <f ca="1">Model!AB7/1000</f>
        <v>5.0118116588021788</v>
      </c>
      <c r="J7" s="277">
        <f ca="1">Model!AC7/1000</f>
        <v>7</v>
      </c>
      <c r="K7" s="277">
        <f ca="1">Model!AD7/1000</f>
        <v>0</v>
      </c>
      <c r="L7" s="277">
        <f ca="1">Model!AJ7/1000</f>
        <v>6.6446509993934484</v>
      </c>
      <c r="M7" s="277">
        <f ca="1">Model!AZ7/1000</f>
        <v>15.756380238392794</v>
      </c>
      <c r="N7" s="277">
        <f ca="1">Model!BA7/1000</f>
        <v>0</v>
      </c>
      <c r="O7" s="277">
        <f t="shared" ca="1" si="12"/>
        <v>15.756380238392794</v>
      </c>
      <c r="P7" s="277">
        <f>Model!BF7/1000</f>
        <v>55.777999999999999</v>
      </c>
      <c r="Q7" s="277">
        <f>Model!BG7/1000</f>
        <v>94.622</v>
      </c>
      <c r="R7" s="277">
        <f t="shared" ca="1" si="13"/>
        <v>34.412842896588415</v>
      </c>
      <c r="S7" s="277">
        <f t="shared" ca="1" si="14"/>
        <v>5.0118116588021788</v>
      </c>
      <c r="T7" s="277">
        <f t="shared" ca="1" si="15"/>
        <v>7</v>
      </c>
      <c r="U7" s="277">
        <f t="shared" ca="1" si="16"/>
        <v>0</v>
      </c>
      <c r="V7" s="277">
        <f t="shared" ca="1" si="17"/>
        <v>6.6446509993934484</v>
      </c>
      <c r="W7" s="277">
        <f t="shared" ca="1" si="18"/>
        <v>15.756380238392794</v>
      </c>
      <c r="X7" s="278">
        <f t="shared" ca="1" si="19"/>
        <v>62</v>
      </c>
      <c r="Y7" s="277">
        <f t="shared" ca="1" si="20"/>
        <v>34.412842896588415</v>
      </c>
      <c r="Z7" s="277">
        <f t="shared" ca="1" si="21"/>
        <v>5.0118116588021788</v>
      </c>
      <c r="AA7" s="277">
        <f t="shared" ca="1" si="22"/>
        <v>7</v>
      </c>
      <c r="AB7" s="277">
        <f t="shared" ca="1" si="23"/>
        <v>0</v>
      </c>
      <c r="AC7" s="277">
        <f ca="1">Model!AL7/1000</f>
        <v>6.6446509993934484</v>
      </c>
      <c r="AD7" s="277">
        <f t="shared" ca="1" si="24"/>
        <v>15.756380238392794</v>
      </c>
      <c r="AE7" s="277">
        <f t="shared" ca="1" si="25"/>
        <v>0</v>
      </c>
      <c r="AF7" s="277">
        <f ca="1">Model!AW7/1000</f>
        <v>0</v>
      </c>
      <c r="AG7" s="278">
        <f t="shared" ca="1" si="26"/>
        <v>62</v>
      </c>
      <c r="AH7" s="277"/>
      <c r="AI7" s="278">
        <f ca="1">Model!X7</f>
        <v>62</v>
      </c>
      <c r="AJ7" s="278">
        <f ca="1">Model!Z7</f>
        <v>62</v>
      </c>
      <c r="AK7" s="240">
        <f t="shared" ca="1" si="2"/>
        <v>22.236425091025758</v>
      </c>
      <c r="AL7" s="240">
        <f t="shared" si="3"/>
        <v>25.003514767698832</v>
      </c>
      <c r="AQ7" s="276">
        <f t="shared" ca="1" si="4"/>
        <v>6.6446509993934484</v>
      </c>
      <c r="AR7" s="276">
        <f t="shared" ca="1" si="5"/>
        <v>5.5317668061692098</v>
      </c>
      <c r="AS7" s="279">
        <f t="shared" ca="1" si="6"/>
        <v>34.412842896588415</v>
      </c>
      <c r="AT7" s="278">
        <f t="shared" ca="1" si="7"/>
        <v>62</v>
      </c>
      <c r="AU7" s="276">
        <v>4.2468519866213379</v>
      </c>
      <c r="AV7" s="276">
        <v>5.5317668061692098</v>
      </c>
      <c r="AW7" s="279">
        <v>34.782133560489378</v>
      </c>
      <c r="AX7" s="278">
        <v>62</v>
      </c>
      <c r="AY7" s="276">
        <f t="shared" ca="1" si="8"/>
        <v>2.3977990127721105</v>
      </c>
      <c r="AZ7" s="276">
        <f t="shared" ca="1" si="9"/>
        <v>0</v>
      </c>
      <c r="BA7" s="276">
        <f t="shared" ca="1" si="10"/>
        <v>-0.3692906639009621</v>
      </c>
      <c r="BB7" s="280">
        <f t="shared" ca="1" si="11"/>
        <v>0</v>
      </c>
      <c r="BC7" s="17">
        <f ca="1">AJ7*1.04</f>
        <v>64.48</v>
      </c>
      <c r="BE7" s="277">
        <v>34.782133560489378</v>
      </c>
      <c r="BF7" s="277">
        <v>6.0581109976489049</v>
      </c>
      <c r="BG7" s="277">
        <v>7.1</v>
      </c>
      <c r="BH7" s="277">
        <v>0</v>
      </c>
      <c r="BI7" s="277">
        <v>4.2468519866213379</v>
      </c>
      <c r="BJ7" s="277">
        <v>17.377170576219129</v>
      </c>
      <c r="BK7" s="277">
        <v>0</v>
      </c>
      <c r="BL7" s="277">
        <v>0</v>
      </c>
      <c r="BM7" s="278">
        <v>62</v>
      </c>
    </row>
    <row r="8" spans="1:65" x14ac:dyDescent="0.25">
      <c r="A8" s="19">
        <v>2025</v>
      </c>
      <c r="B8" s="2">
        <f ca="1">Removals!C8</f>
        <v>8.3190243126254551</v>
      </c>
      <c r="C8" s="2">
        <f ca="1">Removals!D8</f>
        <v>5.1964550120394488</v>
      </c>
      <c r="D8" s="2">
        <f ca="1">Removals!H8</f>
        <v>-7.3499479603810451</v>
      </c>
      <c r="E8" s="127">
        <f>Model!$L8/1000</f>
        <v>34.524587223575182</v>
      </c>
      <c r="F8" s="127">
        <f>Model!M8/1000</f>
        <v>34.524587223575182</v>
      </c>
      <c r="G8" s="127">
        <f ca="1">Model!AU8/1000</f>
        <v>33.518811855752872</v>
      </c>
      <c r="H8" s="127"/>
      <c r="I8" s="127">
        <f ca="1">Model!AB8/1000</f>
        <v>5.1861646310647309</v>
      </c>
      <c r="J8" s="127">
        <f ca="1">Model!AC8/1000</f>
        <v>6</v>
      </c>
      <c r="K8" s="127">
        <f ca="1">Model!AD8/1000</f>
        <v>0</v>
      </c>
      <c r="L8" s="127">
        <f ca="1">Model!AJ8/1000</f>
        <v>8.3190243126254551</v>
      </c>
      <c r="M8" s="127">
        <f ca="1">Model!AZ8/1000</f>
        <v>14.013622912062683</v>
      </c>
      <c r="N8" s="127">
        <f ca="1">Model!BA8/1000</f>
        <v>0</v>
      </c>
      <c r="O8" s="127">
        <f t="shared" ca="1" si="12"/>
        <v>14.013622912062683</v>
      </c>
      <c r="P8" s="127">
        <f ca="1">Model!BF8/1000</f>
        <v>41.764377087937319</v>
      </c>
      <c r="Q8" s="127">
        <f ca="1">Model!BG8/1000</f>
        <v>75.310263607148485</v>
      </c>
      <c r="R8" s="127">
        <f t="shared" ca="1" si="13"/>
        <v>33.518811855752872</v>
      </c>
      <c r="S8" s="127">
        <f t="shared" ca="1" si="14"/>
        <v>5.1861646310647309</v>
      </c>
      <c r="T8" s="127">
        <f t="shared" ca="1" si="15"/>
        <v>6</v>
      </c>
      <c r="U8" s="127">
        <f t="shared" ca="1" si="16"/>
        <v>0</v>
      </c>
      <c r="V8" s="127">
        <f t="shared" ca="1" si="17"/>
        <v>8.3190243126254551</v>
      </c>
      <c r="W8" s="127">
        <f t="shared" ca="1" si="18"/>
        <v>14.013622912062683</v>
      </c>
      <c r="X8" s="18">
        <f t="shared" ca="1" si="19"/>
        <v>65.037999999999997</v>
      </c>
      <c r="Y8" s="127">
        <f t="shared" ca="1" si="20"/>
        <v>33.518811855752872</v>
      </c>
      <c r="Z8" s="127">
        <f t="shared" ca="1" si="21"/>
        <v>5.1861646310647309</v>
      </c>
      <c r="AA8" s="127">
        <f t="shared" ca="1" si="22"/>
        <v>6</v>
      </c>
      <c r="AB8" s="127">
        <f t="shared" ca="1" si="23"/>
        <v>0</v>
      </c>
      <c r="AC8" s="127">
        <f ca="1">Model!AL8/1000</f>
        <v>8.3190243126254551</v>
      </c>
      <c r="AD8" s="127">
        <f t="shared" ca="1" si="24"/>
        <v>14.013622912062683</v>
      </c>
      <c r="AE8" s="127">
        <f t="shared" ca="1" si="25"/>
        <v>0</v>
      </c>
      <c r="AF8" s="127">
        <f ca="1">Model!AW8/1000</f>
        <v>0</v>
      </c>
      <c r="AG8" s="18">
        <f t="shared" ca="1" si="26"/>
        <v>65.037999999999997</v>
      </c>
      <c r="AH8" s="127"/>
      <c r="AI8" s="18">
        <f ca="1">Model!X8</f>
        <v>65.037999999999997</v>
      </c>
      <c r="AJ8" s="18">
        <f ca="1">Model!Z8</f>
        <v>65.037999999999997</v>
      </c>
      <c r="AK8" s="96">
        <f t="shared" ca="1" si="2"/>
        <v>20.00333253108797</v>
      </c>
      <c r="AL8" s="96">
        <f t="shared" si="3"/>
        <v>23.092294683761864</v>
      </c>
      <c r="AQ8" s="2">
        <f t="shared" ca="1" si="4"/>
        <v>8.3190243126254551</v>
      </c>
      <c r="AR8" s="2">
        <f t="shared" ca="1" si="5"/>
        <v>5.1964550120394488</v>
      </c>
      <c r="AS8" s="20">
        <f t="shared" ca="1" si="6"/>
        <v>33.518811855752872</v>
      </c>
      <c r="AT8" s="18">
        <f t="shared" ca="1" si="7"/>
        <v>65.037999999999997</v>
      </c>
      <c r="AU8" s="2">
        <v>5.6559879541671805</v>
      </c>
      <c r="AV8" s="2">
        <v>5.1964550120394488</v>
      </c>
      <c r="AW8" s="20">
        <v>33.944737649968495</v>
      </c>
      <c r="AX8" s="18">
        <v>63.797999999999995</v>
      </c>
      <c r="AY8" s="2">
        <f t="shared" ca="1" si="8"/>
        <v>2.6630363584582746</v>
      </c>
      <c r="AZ8" s="2">
        <f t="shared" ca="1" si="9"/>
        <v>0</v>
      </c>
      <c r="BA8" s="2">
        <f t="shared" ca="1" si="10"/>
        <v>-0.42592579421562249</v>
      </c>
      <c r="BB8" s="17">
        <f t="shared" ca="1" si="11"/>
        <v>1.240000000000002</v>
      </c>
      <c r="BC8" s="17">
        <f t="shared" ref="BC8:BC33" ca="1" si="27">AJ8*1.04</f>
        <v>67.639520000000005</v>
      </c>
      <c r="BE8" s="127">
        <v>33.944737649968495</v>
      </c>
      <c r="BF8" s="127">
        <v>5.9791269964733536</v>
      </c>
      <c r="BG8" s="127">
        <v>12.6</v>
      </c>
      <c r="BH8" s="127">
        <v>0</v>
      </c>
      <c r="BI8" s="127">
        <v>5.6559879541671805</v>
      </c>
      <c r="BJ8" s="127">
        <v>9.7096226993279657</v>
      </c>
      <c r="BK8" s="127">
        <v>0</v>
      </c>
      <c r="BL8" s="127">
        <v>0</v>
      </c>
      <c r="BM8" s="18">
        <v>63.797999999999995</v>
      </c>
    </row>
    <row r="9" spans="1:65" x14ac:dyDescent="0.25">
      <c r="A9" s="271">
        <v>2026</v>
      </c>
      <c r="B9" s="2">
        <f ca="1">Removals!C9</f>
        <v>10.401914506577755</v>
      </c>
      <c r="C9" s="2">
        <f ca="1">Removals!D9</f>
        <v>4.9690682249806786</v>
      </c>
      <c r="D9" s="2">
        <f ca="1">Removals!H9</f>
        <v>-5.7377929830900536</v>
      </c>
      <c r="E9" s="127">
        <f>Model!$L9/1000</f>
        <v>33.373811581567566</v>
      </c>
      <c r="F9" s="127">
        <f>Model!M9/1000</f>
        <v>33.373811581567566</v>
      </c>
      <c r="G9" s="127">
        <f ca="1">Model!AU9/1000</f>
        <v>32.039037121732356</v>
      </c>
      <c r="H9" s="127"/>
      <c r="I9" s="127">
        <f ca="1">Model!AB9/1000</f>
        <v>4.5931748902359351</v>
      </c>
      <c r="J9" s="127">
        <f ca="1">Model!AC9/1000</f>
        <v>5.2</v>
      </c>
      <c r="K9" s="127">
        <f ca="1">Model!AD9/1000</f>
        <v>0</v>
      </c>
      <c r="L9" s="127">
        <f ca="1">Model!AJ9/1000</f>
        <v>10.401914506577755</v>
      </c>
      <c r="M9" s="127">
        <f ca="1">Model!AZ9/1000</f>
        <v>11.843947724918669</v>
      </c>
      <c r="N9" s="127">
        <f ca="1">Model!BA9/1000</f>
        <v>0</v>
      </c>
      <c r="O9" s="127">
        <f t="shared" ca="1" si="12"/>
        <v>11.843947724918669</v>
      </c>
      <c r="P9" s="127">
        <f ca="1">Model!BF9/1000</f>
        <v>29.920429363018648</v>
      </c>
      <c r="Q9" s="127">
        <f ca="1">Model!BG9/1000</f>
        <v>74.541538849039114</v>
      </c>
      <c r="R9" s="127">
        <f t="shared" ca="1" si="13"/>
        <v>32.039037121732356</v>
      </c>
      <c r="S9" s="127">
        <f t="shared" ca="1" si="14"/>
        <v>4.5931748902359351</v>
      </c>
      <c r="T9" s="127">
        <f t="shared" ca="1" si="15"/>
        <v>5.2</v>
      </c>
      <c r="U9" s="127">
        <f t="shared" ca="1" si="16"/>
        <v>0</v>
      </c>
      <c r="V9" s="127">
        <f t="shared" ca="1" si="17"/>
        <v>10.401914506577755</v>
      </c>
      <c r="W9" s="127">
        <f t="shared" ca="1" si="18"/>
        <v>11.843947724918669</v>
      </c>
      <c r="X9" s="18">
        <f t="shared" ca="1" si="19"/>
        <v>68.224861999999987</v>
      </c>
      <c r="Y9" s="270">
        <f t="shared" ca="1" si="20"/>
        <v>32.039037121732356</v>
      </c>
      <c r="Z9" s="127">
        <f t="shared" ca="1" si="21"/>
        <v>4.5931748902359351</v>
      </c>
      <c r="AA9" s="127">
        <f t="shared" ca="1" si="22"/>
        <v>5.2</v>
      </c>
      <c r="AB9" s="127">
        <f t="shared" ca="1" si="23"/>
        <v>0</v>
      </c>
      <c r="AC9" s="127">
        <f ca="1">Model!AL9/1000</f>
        <v>10.401914506577755</v>
      </c>
      <c r="AD9" s="127">
        <f t="shared" ca="1" si="24"/>
        <v>11.843947724918669</v>
      </c>
      <c r="AE9" s="127">
        <f t="shared" ca="1" si="25"/>
        <v>0</v>
      </c>
      <c r="AF9" s="127">
        <f ca="1">Model!AW9/1000</f>
        <v>0</v>
      </c>
      <c r="AG9" s="18">
        <f t="shared" ca="1" si="26"/>
        <v>68.224861999999987</v>
      </c>
      <c r="AH9" s="127"/>
      <c r="AI9" s="18">
        <f ca="1">Model!X9</f>
        <v>68.224861999999987</v>
      </c>
      <c r="AJ9" s="18">
        <f ca="1">Model!Z9</f>
        <v>68.224861999999987</v>
      </c>
      <c r="AK9" s="89">
        <f t="shared" ca="1" si="2"/>
        <v>16.668054390173925</v>
      </c>
      <c r="AL9" s="89">
        <f t="shared" si="3"/>
        <v>19.694608296004244</v>
      </c>
      <c r="AM9" s="89">
        <f ca="1">SUM(AK9:AK13)</f>
        <v>60.263236007057102</v>
      </c>
      <c r="AN9" s="89">
        <f>SUM(AL9:AL13)</f>
        <v>69.037055757781999</v>
      </c>
      <c r="AO9" s="89">
        <f ca="1">AM9-AN9</f>
        <v>-8.7738197507248969</v>
      </c>
      <c r="AQ9" s="2">
        <f t="shared" ca="1" si="4"/>
        <v>10.401914506577755</v>
      </c>
      <c r="AR9" s="2">
        <f t="shared" ca="1" si="5"/>
        <v>4.9690682249806786</v>
      </c>
      <c r="AS9" s="20">
        <f t="shared" ca="1" si="6"/>
        <v>32.039037121732356</v>
      </c>
      <c r="AT9" s="18">
        <f t="shared" ca="1" si="7"/>
        <v>68.224861999999987</v>
      </c>
      <c r="AU9" s="2">
        <v>7.8247528130300958</v>
      </c>
      <c r="AV9" s="2">
        <v>4.9690682249806786</v>
      </c>
      <c r="AW9" s="20">
        <v>32.488429334015017</v>
      </c>
      <c r="AX9" s="18">
        <v>65.648141999999993</v>
      </c>
      <c r="AY9" s="2">
        <f t="shared" ca="1" si="8"/>
        <v>2.5771616935476596</v>
      </c>
      <c r="AZ9" s="2">
        <f t="shared" ca="1" si="9"/>
        <v>0</v>
      </c>
      <c r="BA9" s="2">
        <f t="shared" ca="1" si="10"/>
        <v>-0.44939221228266035</v>
      </c>
      <c r="BB9" s="17">
        <f t="shared" ca="1" si="11"/>
        <v>2.5767199999999946</v>
      </c>
      <c r="BC9" s="17">
        <f t="shared" ca="1" si="27"/>
        <v>70.953856479999985</v>
      </c>
      <c r="BE9" s="270">
        <v>32.488429334015017</v>
      </c>
      <c r="BF9" s="127">
        <v>5.7258358739341695</v>
      </c>
      <c r="BG9" s="127">
        <v>10.7</v>
      </c>
      <c r="BH9" s="127">
        <v>0</v>
      </c>
      <c r="BI9" s="127">
        <v>7.8247528130300958</v>
      </c>
      <c r="BJ9" s="127">
        <v>8.2378406470507475</v>
      </c>
      <c r="BK9" s="127">
        <v>0</v>
      </c>
      <c r="BL9" s="127">
        <v>0</v>
      </c>
      <c r="BM9" s="18">
        <v>65.648141999999993</v>
      </c>
    </row>
    <row r="10" spans="1:65" x14ac:dyDescent="0.25">
      <c r="A10" s="271">
        <v>2027</v>
      </c>
      <c r="B10" s="2">
        <f ca="1">Removals!C10</f>
        <v>12.485742842104759</v>
      </c>
      <c r="C10" s="2">
        <f ca="1">Removals!D10</f>
        <v>4.8065288125560421</v>
      </c>
      <c r="D10" s="2">
        <f ca="1">Removals!H10</f>
        <v>-4.3971325410754964</v>
      </c>
      <c r="E10" s="127">
        <f>Model!$L10/1000</f>
        <v>33.364415980359283</v>
      </c>
      <c r="F10" s="127">
        <f>Model!M10/1000</f>
        <v>33.364415980359283</v>
      </c>
      <c r="G10" s="127">
        <f ca="1">Model!AU10/1000</f>
        <v>31.775904595526203</v>
      </c>
      <c r="H10" s="127"/>
      <c r="I10" s="127">
        <f ca="1">Model!AB10/1000</f>
        <v>4.4383437882456134</v>
      </c>
      <c r="J10" s="127">
        <f ca="1">Model!AC10/1000</f>
        <v>4.3</v>
      </c>
      <c r="K10" s="127">
        <f ca="1">Model!AD10/1000</f>
        <v>0</v>
      </c>
      <c r="L10" s="127">
        <f ca="1">Model!AJ10/1000</f>
        <v>12.485742842104759</v>
      </c>
      <c r="M10" s="127">
        <f ca="1">Model!AZ10/1000</f>
        <v>10.551817965175831</v>
      </c>
      <c r="N10" s="127">
        <f ca="1">Model!BA10/1000</f>
        <v>0</v>
      </c>
      <c r="O10" s="127">
        <f t="shared" ca="1" si="12"/>
        <v>10.551817965175831</v>
      </c>
      <c r="P10" s="127">
        <f ca="1">Model!BF10/1000</f>
        <v>19.36861139784282</v>
      </c>
      <c r="Q10" s="127">
        <f ca="1">Model!BG10/1000</f>
        <v>74.950935120519659</v>
      </c>
      <c r="R10" s="127">
        <f t="shared" ca="1" si="13"/>
        <v>31.775904595526203</v>
      </c>
      <c r="S10" s="127">
        <f t="shared" ca="1" si="14"/>
        <v>4.4383437882456134</v>
      </c>
      <c r="T10" s="127">
        <f t="shared" ca="1" si="15"/>
        <v>4.3</v>
      </c>
      <c r="U10" s="127">
        <f t="shared" ca="1" si="16"/>
        <v>0</v>
      </c>
      <c r="V10" s="127">
        <f t="shared" ca="1" si="17"/>
        <v>12.485742842104759</v>
      </c>
      <c r="W10" s="127">
        <f t="shared" ca="1" si="18"/>
        <v>10.551817965175831</v>
      </c>
      <c r="X10" s="18">
        <f t="shared" ca="1" si="19"/>
        <v>71.567880237999987</v>
      </c>
      <c r="Y10" s="127">
        <f t="shared" ca="1" si="20"/>
        <v>31.775904595526203</v>
      </c>
      <c r="Z10" s="127">
        <f t="shared" ca="1" si="21"/>
        <v>4.4383437882456134</v>
      </c>
      <c r="AA10" s="127">
        <f t="shared" ca="1" si="22"/>
        <v>4.3</v>
      </c>
      <c r="AB10" s="127">
        <f t="shared" ca="1" si="23"/>
        <v>0</v>
      </c>
      <c r="AC10" s="127">
        <f ca="1">Model!AL10/1000</f>
        <v>12.485742842104759</v>
      </c>
      <c r="AD10" s="127">
        <f t="shared" ca="1" si="24"/>
        <v>10.551817965175831</v>
      </c>
      <c r="AE10" s="127">
        <f t="shared" ca="1" si="25"/>
        <v>0</v>
      </c>
      <c r="AF10" s="127">
        <f ca="1">Model!AW10/1000</f>
        <v>0</v>
      </c>
      <c r="AG10" s="18">
        <f t="shared" ca="1" si="26"/>
        <v>71.567880237999987</v>
      </c>
      <c r="AH10" s="127"/>
      <c r="AI10" s="18">
        <f ca="1">Model!X10</f>
        <v>71.567880237999987</v>
      </c>
      <c r="AJ10" s="18">
        <f ca="1">Model!Z10</f>
        <v>71.567880237999987</v>
      </c>
      <c r="AK10" s="89">
        <f t="shared" ca="1" si="2"/>
        <v>14.483632940865402</v>
      </c>
      <c r="AL10" s="89">
        <f t="shared" si="3"/>
        <v>16.904511036694647</v>
      </c>
      <c r="AQ10" s="2">
        <f t="shared" ca="1" si="4"/>
        <v>12.485742842104759</v>
      </c>
      <c r="AR10" s="2">
        <f t="shared" ca="1" si="5"/>
        <v>4.8065288125560421</v>
      </c>
      <c r="AS10" s="20">
        <f t="shared" ca="1" si="6"/>
        <v>31.775904595526203</v>
      </c>
      <c r="AT10" s="18">
        <f t="shared" ca="1" si="7"/>
        <v>71.567880237999987</v>
      </c>
      <c r="AU10" s="2">
        <v>10.395811927110259</v>
      </c>
      <c r="AV10" s="2">
        <v>4.8065288125560421</v>
      </c>
      <c r="AW10" s="20">
        <v>32.106851776360948</v>
      </c>
      <c r="AX10" s="18">
        <v>67.551938117999981</v>
      </c>
      <c r="AY10" s="2">
        <f t="shared" ca="1" si="8"/>
        <v>2.0899309149945005</v>
      </c>
      <c r="AZ10" s="2">
        <f t="shared" ca="1" si="9"/>
        <v>0</v>
      </c>
      <c r="BA10" s="2">
        <f t="shared" ca="1" si="10"/>
        <v>-0.33094718083474461</v>
      </c>
      <c r="BB10" s="17">
        <f t="shared" ca="1" si="11"/>
        <v>4.0159421200000054</v>
      </c>
      <c r="BC10" s="17">
        <f t="shared" ca="1" si="27"/>
        <v>74.430595447519991</v>
      </c>
      <c r="BE10" s="127">
        <v>32.106851776360948</v>
      </c>
      <c r="BF10" s="127">
        <v>5.6563079099177109</v>
      </c>
      <c r="BG10" s="127">
        <v>9.1</v>
      </c>
      <c r="BH10" s="127">
        <v>0</v>
      </c>
      <c r="BI10" s="127">
        <v>10.395811927110259</v>
      </c>
      <c r="BJ10" s="127">
        <v>6.9547319393329801</v>
      </c>
      <c r="BK10" s="127">
        <v>0</v>
      </c>
      <c r="BL10" s="127">
        <v>0</v>
      </c>
      <c r="BM10" s="18">
        <v>67.551938117999981</v>
      </c>
    </row>
    <row r="11" spans="1:65" x14ac:dyDescent="0.25">
      <c r="A11" s="271">
        <v>2028</v>
      </c>
      <c r="B11" s="2">
        <f ca="1">Removals!C11</f>
        <v>14.152025165406336</v>
      </c>
      <c r="C11" s="2">
        <f ca="1">Removals!D11</f>
        <v>4.6760415211923991</v>
      </c>
      <c r="D11" s="2">
        <f ca="1">Removals!H11</f>
        <v>-5.1936201560786541</v>
      </c>
      <c r="E11" s="127">
        <f>Model!$L11/1000</f>
        <v>31.815330342622627</v>
      </c>
      <c r="F11" s="127">
        <f>Model!M11/1000</f>
        <v>31.815330342622627</v>
      </c>
      <c r="G11" s="127">
        <f ca="1">Model!AU11/1000</f>
        <v>30.049505432444199</v>
      </c>
      <c r="H11" s="127"/>
      <c r="I11" s="127">
        <f ca="1">Model!AB11/1000</f>
        <v>4.0981251000483958</v>
      </c>
      <c r="J11" s="127">
        <f ca="1">Model!AC11/1000</f>
        <v>3.3</v>
      </c>
      <c r="K11" s="127">
        <f ca="1">Model!AD11/1000</f>
        <v>0</v>
      </c>
      <c r="L11" s="127">
        <f ca="1">Model!AJ11/1000</f>
        <v>14.152025165406336</v>
      </c>
      <c r="M11" s="127">
        <f ca="1">Model!AZ11/1000</f>
        <v>8.4993551669894654</v>
      </c>
      <c r="N11" s="127">
        <f ca="1">Model!BA11/1000</f>
        <v>0</v>
      </c>
      <c r="O11" s="127">
        <f t="shared" ca="1" si="12"/>
        <v>8.4993551669894654</v>
      </c>
      <c r="P11" s="127">
        <f ca="1">Model!BF11/1000</f>
        <v>10.869256230853352</v>
      </c>
      <c r="Q11" s="127">
        <f ca="1">Model!BG11/1000</f>
        <v>74.433356485633396</v>
      </c>
      <c r="R11" s="127">
        <f t="shared" ca="1" si="13"/>
        <v>30.049505432444199</v>
      </c>
      <c r="S11" s="127">
        <f t="shared" ca="1" si="14"/>
        <v>4.0981251000483958</v>
      </c>
      <c r="T11" s="127">
        <f t="shared" ca="1" si="15"/>
        <v>3.3</v>
      </c>
      <c r="U11" s="127">
        <f t="shared" ca="1" si="16"/>
        <v>0</v>
      </c>
      <c r="V11" s="127">
        <f t="shared" ca="1" si="17"/>
        <v>14.152025165406336</v>
      </c>
      <c r="W11" s="127">
        <f t="shared" ca="1" si="18"/>
        <v>8.4993551669894654</v>
      </c>
      <c r="X11" s="18">
        <f t="shared" ca="1" si="19"/>
        <v>75.074706369661982</v>
      </c>
      <c r="Y11" s="127">
        <f t="shared" ca="1" si="20"/>
        <v>30.049505432444199</v>
      </c>
      <c r="Z11" s="127">
        <f t="shared" ca="1" si="21"/>
        <v>4.0981251000483958</v>
      </c>
      <c r="AA11" s="127">
        <f t="shared" ca="1" si="22"/>
        <v>3.3</v>
      </c>
      <c r="AB11" s="127">
        <f t="shared" ca="1" si="23"/>
        <v>0</v>
      </c>
      <c r="AC11" s="127">
        <f ca="1">Model!AL11/1000</f>
        <v>14.152025165406336</v>
      </c>
      <c r="AD11" s="127">
        <f t="shared" ca="1" si="24"/>
        <v>8.4993551669894654</v>
      </c>
      <c r="AE11" s="127">
        <f t="shared" ca="1" si="25"/>
        <v>0</v>
      </c>
      <c r="AF11" s="127">
        <f ca="1">Model!AW11/1000</f>
        <v>0</v>
      </c>
      <c r="AG11" s="18">
        <f t="shared" ca="1" si="26"/>
        <v>75.074706369661982</v>
      </c>
      <c r="AH11" s="127"/>
      <c r="AI11" s="18">
        <f ca="1">Model!X11</f>
        <v>75.074706369661982</v>
      </c>
      <c r="AJ11" s="18">
        <f ca="1">Model!Z11</f>
        <v>75.074706369661982</v>
      </c>
      <c r="AK11" s="89">
        <f t="shared" ca="1" si="2"/>
        <v>11.221438745845465</v>
      </c>
      <c r="AL11" s="89">
        <f t="shared" si="3"/>
        <v>12.974184939867111</v>
      </c>
      <c r="AQ11" s="2">
        <f t="shared" ca="1" si="4"/>
        <v>14.152025165406336</v>
      </c>
      <c r="AR11" s="2">
        <f t="shared" ca="1" si="5"/>
        <v>4.6760415211923991</v>
      </c>
      <c r="AS11" s="20">
        <f t="shared" ca="1" si="6"/>
        <v>30.049505432444199</v>
      </c>
      <c r="AT11" s="18">
        <f t="shared" ca="1" si="7"/>
        <v>75.074706369661982</v>
      </c>
      <c r="AU11" s="2">
        <v>12.725790238635986</v>
      </c>
      <c r="AV11" s="2">
        <v>4.6760415211923991</v>
      </c>
      <c r="AW11" s="20">
        <v>30.376016699695498</v>
      </c>
      <c r="AX11" s="18">
        <v>69.510944323421981</v>
      </c>
      <c r="AY11" s="2">
        <f t="shared" ca="1" si="8"/>
        <v>1.4262349267703502</v>
      </c>
      <c r="AZ11" s="2">
        <f t="shared" ca="1" si="9"/>
        <v>0</v>
      </c>
      <c r="BA11" s="2">
        <f t="shared" ca="1" si="10"/>
        <v>-0.32651126725129842</v>
      </c>
      <c r="BB11" s="17">
        <f t="shared" ca="1" si="11"/>
        <v>5.5637620462400008</v>
      </c>
      <c r="BC11" s="17">
        <f t="shared" ca="1" si="27"/>
        <v>78.077694624448469</v>
      </c>
      <c r="BE11" s="127">
        <v>30.376016699695498</v>
      </c>
      <c r="BF11" s="127">
        <v>5.1961585027194364</v>
      </c>
      <c r="BG11" s="127">
        <v>0</v>
      </c>
      <c r="BH11" s="127">
        <v>0</v>
      </c>
      <c r="BI11" s="127">
        <v>12.725790238635986</v>
      </c>
      <c r="BJ11" s="127">
        <v>12.454067958340078</v>
      </c>
      <c r="BK11" s="127">
        <v>0</v>
      </c>
      <c r="BL11" s="127">
        <v>0</v>
      </c>
      <c r="BM11" s="18">
        <v>69.510944323421981</v>
      </c>
    </row>
    <row r="12" spans="1:65" x14ac:dyDescent="0.25">
      <c r="A12" s="271">
        <v>2029</v>
      </c>
      <c r="B12" s="2">
        <f ca="1">Removals!C12</f>
        <v>15.168876003833965</v>
      </c>
      <c r="C12" s="2">
        <f ca="1">Removals!D12</f>
        <v>4.5850640377802705</v>
      </c>
      <c r="D12" s="2">
        <f ca="1">Removals!H12</f>
        <v>-5.1581089199902319</v>
      </c>
      <c r="E12" s="127">
        <f>Model!$L12/1000</f>
        <v>31.497431700106798</v>
      </c>
      <c r="F12" s="127">
        <f>Model!M12/1000</f>
        <v>31.497431700106798</v>
      </c>
      <c r="G12" s="127">
        <f ca="1">Model!AU12/1000</f>
        <v>29.618147458676418</v>
      </c>
      <c r="H12" s="127"/>
      <c r="I12" s="127">
        <f ca="1">Model!AB12/1000</f>
        <v>4.0428539980580771</v>
      </c>
      <c r="J12" s="127">
        <f ca="1">Model!AC12/1000</f>
        <v>2.4</v>
      </c>
      <c r="K12" s="127">
        <f ca="1">Model!AD12/1000</f>
        <v>0</v>
      </c>
      <c r="L12" s="127">
        <f ca="1">Model!AJ12/1000</f>
        <v>15.168876003833965</v>
      </c>
      <c r="M12" s="127">
        <f ca="1">Model!AZ12/1000</f>
        <v>8.0064174567843782</v>
      </c>
      <c r="N12" s="127">
        <f ca="1">Model!BA12/1000</f>
        <v>0</v>
      </c>
      <c r="O12" s="127">
        <f t="shared" ca="1" si="12"/>
        <v>8.0064174567843782</v>
      </c>
      <c r="P12" s="127">
        <f ca="1">Model!BF12/1000</f>
        <v>2.8628387740689778</v>
      </c>
      <c r="Q12" s="127">
        <f ca="1">Model!BG12/1000</f>
        <v>73.86031160342344</v>
      </c>
      <c r="R12" s="127">
        <f t="shared" ca="1" si="13"/>
        <v>29.618147458676418</v>
      </c>
      <c r="S12" s="127">
        <f t="shared" ca="1" si="14"/>
        <v>4.0428539980580771</v>
      </c>
      <c r="T12" s="127">
        <f t="shared" ca="1" si="15"/>
        <v>2.4</v>
      </c>
      <c r="U12" s="127">
        <f t="shared" ca="1" si="16"/>
        <v>0</v>
      </c>
      <c r="V12" s="127">
        <f t="shared" ca="1" si="17"/>
        <v>15.168876003833965</v>
      </c>
      <c r="W12" s="127">
        <f t="shared" ca="1" si="18"/>
        <v>8.0064174567843782</v>
      </c>
      <c r="X12" s="18">
        <f t="shared" ca="1" si="19"/>
        <v>78.753366981775415</v>
      </c>
      <c r="Y12" s="127">
        <f t="shared" ca="1" si="20"/>
        <v>29.618147458676418</v>
      </c>
      <c r="Z12" s="127">
        <f t="shared" ca="1" si="21"/>
        <v>4.0428539980580771</v>
      </c>
      <c r="AA12" s="127">
        <f t="shared" ca="1" si="22"/>
        <v>2.4</v>
      </c>
      <c r="AB12" s="127">
        <f t="shared" ca="1" si="23"/>
        <v>0</v>
      </c>
      <c r="AC12" s="127">
        <f ca="1">Model!AL12/1000</f>
        <v>15.168876003833965</v>
      </c>
      <c r="AD12" s="127">
        <f t="shared" ca="1" si="24"/>
        <v>8.0064174567843782</v>
      </c>
      <c r="AE12" s="127">
        <f t="shared" ca="1" si="25"/>
        <v>0</v>
      </c>
      <c r="AF12" s="127">
        <f ca="1">Model!AW12/1000</f>
        <v>0</v>
      </c>
      <c r="AG12" s="18">
        <f t="shared" ca="1" si="26"/>
        <v>78.753366981775415</v>
      </c>
      <c r="AH12" s="127"/>
      <c r="AI12" s="18">
        <f ca="1">Model!X12</f>
        <v>78.753366981775415</v>
      </c>
      <c r="AJ12" s="18">
        <f ca="1">Model!Z12</f>
        <v>78.753366981775415</v>
      </c>
      <c r="AK12" s="89">
        <f t="shared" ca="1" si="2"/>
        <v>9.8642074170621825</v>
      </c>
      <c r="AL12" s="89">
        <f t="shared" si="3"/>
        <v>10.972313844613218</v>
      </c>
      <c r="AQ12" s="2">
        <f t="shared" ca="1" si="4"/>
        <v>15.168876003833965</v>
      </c>
      <c r="AR12" s="2">
        <f t="shared" ca="1" si="5"/>
        <v>4.5850640377802705</v>
      </c>
      <c r="AS12" s="20">
        <f t="shared" ca="1" si="6"/>
        <v>29.618147458676418</v>
      </c>
      <c r="AT12" s="18">
        <f t="shared" ca="1" si="7"/>
        <v>78.753366981775415</v>
      </c>
      <c r="AU12" s="2">
        <v>14.431481552526868</v>
      </c>
      <c r="AV12" s="2">
        <v>4.5850640377802705</v>
      </c>
      <c r="AW12" s="20">
        <v>29.988859434920357</v>
      </c>
      <c r="AX12" s="18">
        <v>71.526761708801217</v>
      </c>
      <c r="AY12" s="2">
        <f t="shared" ca="1" si="8"/>
        <v>0.73739445130709669</v>
      </c>
      <c r="AZ12" s="2">
        <f t="shared" ca="1" si="9"/>
        <v>0</v>
      </c>
      <c r="BA12" s="2">
        <f t="shared" ca="1" si="10"/>
        <v>-0.37071197624393903</v>
      </c>
      <c r="BB12" s="17">
        <f t="shared" ca="1" si="11"/>
        <v>7.2266052729741972</v>
      </c>
      <c r="BC12" s="17">
        <f t="shared" ca="1" si="27"/>
        <v>81.903501661046434</v>
      </c>
      <c r="BE12" s="127">
        <v>29.988859434920357</v>
      </c>
      <c r="BF12" s="127">
        <v>5.1313942148393412</v>
      </c>
      <c r="BG12" s="127">
        <v>0</v>
      </c>
      <c r="BH12" s="127">
        <v>0</v>
      </c>
      <c r="BI12" s="127">
        <v>14.431481552526868</v>
      </c>
      <c r="BJ12" s="127">
        <v>10.425983667554146</v>
      </c>
      <c r="BK12" s="127">
        <v>0</v>
      </c>
      <c r="BL12" s="127">
        <v>0</v>
      </c>
      <c r="BM12" s="18">
        <v>71.526761708801217</v>
      </c>
    </row>
    <row r="13" spans="1:65" x14ac:dyDescent="0.25">
      <c r="A13" s="271">
        <v>2030</v>
      </c>
      <c r="B13" s="2">
        <f ca="1">Removals!C13</f>
        <v>15.563621038300418</v>
      </c>
      <c r="C13" s="2">
        <f ca="1">Removals!D13</f>
        <v>4.7662829849720358</v>
      </c>
      <c r="D13" s="2">
        <f ca="1">Removals!H13</f>
        <v>-3.6239979382755299</v>
      </c>
      <c r="E13" s="127">
        <f>Model!$L13/1000</f>
        <v>30.299180745435713</v>
      </c>
      <c r="F13" s="127">
        <f>Model!M13/1000</f>
        <v>30.299180745435713</v>
      </c>
      <c r="G13" s="127">
        <f ca="1">Model!AU13/1000</f>
        <v>28.355806536382588</v>
      </c>
      <c r="H13" s="127"/>
      <c r="I13" s="127">
        <f ca="1">Model!AB13/1000</f>
        <v>3.9875828960677553</v>
      </c>
      <c r="J13" s="127">
        <f ca="1">Model!AC13/1000</f>
        <v>1.7</v>
      </c>
      <c r="K13" s="127">
        <f ca="1">Model!AD13/1000</f>
        <v>0</v>
      </c>
      <c r="L13" s="127">
        <f ca="1">Model!AJ13/1000</f>
        <v>15.563621038300418</v>
      </c>
      <c r="M13" s="127">
        <f ca="1">Model!AZ13/1000</f>
        <v>2.8628387740689778</v>
      </c>
      <c r="N13" s="127">
        <f ca="1">Model!BA13/1000</f>
        <v>4.2417638279454364</v>
      </c>
      <c r="O13" s="127">
        <f t="shared" ca="1" si="12"/>
        <v>7.1046026020144142</v>
      </c>
      <c r="P13" s="127">
        <f ca="1">Model!BF13/1000</f>
        <v>0</v>
      </c>
      <c r="Q13" s="127">
        <f ca="1">Model!BG13/1000</f>
        <v>70.760832822174507</v>
      </c>
      <c r="R13" s="127">
        <f t="shared" ca="1" si="13"/>
        <v>28.355806536382588</v>
      </c>
      <c r="S13" s="127">
        <f t="shared" ca="1" si="14"/>
        <v>3.9875828960677553</v>
      </c>
      <c r="T13" s="127">
        <f t="shared" ca="1" si="15"/>
        <v>1.7</v>
      </c>
      <c r="U13" s="127">
        <f t="shared" ca="1" si="16"/>
        <v>0</v>
      </c>
      <c r="V13" s="127">
        <f t="shared" ca="1" si="17"/>
        <v>15.563621038300418</v>
      </c>
      <c r="W13" s="127">
        <f t="shared" ca="1" si="18"/>
        <v>7.1046026020144142</v>
      </c>
      <c r="X13" s="18">
        <f t="shared" ca="1" si="19"/>
        <v>82.61228196388241</v>
      </c>
      <c r="Y13" s="262">
        <f t="shared" ca="1" si="20"/>
        <v>28.355806536382588</v>
      </c>
      <c r="Z13" s="127">
        <f t="shared" ca="1" si="21"/>
        <v>3.9875828960677553</v>
      </c>
      <c r="AA13" s="127">
        <f t="shared" ca="1" si="22"/>
        <v>1.7</v>
      </c>
      <c r="AB13" s="127">
        <f t="shared" ca="1" si="23"/>
        <v>0</v>
      </c>
      <c r="AC13" s="127">
        <f ca="1">Model!AL13/1000</f>
        <v>15.563621038300418</v>
      </c>
      <c r="AD13" s="127">
        <f t="shared" ca="1" si="24"/>
        <v>2.8628387740689778</v>
      </c>
      <c r="AE13" s="127">
        <f t="shared" ca="1" si="25"/>
        <v>4.2417638279454364</v>
      </c>
      <c r="AF13" s="127">
        <f ca="1">Model!AW13/1000</f>
        <v>0</v>
      </c>
      <c r="AG13" s="18">
        <f t="shared" ca="1" si="26"/>
        <v>82.61228196388241</v>
      </c>
      <c r="AH13" s="127"/>
      <c r="AI13" s="18">
        <f ca="1">Model!X13</f>
        <v>82.61228196388241</v>
      </c>
      <c r="AJ13" s="18">
        <f ca="1">Model!Z13</f>
        <v>82.61228196388241</v>
      </c>
      <c r="AK13" s="96">
        <f t="shared" ca="1" si="2"/>
        <v>8.0259025131101325</v>
      </c>
      <c r="AL13" s="96">
        <f t="shared" si="3"/>
        <v>8.4914376406027792</v>
      </c>
      <c r="AQ13" s="2">
        <f t="shared" ca="1" si="4"/>
        <v>15.563621038300418</v>
      </c>
      <c r="AR13" s="2">
        <f t="shared" ca="1" si="5"/>
        <v>4.7662829849720358</v>
      </c>
      <c r="AS13" s="20">
        <f t="shared" ca="1" si="6"/>
        <v>28.355806536382588</v>
      </c>
      <c r="AT13" s="18">
        <f t="shared" ca="1" si="7"/>
        <v>82.61228196388241</v>
      </c>
      <c r="AU13" s="2">
        <v>15.421814479423094</v>
      </c>
      <c r="AV13" s="2">
        <v>4.7662829849720358</v>
      </c>
      <c r="AW13" s="20">
        <v>28.67953510499791</v>
      </c>
      <c r="AX13" s="18">
        <v>73.601037798356444</v>
      </c>
      <c r="AY13" s="2">
        <f t="shared" ca="1" si="8"/>
        <v>0.14180655887732385</v>
      </c>
      <c r="AZ13" s="2">
        <f t="shared" ca="1" si="9"/>
        <v>0</v>
      </c>
      <c r="BA13" s="2">
        <f t="shared" ca="1" si="10"/>
        <v>-0.32372856861532284</v>
      </c>
      <c r="BB13" s="17">
        <f t="shared" ca="1" si="11"/>
        <v>9.0112441655259659</v>
      </c>
      <c r="BC13" s="17">
        <f t="shared" ca="1" si="27"/>
        <v>85.916773242437714</v>
      </c>
      <c r="BE13" s="262">
        <v>28.67953510499791</v>
      </c>
      <c r="BF13" s="127">
        <v>4.6855358360501578</v>
      </c>
      <c r="BG13" s="127">
        <v>0</v>
      </c>
      <c r="BH13" s="127">
        <v>0</v>
      </c>
      <c r="BI13" s="127">
        <v>15.421814479423094</v>
      </c>
      <c r="BJ13" s="127">
        <v>2.1405825121749675</v>
      </c>
      <c r="BK13" s="127">
        <v>6.4316022773496915</v>
      </c>
      <c r="BL13" s="127">
        <v>0</v>
      </c>
      <c r="BM13" s="18">
        <v>73.601037798356444</v>
      </c>
    </row>
    <row r="14" spans="1:65" x14ac:dyDescent="0.25">
      <c r="A14" s="19">
        <v>2031</v>
      </c>
      <c r="B14" s="2">
        <f ca="1">Removals!C14</f>
        <v>15.728732200626675</v>
      </c>
      <c r="C14" s="2">
        <f ca="1">Removals!D14</f>
        <v>5.0673769836627649</v>
      </c>
      <c r="D14" s="2">
        <f ca="1">Removals!H14</f>
        <v>-2.5485008013372568</v>
      </c>
      <c r="E14" s="127">
        <f>Model!$L14/1000</f>
        <v>30.009842020082601</v>
      </c>
      <c r="F14" s="127">
        <f>Model!M14/1000</f>
        <v>30.009842020082601</v>
      </c>
      <c r="G14" s="127">
        <f ca="1">Model!AU14/1000</f>
        <v>28.040004956836039</v>
      </c>
      <c r="H14" s="127"/>
      <c r="I14" s="127">
        <f ca="1">Model!AB14/1000</f>
        <v>3.8770406920871148</v>
      </c>
      <c r="J14" s="127">
        <f ca="1">Model!AC14/1000</f>
        <v>5.7</v>
      </c>
      <c r="K14" s="127">
        <f ca="1">Model!AD14/1000</f>
        <v>0</v>
      </c>
      <c r="L14" s="127">
        <f ca="1">Model!AJ14/1000</f>
        <v>15.728732200626675</v>
      </c>
      <c r="M14" s="127">
        <f ca="1">Model!AZ14/1000</f>
        <v>0</v>
      </c>
      <c r="N14" s="127">
        <f ca="1">Model!BA14/1000</f>
        <v>2.7342320641222542</v>
      </c>
      <c r="O14" s="127">
        <f t="shared" ca="1" si="12"/>
        <v>2.7342320641222542</v>
      </c>
      <c r="P14" s="127">
        <f ca="1">Model!BF14/1000</f>
        <v>0</v>
      </c>
      <c r="Q14" s="127">
        <f ca="1">Model!BG14/1000</f>
        <v>70.545476940377768</v>
      </c>
      <c r="R14" s="127">
        <f t="shared" ca="1" si="13"/>
        <v>28.040004956836039</v>
      </c>
      <c r="S14" s="127">
        <f t="shared" ca="1" si="14"/>
        <v>3.8770406920871148</v>
      </c>
      <c r="T14" s="127">
        <f t="shared" ca="1" si="15"/>
        <v>5.7</v>
      </c>
      <c r="U14" s="127">
        <f t="shared" ca="1" si="16"/>
        <v>0</v>
      </c>
      <c r="V14" s="127">
        <f t="shared" ca="1" si="17"/>
        <v>15.728732200626675</v>
      </c>
      <c r="W14" s="127">
        <f t="shared" ca="1" si="18"/>
        <v>2.7342320641222542</v>
      </c>
      <c r="X14" s="18">
        <f t="shared" ca="1" si="19"/>
        <v>80.588281055767297</v>
      </c>
      <c r="Y14" s="127">
        <f t="shared" ca="1" si="20"/>
        <v>28.040004956836039</v>
      </c>
      <c r="Z14" s="127">
        <f t="shared" ca="1" si="21"/>
        <v>3.8770406920871148</v>
      </c>
      <c r="AA14" s="127">
        <f t="shared" ca="1" si="22"/>
        <v>5.7</v>
      </c>
      <c r="AB14" s="127">
        <f t="shared" ca="1" si="23"/>
        <v>0</v>
      </c>
      <c r="AC14" s="127">
        <f ca="1">Model!AL14/1000</f>
        <v>15.728732200626675</v>
      </c>
      <c r="AD14" s="127">
        <f t="shared" ca="1" si="24"/>
        <v>0</v>
      </c>
      <c r="AE14" s="127">
        <f t="shared" ca="1" si="25"/>
        <v>2.7342320641222542</v>
      </c>
      <c r="AF14" s="127">
        <f ca="1">Model!AW14/1000</f>
        <v>0</v>
      </c>
      <c r="AG14" s="18">
        <f t="shared" ca="1" si="26"/>
        <v>80.588281055767297</v>
      </c>
      <c r="AH14" s="127"/>
      <c r="AI14" s="18">
        <f ca="1">Model!X14</f>
        <v>80.588281055767297</v>
      </c>
      <c r="AJ14" s="18">
        <f ca="1">Model!Z14</f>
        <v>80.588281055767297</v>
      </c>
      <c r="AK14" s="89">
        <f t="shared" ca="1" si="2"/>
        <v>7.2438957725465993</v>
      </c>
      <c r="AL14" s="89">
        <f t="shared" si="3"/>
        <v>7.011158939186636</v>
      </c>
      <c r="AM14" s="89">
        <f ca="1">SUM(AK14:AK18)</f>
        <v>21.466425675428447</v>
      </c>
      <c r="AN14" s="89">
        <f>SUM(AL14:AL18)</f>
        <v>13.967149354990369</v>
      </c>
      <c r="AO14" s="89">
        <f ca="1">AM14-AN14</f>
        <v>7.4992763204380779</v>
      </c>
      <c r="AQ14" s="2">
        <f t="shared" ca="1" si="4"/>
        <v>15.728732200626675</v>
      </c>
      <c r="AR14" s="2">
        <f t="shared" ca="1" si="5"/>
        <v>5.0673769836627649</v>
      </c>
      <c r="AS14" s="20">
        <f t="shared" ca="1" si="6"/>
        <v>28.040004956836039</v>
      </c>
      <c r="AT14" s="18">
        <f t="shared" ca="1" si="7"/>
        <v>80.588281055767297</v>
      </c>
      <c r="AU14" s="2">
        <v>16.230234486730009</v>
      </c>
      <c r="AV14" s="2">
        <v>5.0673769836627649</v>
      </c>
      <c r="AW14" s="20">
        <v>28.308770409579409</v>
      </c>
      <c r="AX14" s="18">
        <v>72.533822750280279</v>
      </c>
      <c r="AY14" s="2">
        <f t="shared" ca="1" si="8"/>
        <v>-0.50150228610333336</v>
      </c>
      <c r="AZ14" s="2">
        <f t="shared" ca="1" si="9"/>
        <v>0</v>
      </c>
      <c r="BA14" s="2">
        <f t="shared" ca="1" si="10"/>
        <v>-0.26876545274337005</v>
      </c>
      <c r="BB14" s="17">
        <f t="shared" ca="1" si="11"/>
        <v>8.0544583054870174</v>
      </c>
      <c r="BC14" s="17">
        <f t="shared" ca="1" si="27"/>
        <v>83.811812297997989</v>
      </c>
      <c r="BE14" s="127">
        <v>28.308770409579409</v>
      </c>
      <c r="BF14" s="127">
        <v>4.565534612562697</v>
      </c>
      <c r="BG14" s="127">
        <v>0</v>
      </c>
      <c r="BH14" s="127">
        <v>0</v>
      </c>
      <c r="BI14" s="127">
        <v>16.230234486730009</v>
      </c>
      <c r="BJ14" s="127">
        <v>0</v>
      </c>
      <c r="BK14" s="127">
        <v>7.5130013102867048</v>
      </c>
      <c r="BL14" s="127">
        <v>0</v>
      </c>
      <c r="BM14" s="18">
        <v>72.533822750280279</v>
      </c>
    </row>
    <row r="15" spans="1:65" x14ac:dyDescent="0.25">
      <c r="A15" s="19">
        <v>2032</v>
      </c>
      <c r="B15" s="2">
        <f ca="1">Removals!C15</f>
        <v>15.98729921126731</v>
      </c>
      <c r="C15" s="2">
        <f ca="1">Removals!D15</f>
        <v>5.5732071972629829</v>
      </c>
      <c r="D15" s="2">
        <f ca="1">Removals!H15</f>
        <v>-1.7699228292294331</v>
      </c>
      <c r="E15" s="127">
        <f>Model!$L15/1000</f>
        <v>29.540084884014295</v>
      </c>
      <c r="F15" s="127">
        <f>Model!M15/1000</f>
        <v>29.540084884014295</v>
      </c>
      <c r="G15" s="127">
        <f ca="1">Model!AU15/1000</f>
        <v>27.567613631630895</v>
      </c>
      <c r="H15" s="127"/>
      <c r="I15" s="127">
        <f ca="1">Model!AB15/1000</f>
        <v>3.7664984881064738</v>
      </c>
      <c r="J15" s="127">
        <f ca="1">Model!AC15/1000</f>
        <v>5.0999999999999996</v>
      </c>
      <c r="K15" s="127">
        <f ca="1">Model!AD15/1000</f>
        <v>0</v>
      </c>
      <c r="L15" s="127">
        <f ca="1">Model!AJ15/1000</f>
        <v>15.98729921126731</v>
      </c>
      <c r="M15" s="127">
        <f ca="1">Model!AZ15/1000</f>
        <v>0</v>
      </c>
      <c r="N15" s="127">
        <f ca="1">Model!BA15/1000</f>
        <v>2.7138159322571118</v>
      </c>
      <c r="O15" s="127">
        <f t="shared" ca="1" si="12"/>
        <v>2.7138159322571118</v>
      </c>
      <c r="P15" s="127">
        <f ca="1">Model!BF15/1000</f>
        <v>0</v>
      </c>
      <c r="Q15" s="127">
        <f ca="1">Model!BG15/1000</f>
        <v>71.634945376154192</v>
      </c>
      <c r="R15" s="127">
        <f t="shared" ca="1" si="13"/>
        <v>27.567613631630895</v>
      </c>
      <c r="S15" s="127">
        <f t="shared" ca="1" si="14"/>
        <v>3.7664984881064738</v>
      </c>
      <c r="T15" s="127">
        <f t="shared" ca="1" si="15"/>
        <v>5.0999999999999996</v>
      </c>
      <c r="U15" s="127">
        <f t="shared" ca="1" si="16"/>
        <v>0</v>
      </c>
      <c r="V15" s="127">
        <f t="shared" ca="1" si="17"/>
        <v>15.98729921126731</v>
      </c>
      <c r="W15" s="127">
        <f t="shared" ca="1" si="18"/>
        <v>2.7138159322571118</v>
      </c>
      <c r="X15" s="18">
        <f t="shared" ca="1" si="19"/>
        <v>78.613868169900996</v>
      </c>
      <c r="Y15" s="127">
        <f t="shared" ca="1" si="20"/>
        <v>27.567613631630895</v>
      </c>
      <c r="Z15" s="127">
        <f t="shared" ca="1" si="21"/>
        <v>3.7664984881064738</v>
      </c>
      <c r="AA15" s="127">
        <f t="shared" ca="1" si="22"/>
        <v>5.0999999999999996</v>
      </c>
      <c r="AB15" s="127">
        <f t="shared" ca="1" si="23"/>
        <v>0</v>
      </c>
      <c r="AC15" s="127">
        <f ca="1">Model!AL15/1000</f>
        <v>15.98729921126731</v>
      </c>
      <c r="AD15" s="127">
        <f t="shared" ca="1" si="24"/>
        <v>0</v>
      </c>
      <c r="AE15" s="127">
        <f t="shared" ca="1" si="25"/>
        <v>2.7138159322571118</v>
      </c>
      <c r="AF15" s="127">
        <f ca="1">Model!AW15/1000</f>
        <v>0</v>
      </c>
      <c r="AG15" s="18">
        <f t="shared" ca="1" si="26"/>
        <v>78.613868169900996</v>
      </c>
      <c r="AH15" s="127"/>
      <c r="AI15" s="18">
        <f ca="1">Model!X15</f>
        <v>78.613868169900996</v>
      </c>
      <c r="AJ15" s="18">
        <f ca="1">Model!Z15</f>
        <v>78.613868169900996</v>
      </c>
      <c r="AK15" s="89">
        <f t="shared" ca="1" si="2"/>
        <v>6.0071072231006024</v>
      </c>
      <c r="AL15" s="89">
        <f t="shared" si="3"/>
        <v>5.2087861145284808</v>
      </c>
      <c r="AQ15" s="2">
        <f t="shared" ca="1" si="4"/>
        <v>15.98729921126731</v>
      </c>
      <c r="AR15" s="2">
        <f t="shared" ca="1" si="5"/>
        <v>5.5732071972629829</v>
      </c>
      <c r="AS15" s="20">
        <f t="shared" ca="1" si="6"/>
        <v>27.567613631630895</v>
      </c>
      <c r="AT15" s="18">
        <f t="shared" ca="1" si="7"/>
        <v>78.613868169900996</v>
      </c>
      <c r="AU15" s="2">
        <v>17.012154488090086</v>
      </c>
      <c r="AV15" s="2">
        <v>5.5732071972629829</v>
      </c>
      <c r="AW15" s="20">
        <v>27.79414779988155</v>
      </c>
      <c r="AX15" s="18">
        <v>71.482082320401219</v>
      </c>
      <c r="AY15" s="2">
        <f t="shared" ca="1" si="8"/>
        <v>-1.0248552768227768</v>
      </c>
      <c r="AZ15" s="2">
        <f t="shared" ca="1" si="9"/>
        <v>0</v>
      </c>
      <c r="BA15" s="2">
        <f t="shared" ca="1" si="10"/>
        <v>-0.2265341682506552</v>
      </c>
      <c r="BB15" s="17">
        <f t="shared" ca="1" si="11"/>
        <v>7.1317858494997779</v>
      </c>
      <c r="BC15" s="17">
        <f t="shared" ca="1" si="27"/>
        <v>81.758422896697041</v>
      </c>
      <c r="BE15" s="127">
        <v>27.79414779988155</v>
      </c>
      <c r="BF15" s="127">
        <v>4.4455333890752353</v>
      </c>
      <c r="BG15" s="127">
        <v>0</v>
      </c>
      <c r="BH15" s="127">
        <v>0</v>
      </c>
      <c r="BI15" s="127">
        <v>17.012154488090086</v>
      </c>
      <c r="BJ15" s="127">
        <v>0</v>
      </c>
      <c r="BK15" s="127">
        <v>6.3364599227162293</v>
      </c>
      <c r="BL15" s="127">
        <v>0</v>
      </c>
      <c r="BM15" s="18">
        <v>71.482082320401219</v>
      </c>
    </row>
    <row r="16" spans="1:65" x14ac:dyDescent="0.25">
      <c r="A16" s="19">
        <v>2033</v>
      </c>
      <c r="B16" s="2">
        <f ca="1">Removals!C16</f>
        <v>16.579736936540396</v>
      </c>
      <c r="C16" s="2">
        <f ca="1">Removals!D16</f>
        <v>6.153758348940201</v>
      </c>
      <c r="D16" s="2">
        <f ca="1">Removals!H16</f>
        <v>-0.69963157172346135</v>
      </c>
      <c r="E16" s="127">
        <f>Model!$L16/1000</f>
        <v>29.072833920902092</v>
      </c>
      <c r="F16" s="127">
        <f>Model!M16/1000</f>
        <v>29.072833920902092</v>
      </c>
      <c r="G16" s="127">
        <f ca="1">Model!AU16/1000</f>
        <v>27.112335138373542</v>
      </c>
      <c r="H16" s="127"/>
      <c r="I16" s="127">
        <f ca="1">Model!AB16/1000</f>
        <v>3.655956284125832</v>
      </c>
      <c r="J16" s="127">
        <f ca="1">Model!AC16/1000</f>
        <v>0</v>
      </c>
      <c r="K16" s="127">
        <f ca="1">Model!AD16/1000</f>
        <v>0</v>
      </c>
      <c r="L16" s="127">
        <f ca="1">Model!AJ16/1000</f>
        <v>16.579736936540396</v>
      </c>
      <c r="M16" s="127">
        <f ca="1">Model!AZ16/1000</f>
        <v>0</v>
      </c>
      <c r="N16" s="127">
        <f ca="1">Model!BA16/1000</f>
        <v>6.8766419177073113</v>
      </c>
      <c r="O16" s="127">
        <f t="shared" ca="1" si="12"/>
        <v>6.8766419177073113</v>
      </c>
      <c r="P16" s="127">
        <f ca="1">Model!BF16/1000</f>
        <v>0</v>
      </c>
      <c r="Q16" s="127">
        <f ca="1">Model!BG16/1000</f>
        <v>70.212430235663618</v>
      </c>
      <c r="R16" s="127">
        <f t="shared" ca="1" si="13"/>
        <v>27.112335138373542</v>
      </c>
      <c r="S16" s="127">
        <f t="shared" ca="1" si="14"/>
        <v>3.655956284125832</v>
      </c>
      <c r="T16" s="127">
        <f t="shared" ca="1" si="15"/>
        <v>0</v>
      </c>
      <c r="U16" s="127">
        <f t="shared" ca="1" si="16"/>
        <v>0</v>
      </c>
      <c r="V16" s="127">
        <f t="shared" ca="1" si="17"/>
        <v>16.579736936540396</v>
      </c>
      <c r="W16" s="127">
        <f t="shared" ca="1" si="18"/>
        <v>6.8766419177073113</v>
      </c>
      <c r="X16" s="18">
        <f t="shared" ca="1" si="19"/>
        <v>76.687828399738422</v>
      </c>
      <c r="Y16" s="127">
        <f t="shared" ca="1" si="20"/>
        <v>27.112335138373542</v>
      </c>
      <c r="Z16" s="127">
        <f t="shared" ca="1" si="21"/>
        <v>3.655956284125832</v>
      </c>
      <c r="AA16" s="127">
        <f t="shared" ca="1" si="22"/>
        <v>0</v>
      </c>
      <c r="AB16" s="127">
        <f t="shared" ca="1" si="23"/>
        <v>0</v>
      </c>
      <c r="AC16" s="127">
        <f ca="1">Model!AL16/1000</f>
        <v>16.579736936540396</v>
      </c>
      <c r="AD16" s="127">
        <f t="shared" ca="1" si="24"/>
        <v>0</v>
      </c>
      <c r="AE16" s="127">
        <f t="shared" ca="1" si="25"/>
        <v>6.8766419177073113</v>
      </c>
      <c r="AF16" s="127">
        <f ca="1">Model!AW16/1000</f>
        <v>0</v>
      </c>
      <c r="AG16" s="18">
        <f t="shared" ca="1" si="26"/>
        <v>76.687828399738422</v>
      </c>
      <c r="AH16" s="127"/>
      <c r="AI16" s="18">
        <f ca="1">Model!X16</f>
        <v>76.687828399738422</v>
      </c>
      <c r="AJ16" s="18">
        <f ca="1">Model!Z16</f>
        <v>76.687828399738422</v>
      </c>
      <c r="AK16" s="89">
        <f t="shared" ca="1" si="2"/>
        <v>4.3788398528929449</v>
      </c>
      <c r="AL16" s="89">
        <f t="shared" si="3"/>
        <v>2.989244873972936</v>
      </c>
      <c r="AQ16" s="2">
        <f t="shared" ca="1" si="4"/>
        <v>16.579736936540396</v>
      </c>
      <c r="AR16" s="2">
        <f t="shared" ca="1" si="5"/>
        <v>6.153758348940201</v>
      </c>
      <c r="AS16" s="20">
        <f t="shared" ca="1" si="6"/>
        <v>27.112335138373542</v>
      </c>
      <c r="AT16" s="18">
        <f t="shared" ca="1" si="7"/>
        <v>76.687828399738422</v>
      </c>
      <c r="AU16" s="2">
        <v>18.160125301759553</v>
      </c>
      <c r="AV16" s="2">
        <v>6.153758348940201</v>
      </c>
      <c r="AW16" s="20">
        <v>27.30312852467269</v>
      </c>
      <c r="AX16" s="18">
        <v>70.4455921267554</v>
      </c>
      <c r="AY16" s="2">
        <f t="shared" ca="1" si="8"/>
        <v>-1.5803883652191573</v>
      </c>
      <c r="AZ16" s="2">
        <f t="shared" ca="1" si="9"/>
        <v>0</v>
      </c>
      <c r="BA16" s="2">
        <f t="shared" ca="1" si="10"/>
        <v>-0.19079338629914844</v>
      </c>
      <c r="BB16" s="17">
        <f t="shared" ca="1" si="11"/>
        <v>6.2422362729830212</v>
      </c>
      <c r="BC16" s="17">
        <f t="shared" ca="1" si="27"/>
        <v>79.755341535727965</v>
      </c>
      <c r="BE16" s="127">
        <v>27.30312852467269</v>
      </c>
      <c r="BF16" s="127">
        <v>4.3255321655877754</v>
      </c>
      <c r="BG16" s="127">
        <v>0</v>
      </c>
      <c r="BH16" s="127">
        <v>0</v>
      </c>
      <c r="BI16" s="127">
        <v>18.160125301759553</v>
      </c>
      <c r="BJ16" s="127">
        <v>0</v>
      </c>
      <c r="BK16" s="127">
        <v>4.8174710573253652</v>
      </c>
      <c r="BL16" s="127">
        <v>0</v>
      </c>
      <c r="BM16" s="18">
        <v>70.4455921267554</v>
      </c>
    </row>
    <row r="17" spans="1:65" x14ac:dyDescent="0.25">
      <c r="A17" s="19">
        <v>2034</v>
      </c>
      <c r="B17" s="2">
        <f ca="1">Removals!C17</f>
        <v>17.36498017290781</v>
      </c>
      <c r="C17" s="2">
        <f ca="1">Removals!D17</f>
        <v>6.8793023814401266</v>
      </c>
      <c r="D17" s="2">
        <f ca="1">Removals!H17</f>
        <v>-0.93747929870530822</v>
      </c>
      <c r="E17" s="127">
        <f>Model!$L17/1000</f>
        <v>28.645733094164243</v>
      </c>
      <c r="F17" s="127">
        <f>Model!M17/1000</f>
        <v>28.645733094164243</v>
      </c>
      <c r="G17" s="127">
        <f ca="1">Model!AU17/1000</f>
        <v>26.705927057090591</v>
      </c>
      <c r="H17" s="127"/>
      <c r="I17" s="127">
        <f ca="1">Model!AB17/1000</f>
        <v>3.545414080145191</v>
      </c>
      <c r="J17" s="127">
        <f ca="1">Model!AC17/1000</f>
        <v>0</v>
      </c>
      <c r="K17" s="127">
        <f ca="1">Model!AD17/1000</f>
        <v>0</v>
      </c>
      <c r="L17" s="127">
        <f ca="1">Model!AJ17/1000</f>
        <v>17.36498017290781</v>
      </c>
      <c r="M17" s="127">
        <f ca="1">Model!AZ17/1000</f>
        <v>0</v>
      </c>
      <c r="N17" s="127">
        <f ca="1">Model!BA17/1000</f>
        <v>5.79553280403759</v>
      </c>
      <c r="O17" s="127">
        <f t="shared" ca="1" si="12"/>
        <v>5.79553280403759</v>
      </c>
      <c r="P17" s="127">
        <f ca="1">Model!BF17/1000</f>
        <v>0</v>
      </c>
      <c r="Q17" s="127">
        <f ca="1">Model!BG17/1000</f>
        <v>70.35872051436084</v>
      </c>
      <c r="R17" s="127">
        <f t="shared" ca="1" si="13"/>
        <v>26.705927057090591</v>
      </c>
      <c r="S17" s="127">
        <f t="shared" ca="1" si="14"/>
        <v>3.545414080145191</v>
      </c>
      <c r="T17" s="127">
        <f t="shared" ca="1" si="15"/>
        <v>0</v>
      </c>
      <c r="U17" s="127">
        <f t="shared" ca="1" si="16"/>
        <v>0</v>
      </c>
      <c r="V17" s="127">
        <f t="shared" ca="1" si="17"/>
        <v>17.36498017290781</v>
      </c>
      <c r="W17" s="127">
        <f t="shared" ca="1" si="18"/>
        <v>5.79553280403759</v>
      </c>
      <c r="X17" s="18">
        <f t="shared" ca="1" si="19"/>
        <v>74.808976603944828</v>
      </c>
      <c r="Y17" s="127">
        <f t="shared" ca="1" si="20"/>
        <v>26.705927057090591</v>
      </c>
      <c r="Z17" s="127">
        <f t="shared" ca="1" si="21"/>
        <v>3.545414080145191</v>
      </c>
      <c r="AA17" s="127">
        <f t="shared" ca="1" si="22"/>
        <v>0</v>
      </c>
      <c r="AB17" s="127">
        <f t="shared" ca="1" si="23"/>
        <v>0</v>
      </c>
      <c r="AC17" s="127">
        <f ca="1">Model!AL17/1000</f>
        <v>17.36498017290781</v>
      </c>
      <c r="AD17" s="127">
        <f t="shared" ca="1" si="24"/>
        <v>0</v>
      </c>
      <c r="AE17" s="127">
        <f t="shared" ca="1" si="25"/>
        <v>5.79553280403759</v>
      </c>
      <c r="AF17" s="127">
        <f ca="1">Model!AW17/1000</f>
        <v>0</v>
      </c>
      <c r="AG17" s="18">
        <f t="shared" ca="1" si="26"/>
        <v>74.808976603944828</v>
      </c>
      <c r="AH17" s="127"/>
      <c r="AI17" s="18">
        <f ca="1">Model!X17</f>
        <v>74.808976603944828</v>
      </c>
      <c r="AJ17" s="18">
        <f ca="1">Model!Z17</f>
        <v>74.808976603944828</v>
      </c>
      <c r="AK17" s="89">
        <f t="shared" ca="1" si="2"/>
        <v>2.4616445027426543</v>
      </c>
      <c r="AL17" s="89">
        <f t="shared" si="3"/>
        <v>0.47980819346707904</v>
      </c>
      <c r="AQ17" s="2">
        <f t="shared" ca="1" si="4"/>
        <v>17.36498017290781</v>
      </c>
      <c r="AR17" s="2">
        <f t="shared" ca="1" si="5"/>
        <v>6.8793023814401266</v>
      </c>
      <c r="AS17" s="20">
        <f t="shared" ca="1" si="6"/>
        <v>26.705927057090591</v>
      </c>
      <c r="AT17" s="18">
        <f t="shared" ca="1" si="7"/>
        <v>74.808976603944828</v>
      </c>
      <c r="AU17" s="2">
        <v>19.509559101069513</v>
      </c>
      <c r="AV17" s="2">
        <v>6.8793023814401266</v>
      </c>
      <c r="AW17" s="20">
        <v>26.868669675976719</v>
      </c>
      <c r="AX17" s="18">
        <v>69.424131040917445</v>
      </c>
      <c r="AY17" s="2">
        <f t="shared" ca="1" si="8"/>
        <v>-2.1445789281617031</v>
      </c>
      <c r="AZ17" s="2">
        <f t="shared" ca="1" si="9"/>
        <v>0</v>
      </c>
      <c r="BA17" s="2">
        <f t="shared" ca="1" si="10"/>
        <v>-0.16274261888612784</v>
      </c>
      <c r="BB17" s="17">
        <f t="shared" ca="1" si="11"/>
        <v>5.3848455630273833</v>
      </c>
      <c r="BC17" s="17">
        <f t="shared" ca="1" si="27"/>
        <v>77.801335668102624</v>
      </c>
      <c r="BE17" s="127">
        <v>26.868669675976719</v>
      </c>
      <c r="BF17" s="127">
        <v>4.205530942100312</v>
      </c>
      <c r="BG17" s="127">
        <v>0</v>
      </c>
      <c r="BH17" s="127">
        <v>0</v>
      </c>
      <c r="BI17" s="127">
        <v>19.509559101069513</v>
      </c>
      <c r="BJ17" s="127">
        <v>0</v>
      </c>
      <c r="BK17" s="127">
        <v>3.1535796328068937</v>
      </c>
      <c r="BL17" s="127">
        <v>0</v>
      </c>
      <c r="BM17" s="18">
        <v>69.424131040917445</v>
      </c>
    </row>
    <row r="18" spans="1:65" x14ac:dyDescent="0.25">
      <c r="A18" s="19">
        <v>2035</v>
      </c>
      <c r="B18" s="2">
        <f ca="1">Removals!C18</f>
        <v>17.764058933452201</v>
      </c>
      <c r="C18" s="2">
        <f ca="1">Removals!D18</f>
        <v>7.3134707551292921</v>
      </c>
      <c r="D18" s="2">
        <f ca="1">Removals!H18</f>
        <v>-0.77363130105229927</v>
      </c>
      <c r="E18" s="127">
        <f>Model!$L18/1000</f>
        <v>28.366519354143811</v>
      </c>
      <c r="F18" s="127">
        <f>Model!M18/1000</f>
        <v>28.366519354143811</v>
      </c>
      <c r="G18" s="127">
        <f ca="1">Model!AU18/1000</f>
        <v>26.452468012727138</v>
      </c>
      <c r="H18" s="127"/>
      <c r="I18" s="127">
        <f ca="1">Model!AB18/1000</f>
        <v>3.4348718761645496</v>
      </c>
      <c r="J18" s="127">
        <f ca="1">Model!AC18/1000</f>
        <v>0</v>
      </c>
      <c r="K18" s="127">
        <f ca="1">Model!AD18/1000</f>
        <v>0</v>
      </c>
      <c r="L18" s="127">
        <f ca="1">Model!AJ18/1000</f>
        <v>17.764058933452201</v>
      </c>
      <c r="M18" s="127">
        <f ca="1">Model!AZ18/1000</f>
        <v>0</v>
      </c>
      <c r="N18" s="127">
        <f ca="1">Model!BA18/1000</f>
        <v>5.2535372031103869</v>
      </c>
      <c r="O18" s="127">
        <f t="shared" ca="1" si="12"/>
        <v>5.2535372031103869</v>
      </c>
      <c r="P18" s="127">
        <f ca="1">Model!BF18/1000</f>
        <v>0</v>
      </c>
      <c r="Q18" s="127">
        <f ca="1">Model!BG18/1000</f>
        <v>71.645022765327454</v>
      </c>
      <c r="R18" s="127">
        <f t="shared" ca="1" si="13"/>
        <v>26.452468012727138</v>
      </c>
      <c r="S18" s="127">
        <f t="shared" ca="1" si="14"/>
        <v>3.4348718761645496</v>
      </c>
      <c r="T18" s="127">
        <f t="shared" ca="1" si="15"/>
        <v>0</v>
      </c>
      <c r="U18" s="127">
        <f t="shared" ca="1" si="16"/>
        <v>0</v>
      </c>
      <c r="V18" s="127">
        <f t="shared" ca="1" si="17"/>
        <v>17.764058933452201</v>
      </c>
      <c r="W18" s="127">
        <f t="shared" ca="1" si="18"/>
        <v>5.2535372031103869</v>
      </c>
      <c r="X18" s="18">
        <f t="shared" ca="1" si="19"/>
        <v>72.976156677148182</v>
      </c>
      <c r="Y18" s="127">
        <f t="shared" ca="1" si="20"/>
        <v>26.452468012727138</v>
      </c>
      <c r="Z18" s="127">
        <f t="shared" ca="1" si="21"/>
        <v>3.4348718761645496</v>
      </c>
      <c r="AA18" s="127">
        <f t="shared" ca="1" si="22"/>
        <v>0</v>
      </c>
      <c r="AB18" s="127">
        <f t="shared" ca="1" si="23"/>
        <v>0</v>
      </c>
      <c r="AC18" s="127">
        <f ca="1">Model!AL18/1000</f>
        <v>17.764058933452201</v>
      </c>
      <c r="AD18" s="127">
        <f t="shared" ca="1" si="24"/>
        <v>0</v>
      </c>
      <c r="AE18" s="127">
        <f t="shared" ca="1" si="25"/>
        <v>5.2535372031103869</v>
      </c>
      <c r="AF18" s="127">
        <f ca="1">Model!AW18/1000</f>
        <v>0</v>
      </c>
      <c r="AG18" s="18">
        <f t="shared" ca="1" si="26"/>
        <v>72.976156677148182</v>
      </c>
      <c r="AH18" s="127"/>
      <c r="AI18" s="18">
        <f ca="1">Model!X18</f>
        <v>72.976156677148182</v>
      </c>
      <c r="AJ18" s="18">
        <f ca="1">Model!Z18</f>
        <v>72.976156677148182</v>
      </c>
      <c r="AK18" s="89">
        <f t="shared" ca="1" si="2"/>
        <v>1.3749383241456448</v>
      </c>
      <c r="AL18" s="89">
        <f t="shared" si="3"/>
        <v>-1.7218487661647623</v>
      </c>
      <c r="AQ18" s="2">
        <f t="shared" ca="1" si="4"/>
        <v>17.764058933452201</v>
      </c>
      <c r="AR18" s="2">
        <f t="shared" ca="1" si="5"/>
        <v>7.3134707551292921</v>
      </c>
      <c r="AS18" s="20">
        <f t="shared" ca="1" si="6"/>
        <v>26.452468012727138</v>
      </c>
      <c r="AT18" s="18">
        <f t="shared" ca="1" si="7"/>
        <v>72.976156677148182</v>
      </c>
      <c r="AU18" s="2">
        <v>21.001243379986878</v>
      </c>
      <c r="AV18" s="2">
        <v>7.3134707551292921</v>
      </c>
      <c r="AW18" s="20">
        <v>26.592865368951408</v>
      </c>
      <c r="AX18" s="18">
        <v>68.417481140824151</v>
      </c>
      <c r="AY18" s="2">
        <f t="shared" ca="1" si="8"/>
        <v>-3.2371844465346769</v>
      </c>
      <c r="AZ18" s="2">
        <f t="shared" ca="1" si="9"/>
        <v>0</v>
      </c>
      <c r="BA18" s="2">
        <f t="shared" ca="1" si="10"/>
        <v>-0.14039735622426974</v>
      </c>
      <c r="BB18" s="17">
        <f t="shared" ca="1" si="11"/>
        <v>4.5586755363240314</v>
      </c>
      <c r="BC18" s="17">
        <f t="shared" ca="1" si="27"/>
        <v>75.895202944234114</v>
      </c>
      <c r="BE18" s="127">
        <v>26.592865368951408</v>
      </c>
      <c r="BF18" s="127">
        <v>4.0855297186128521</v>
      </c>
      <c r="BG18" s="127">
        <v>0</v>
      </c>
      <c r="BH18" s="127">
        <v>0</v>
      </c>
      <c r="BI18" s="127">
        <v>21.001243379986878</v>
      </c>
      <c r="BJ18" s="127">
        <v>0</v>
      </c>
      <c r="BK18" s="127">
        <v>1.5060922703516773</v>
      </c>
      <c r="BL18" s="127">
        <v>0</v>
      </c>
      <c r="BM18" s="18">
        <v>68.417481140824151</v>
      </c>
    </row>
    <row r="19" spans="1:65" x14ac:dyDescent="0.25">
      <c r="A19" s="19">
        <v>2036</v>
      </c>
      <c r="B19" s="2">
        <f ca="1">Removals!C19</f>
        <v>17.947466854155575</v>
      </c>
      <c r="C19" s="2">
        <f ca="1">Removals!D19</f>
        <v>7.6554463640580712</v>
      </c>
      <c r="D19" s="2">
        <f ca="1">Removals!H19</f>
        <v>-1.3997210036095495</v>
      </c>
      <c r="E19" s="127">
        <f>Model!$L19/1000</f>
        <v>27.861411813054488</v>
      </c>
      <c r="F19" s="127">
        <f>Model!M19/1000</f>
        <v>27.861411813054488</v>
      </c>
      <c r="G19" s="127">
        <f ca="1">Model!AU19/1000</f>
        <v>25.975939974035928</v>
      </c>
      <c r="H19" s="127"/>
      <c r="I19" s="127">
        <f ca="1">Model!AB19/1000</f>
        <v>3.3243296721839082</v>
      </c>
      <c r="J19" s="127">
        <f ca="1">Model!AC19/1000</f>
        <v>0</v>
      </c>
      <c r="K19" s="127">
        <f ca="1">Model!AD19/1000</f>
        <v>0</v>
      </c>
      <c r="L19" s="127">
        <f ca="1">Model!AJ19/1000</f>
        <v>17.947466854155575</v>
      </c>
      <c r="M19" s="127">
        <f ca="1">Model!AZ19/1000</f>
        <v>0</v>
      </c>
      <c r="N19" s="127">
        <f ca="1">Model!BA19/1000</f>
        <v>4.7041434476964463</v>
      </c>
      <c r="O19" s="127">
        <f t="shared" ca="1" si="12"/>
        <v>4.7041434476964463</v>
      </c>
      <c r="P19" s="127">
        <f ca="1">Model!BF19/1000</f>
        <v>0</v>
      </c>
      <c r="Q19" s="127">
        <f ca="1">Model!BG19/1000</f>
        <v>73.19660467807951</v>
      </c>
      <c r="R19" s="127">
        <f t="shared" ca="1" si="13"/>
        <v>25.975939974035928</v>
      </c>
      <c r="S19" s="127">
        <f t="shared" ca="1" si="14"/>
        <v>3.3243296721839082</v>
      </c>
      <c r="T19" s="127">
        <f t="shared" ca="1" si="15"/>
        <v>0</v>
      </c>
      <c r="U19" s="127">
        <f t="shared" ca="1" si="16"/>
        <v>0</v>
      </c>
      <c r="V19" s="127">
        <f t="shared" ca="1" si="17"/>
        <v>17.947466854155575</v>
      </c>
      <c r="W19" s="127">
        <f t="shared" ca="1" si="18"/>
        <v>4.7041434476964463</v>
      </c>
      <c r="X19" s="18">
        <f t="shared" ca="1" si="19"/>
        <v>71.188240838558059</v>
      </c>
      <c r="Y19" s="127">
        <f t="shared" ca="1" si="20"/>
        <v>25.975939974035928</v>
      </c>
      <c r="Z19" s="127">
        <f t="shared" ca="1" si="21"/>
        <v>3.3243296721839082</v>
      </c>
      <c r="AA19" s="127">
        <f t="shared" ca="1" si="22"/>
        <v>0</v>
      </c>
      <c r="AB19" s="127">
        <f t="shared" ca="1" si="23"/>
        <v>0</v>
      </c>
      <c r="AC19" s="127">
        <f ca="1">Model!AL19/1000</f>
        <v>17.947466854155575</v>
      </c>
      <c r="AD19" s="127">
        <f t="shared" ca="1" si="24"/>
        <v>0</v>
      </c>
      <c r="AE19" s="127">
        <f t="shared" ca="1" si="25"/>
        <v>4.7041434476964463</v>
      </c>
      <c r="AF19" s="127">
        <f ca="1">Model!AW19/1000</f>
        <v>0</v>
      </c>
      <c r="AG19" s="18">
        <f t="shared" ca="1" si="26"/>
        <v>71.188240838558059</v>
      </c>
      <c r="AH19" s="127"/>
      <c r="AI19" s="18">
        <f ca="1">Model!X19</f>
        <v>71.188240838558059</v>
      </c>
      <c r="AJ19" s="18">
        <f ca="1">Model!Z19</f>
        <v>71.188240838558059</v>
      </c>
      <c r="AK19" s="89">
        <f t="shared" ca="1" si="2"/>
        <v>0.37302675582228151</v>
      </c>
      <c r="AL19" s="89">
        <f t="shared" si="3"/>
        <v>-3.9314008930459954</v>
      </c>
      <c r="AQ19" s="2">
        <f t="shared" ca="1" si="4"/>
        <v>17.947466854155575</v>
      </c>
      <c r="AR19" s="2">
        <f t="shared" ca="1" si="5"/>
        <v>7.6554463640580712</v>
      </c>
      <c r="AS19" s="20">
        <f t="shared" ca="1" si="6"/>
        <v>25.975939974035928</v>
      </c>
      <c r="AT19" s="18">
        <f t="shared" ca="1" si="7"/>
        <v>71.188240838558059</v>
      </c>
      <c r="AU19" s="2">
        <v>22.450170858622329</v>
      </c>
      <c r="AV19" s="2">
        <v>7.6554463640580712</v>
      </c>
      <c r="AW19" s="20">
        <v>26.174216329634405</v>
      </c>
      <c r="AX19" s="18">
        <v>67.425427664282211</v>
      </c>
      <c r="AY19" s="2">
        <f t="shared" ca="1" si="8"/>
        <v>-4.5027040044667537</v>
      </c>
      <c r="AZ19" s="2">
        <f t="shared" ca="1" si="9"/>
        <v>0</v>
      </c>
      <c r="BA19" s="2">
        <f t="shared" ca="1" si="10"/>
        <v>-0.19827635559847678</v>
      </c>
      <c r="BB19" s="17">
        <f t="shared" ca="1" si="11"/>
        <v>3.7628131742758484</v>
      </c>
      <c r="BC19" s="17">
        <f t="shared" ca="1" si="27"/>
        <v>74.035770472100381</v>
      </c>
      <c r="BE19" s="127">
        <v>26.174216329634405</v>
      </c>
      <c r="BF19" s="127">
        <v>3.9655284951253926</v>
      </c>
      <c r="BG19" s="127">
        <v>0</v>
      </c>
      <c r="BH19" s="127">
        <v>0</v>
      </c>
      <c r="BI19" s="127">
        <v>22.450170858622329</v>
      </c>
      <c r="BJ19" s="127">
        <v>0</v>
      </c>
      <c r="BK19" s="127">
        <v>0</v>
      </c>
      <c r="BL19" s="127">
        <v>0</v>
      </c>
      <c r="BM19" s="18">
        <v>67.425427664282211</v>
      </c>
    </row>
    <row r="20" spans="1:65" x14ac:dyDescent="0.25">
      <c r="A20" s="19">
        <v>2037</v>
      </c>
      <c r="B20" s="2">
        <f ca="1">Removals!C20</f>
        <v>18.192567325487644</v>
      </c>
      <c r="C20" s="2">
        <f ca="1">Removals!D20</f>
        <v>7.9033857131870198</v>
      </c>
      <c r="D20" s="2">
        <f ca="1">Removals!H20</f>
        <v>-1.4255766098337783</v>
      </c>
      <c r="E20" s="127">
        <f>Model!$L20/1000</f>
        <v>27.725816742737734</v>
      </c>
      <c r="F20" s="127">
        <f>Model!M20/1000</f>
        <v>27.725816742737734</v>
      </c>
      <c r="G20" s="127">
        <f ca="1">Model!AU20/1000</f>
        <v>25.870395304446077</v>
      </c>
      <c r="H20" s="127"/>
      <c r="I20" s="127">
        <f ca="1">Model!AB20/1000</f>
        <v>3.2137874682032672</v>
      </c>
      <c r="J20" s="127">
        <f ca="1">Model!AC20/1000</f>
        <v>0</v>
      </c>
      <c r="K20" s="127">
        <f ca="1">Model!AD20/1000</f>
        <v>0</v>
      </c>
      <c r="L20" s="127">
        <f ca="1">Model!AJ20/1000</f>
        <v>18.192567325487644</v>
      </c>
      <c r="M20" s="127">
        <f ca="1">Model!AZ20/1000</f>
        <v>0</v>
      </c>
      <c r="N20" s="127">
        <f ca="1">Model!BA20/1000</f>
        <v>4.4640405107551633</v>
      </c>
      <c r="O20" s="127">
        <f t="shared" ca="1" si="12"/>
        <v>4.4640405107551633</v>
      </c>
      <c r="P20" s="127">
        <f ca="1">Model!BF20/1000</f>
        <v>0</v>
      </c>
      <c r="Q20" s="127">
        <f ca="1">Model!BG20/1000</f>
        <v>75.210373270677593</v>
      </c>
      <c r="R20" s="127">
        <f t="shared" ca="1" si="13"/>
        <v>25.870395304446077</v>
      </c>
      <c r="S20" s="127">
        <f t="shared" ca="1" si="14"/>
        <v>3.2137874682032672</v>
      </c>
      <c r="T20" s="127">
        <f t="shared" ca="1" si="15"/>
        <v>0</v>
      </c>
      <c r="U20" s="127">
        <f t="shared" ca="1" si="16"/>
        <v>0</v>
      </c>
      <c r="V20" s="127">
        <f t="shared" ca="1" si="17"/>
        <v>18.192567325487644</v>
      </c>
      <c r="W20" s="127">
        <f t="shared" ca="1" si="18"/>
        <v>4.4640405107551633</v>
      </c>
      <c r="X20" s="18">
        <f t="shared" ca="1" si="19"/>
        <v>69.444128938013392</v>
      </c>
      <c r="Y20" s="127">
        <f t="shared" ca="1" si="20"/>
        <v>25.870395304446077</v>
      </c>
      <c r="Z20" s="127">
        <f t="shared" ca="1" si="21"/>
        <v>3.2137874682032672</v>
      </c>
      <c r="AA20" s="127">
        <f t="shared" ca="1" si="22"/>
        <v>0</v>
      </c>
      <c r="AB20" s="127">
        <f t="shared" ca="1" si="23"/>
        <v>0</v>
      </c>
      <c r="AC20" s="127">
        <f ca="1">Model!AL20/1000</f>
        <v>18.192567325487644</v>
      </c>
      <c r="AD20" s="127">
        <f t="shared" ca="1" si="24"/>
        <v>0</v>
      </c>
      <c r="AE20" s="127">
        <f t="shared" ca="1" si="25"/>
        <v>4.4640405107551633</v>
      </c>
      <c r="AF20" s="127">
        <f ca="1">Model!AW20/1000</f>
        <v>0</v>
      </c>
      <c r="AG20" s="18">
        <f t="shared" ca="1" si="26"/>
        <v>69.444128938013392</v>
      </c>
      <c r="AH20" s="127"/>
      <c r="AI20" s="18">
        <f ca="1">Model!X20</f>
        <v>69.444128938013392</v>
      </c>
      <c r="AJ20" s="18">
        <f ca="1">Model!Z20</f>
        <v>69.444128938013392</v>
      </c>
      <c r="AK20" s="89">
        <f t="shared" ca="1" si="2"/>
        <v>-0.2255577342285866</v>
      </c>
      <c r="AL20" s="89">
        <f t="shared" si="3"/>
        <v>-5.6348077055926451</v>
      </c>
      <c r="AQ20" s="2">
        <f t="shared" ca="1" si="4"/>
        <v>18.192567325487644</v>
      </c>
      <c r="AR20" s="2">
        <f t="shared" ca="1" si="5"/>
        <v>7.9033857131870198</v>
      </c>
      <c r="AS20" s="20">
        <f t="shared" ca="1" si="6"/>
        <v>25.870395304446077</v>
      </c>
      <c r="AT20" s="18">
        <f t="shared" ca="1" si="7"/>
        <v>69.444128938013392</v>
      </c>
      <c r="AU20" s="2">
        <v>23.879633465849007</v>
      </c>
      <c r="AV20" s="2">
        <v>7.9033857131870198</v>
      </c>
      <c r="AW20" s="20">
        <v>26.148211473443382</v>
      </c>
      <c r="AX20" s="18">
        <v>66.447758963150122</v>
      </c>
      <c r="AY20" s="2">
        <f t="shared" ca="1" si="8"/>
        <v>-5.6870661403613632</v>
      </c>
      <c r="AZ20" s="2">
        <f t="shared" ca="1" si="9"/>
        <v>0</v>
      </c>
      <c r="BA20" s="2">
        <f t="shared" ca="1" si="10"/>
        <v>-0.27781616899730466</v>
      </c>
      <c r="BB20" s="17">
        <f t="shared" ca="1" si="11"/>
        <v>2.9963699748632706</v>
      </c>
      <c r="BC20" s="17">
        <f t="shared" ca="1" si="27"/>
        <v>72.221894095533926</v>
      </c>
      <c r="BE20" s="127">
        <v>26.148211473443382</v>
      </c>
      <c r="BF20" s="127">
        <v>3.845527271637931</v>
      </c>
      <c r="BG20" s="127">
        <v>0</v>
      </c>
      <c r="BH20" s="127">
        <v>0</v>
      </c>
      <c r="BI20" s="127">
        <v>23.879633465849007</v>
      </c>
      <c r="BJ20" s="127">
        <v>0</v>
      </c>
      <c r="BK20" s="127">
        <v>0</v>
      </c>
      <c r="BL20" s="127">
        <v>0</v>
      </c>
      <c r="BM20" s="18">
        <v>66.447758963150122</v>
      </c>
    </row>
    <row r="21" spans="1:65" x14ac:dyDescent="0.25">
      <c r="A21" s="19">
        <v>2038</v>
      </c>
      <c r="B21" s="2">
        <f ca="1">Removals!C21</f>
        <v>17.122154476992677</v>
      </c>
      <c r="C21" s="2">
        <f ca="1">Removals!D21</f>
        <v>8.1041522949765543</v>
      </c>
      <c r="D21" s="2">
        <f ca="1">Removals!H21</f>
        <v>-2.4180593222653277</v>
      </c>
      <c r="E21" s="127">
        <f>Model!$L21/1000</f>
        <v>27.358180982271477</v>
      </c>
      <c r="F21" s="127">
        <f>Model!M21/1000</f>
        <v>27.358180982271477</v>
      </c>
      <c r="G21" s="127">
        <f ca="1">Model!AU21/1000</f>
        <v>25.533467572014224</v>
      </c>
      <c r="H21" s="127"/>
      <c r="I21" s="127">
        <f ca="1">Model!AB21/1000</f>
        <v>3.1032452642226249</v>
      </c>
      <c r="J21" s="127">
        <f ca="1">Model!AC21/1000</f>
        <v>0</v>
      </c>
      <c r="K21" s="127">
        <f ca="1">Model!AD21/1000</f>
        <v>0</v>
      </c>
      <c r="L21" s="127">
        <f ca="1">Model!AJ21/1000</f>
        <v>17.122154476992677</v>
      </c>
      <c r="M21" s="127">
        <f ca="1">Model!AZ21/1000</f>
        <v>0</v>
      </c>
      <c r="N21" s="127">
        <f ca="1">Model!BA21/1000</f>
        <v>5.308067830798926</v>
      </c>
      <c r="O21" s="127">
        <f t="shared" ca="1" si="12"/>
        <v>5.308067830798926</v>
      </c>
      <c r="P21" s="127">
        <f ca="1">Model!BF21/1000</f>
        <v>0</v>
      </c>
      <c r="Q21" s="127">
        <f ca="1">Model!BG21/1000</f>
        <v>75.588398412589882</v>
      </c>
      <c r="R21" s="127">
        <f t="shared" ca="1" si="13"/>
        <v>25.533467572014224</v>
      </c>
      <c r="S21" s="127">
        <f t="shared" ca="1" si="14"/>
        <v>3.1032452642226249</v>
      </c>
      <c r="T21" s="127">
        <f t="shared" ca="1" si="15"/>
        <v>0</v>
      </c>
      <c r="U21" s="127">
        <f t="shared" ca="1" si="16"/>
        <v>0</v>
      </c>
      <c r="V21" s="127">
        <f t="shared" ca="1" si="17"/>
        <v>17.122154476992677</v>
      </c>
      <c r="W21" s="127">
        <f t="shared" ca="1" si="18"/>
        <v>5.308067830798926</v>
      </c>
      <c r="X21" s="18">
        <f t="shared" ca="1" si="19"/>
        <v>67.742747779032072</v>
      </c>
      <c r="Y21" s="127">
        <f t="shared" ca="1" si="20"/>
        <v>25.533467572014224</v>
      </c>
      <c r="Z21" s="127">
        <f t="shared" ca="1" si="21"/>
        <v>3.1032452642226249</v>
      </c>
      <c r="AA21" s="127">
        <f t="shared" ca="1" si="22"/>
        <v>0</v>
      </c>
      <c r="AB21" s="127">
        <f t="shared" ca="1" si="23"/>
        <v>0</v>
      </c>
      <c r="AC21" s="127">
        <f ca="1">Model!AL21/1000</f>
        <v>17.122154476992677</v>
      </c>
      <c r="AD21" s="127">
        <f t="shared" ca="1" si="24"/>
        <v>0</v>
      </c>
      <c r="AE21" s="127">
        <f t="shared" ca="1" si="25"/>
        <v>5.308067830798926</v>
      </c>
      <c r="AF21" s="127">
        <f ca="1">Model!AW21/1000</f>
        <v>0</v>
      </c>
      <c r="AG21" s="18">
        <f t="shared" ca="1" si="26"/>
        <v>67.742747779032072</v>
      </c>
      <c r="AH21" s="127"/>
      <c r="AI21" s="18">
        <f ca="1">Model!X21</f>
        <v>67.742747779032072</v>
      </c>
      <c r="AJ21" s="18">
        <f ca="1">Model!Z21</f>
        <v>67.742747779032072</v>
      </c>
      <c r="AK21" s="89">
        <f t="shared" ca="1" si="2"/>
        <v>0.30716080004499347</v>
      </c>
      <c r="AL21" s="89">
        <f t="shared" si="3"/>
        <v>-4.6065141020675711</v>
      </c>
      <c r="AQ21" s="2">
        <f t="shared" ca="1" si="4"/>
        <v>17.122154476992677</v>
      </c>
      <c r="AR21" s="2">
        <f t="shared" ca="1" si="5"/>
        <v>8.1041522949765543</v>
      </c>
      <c r="AS21" s="20">
        <f t="shared" ca="1" si="6"/>
        <v>25.533467572014224</v>
      </c>
      <c r="AT21" s="18">
        <f t="shared" ca="1" si="7"/>
        <v>67.742747779032072</v>
      </c>
      <c r="AU21" s="2">
        <v>22.407855237406316</v>
      </c>
      <c r="AV21" s="2">
        <v>8.1041522949765543</v>
      </c>
      <c r="AW21" s="20">
        <v>25.9054934303153</v>
      </c>
      <c r="AX21" s="18">
        <v>65.48426645818445</v>
      </c>
      <c r="AY21" s="2">
        <f t="shared" ca="1" si="8"/>
        <v>-5.2857007604136399</v>
      </c>
      <c r="AZ21" s="2">
        <f t="shared" ca="1" si="9"/>
        <v>0</v>
      </c>
      <c r="BA21" s="2">
        <f t="shared" ca="1" si="10"/>
        <v>-0.37202585830107537</v>
      </c>
      <c r="BB21" s="17">
        <f t="shared" ca="1" si="11"/>
        <v>2.258481320847622</v>
      </c>
      <c r="BC21" s="17">
        <f t="shared" ca="1" si="27"/>
        <v>70.452457690193356</v>
      </c>
      <c r="BE21" s="127">
        <v>25.9054934303153</v>
      </c>
      <c r="BF21" s="127">
        <v>3.7255260481504702</v>
      </c>
      <c r="BG21" s="127">
        <v>0</v>
      </c>
      <c r="BH21" s="127">
        <v>0</v>
      </c>
      <c r="BI21" s="127">
        <v>22.407855237406316</v>
      </c>
      <c r="BJ21" s="127">
        <v>0</v>
      </c>
      <c r="BK21" s="127">
        <v>0</v>
      </c>
      <c r="BL21" s="127">
        <v>0</v>
      </c>
      <c r="BM21" s="18">
        <v>65.48426645818445</v>
      </c>
    </row>
    <row r="22" spans="1:65" x14ac:dyDescent="0.25">
      <c r="A22" s="19">
        <v>2039</v>
      </c>
      <c r="B22" s="2">
        <f ca="1">Removals!C22</f>
        <v>15.941385738360241</v>
      </c>
      <c r="C22" s="2">
        <f ca="1">Removals!D22</f>
        <v>8.0825196790513907</v>
      </c>
      <c r="D22" s="2">
        <f ca="1">Removals!H22</f>
        <v>-6.0370241886959759</v>
      </c>
      <c r="E22" s="127">
        <f>Model!$L22/1000</f>
        <v>27.147369405131954</v>
      </c>
      <c r="F22" s="127">
        <f>Model!M22/1000</f>
        <v>27.147369405131954</v>
      </c>
      <c r="G22" s="127">
        <f ca="1">Model!AU22/1000</f>
        <v>25.353536321714039</v>
      </c>
      <c r="H22" s="127"/>
      <c r="I22" s="127">
        <f ca="1">Model!AB22/1000</f>
        <v>2.9927030602419844</v>
      </c>
      <c r="J22" s="127">
        <f ca="1">Model!AC22/1000</f>
        <v>0</v>
      </c>
      <c r="K22" s="127">
        <f ca="1">Model!AD22/1000</f>
        <v>0</v>
      </c>
      <c r="L22" s="127">
        <f ca="1">Model!AJ22/1000</f>
        <v>15.941385738360241</v>
      </c>
      <c r="M22" s="127">
        <f ca="1">Model!AZ22/1000</f>
        <v>0</v>
      </c>
      <c r="N22" s="127">
        <f ca="1">Model!BA22/1000</f>
        <v>6.419447523111816</v>
      </c>
      <c r="O22" s="127">
        <f t="shared" ca="1" si="12"/>
        <v>6.419447523111816</v>
      </c>
      <c r="P22" s="127">
        <f ca="1">Model!BF22/1000</f>
        <v>0</v>
      </c>
      <c r="Q22" s="127">
        <f ca="1">Model!BG22/1000</f>
        <v>71.21444637983349</v>
      </c>
      <c r="R22" s="127">
        <f t="shared" ca="1" si="13"/>
        <v>25.353536321714039</v>
      </c>
      <c r="S22" s="127">
        <f t="shared" ca="1" si="14"/>
        <v>2.9927030602419844</v>
      </c>
      <c r="T22" s="127">
        <f t="shared" ca="1" si="15"/>
        <v>0</v>
      </c>
      <c r="U22" s="127">
        <f t="shared" ca="1" si="16"/>
        <v>0</v>
      </c>
      <c r="V22" s="127">
        <f t="shared" ca="1" si="17"/>
        <v>15.941385738360241</v>
      </c>
      <c r="W22" s="127">
        <f t="shared" ca="1" si="18"/>
        <v>6.419447523111816</v>
      </c>
      <c r="X22" s="18">
        <f t="shared" ca="1" si="19"/>
        <v>66.083050458445783</v>
      </c>
      <c r="Y22" s="127">
        <f t="shared" ca="1" si="20"/>
        <v>25.353536321714039</v>
      </c>
      <c r="Z22" s="127">
        <f t="shared" ca="1" si="21"/>
        <v>2.9927030602419844</v>
      </c>
      <c r="AA22" s="127">
        <f t="shared" ca="1" si="22"/>
        <v>0</v>
      </c>
      <c r="AB22" s="127">
        <f t="shared" ca="1" si="23"/>
        <v>0</v>
      </c>
      <c r="AC22" s="127">
        <f ca="1">Model!AL22/1000</f>
        <v>15.941385738360241</v>
      </c>
      <c r="AD22" s="127">
        <f t="shared" ca="1" si="24"/>
        <v>0</v>
      </c>
      <c r="AE22" s="127">
        <f t="shared" ca="1" si="25"/>
        <v>6.419447523111816</v>
      </c>
      <c r="AF22" s="127">
        <f ca="1">Model!AW22/1000</f>
        <v>0</v>
      </c>
      <c r="AG22" s="18">
        <f t="shared" ca="1" si="26"/>
        <v>66.083050458445783</v>
      </c>
      <c r="AH22" s="127"/>
      <c r="AI22" s="18">
        <f ca="1">Model!X22</f>
        <v>66.083050458445783</v>
      </c>
      <c r="AJ22" s="18">
        <f ca="1">Model!Z22</f>
        <v>66.083050458445783</v>
      </c>
      <c r="AK22" s="89">
        <f t="shared" ca="1" si="2"/>
        <v>1.329630904302407</v>
      </c>
      <c r="AL22" s="89">
        <f t="shared" si="3"/>
        <v>-3.5869931512653714</v>
      </c>
      <c r="AQ22" s="2">
        <f t="shared" ca="1" si="4"/>
        <v>15.941385738360241</v>
      </c>
      <c r="AR22" s="2">
        <f t="shared" ca="1" si="5"/>
        <v>8.0825196790513907</v>
      </c>
      <c r="AS22" s="20">
        <f t="shared" ca="1" si="6"/>
        <v>25.353536321714039</v>
      </c>
      <c r="AT22" s="18">
        <f t="shared" ca="1" si="7"/>
        <v>66.083050458445783</v>
      </c>
      <c r="AU22" s="2">
        <v>21.337306253877074</v>
      </c>
      <c r="AV22" s="2">
        <v>8.0825196790513907</v>
      </c>
      <c r="AW22" s="20">
        <v>25.832832781663093</v>
      </c>
      <c r="AX22" s="18">
        <v>64.534744594540783</v>
      </c>
      <c r="AY22" s="2">
        <f t="shared" ca="1" si="8"/>
        <v>-5.395920515516833</v>
      </c>
      <c r="AZ22" s="2">
        <f t="shared" ca="1" si="9"/>
        <v>0</v>
      </c>
      <c r="BA22" s="2">
        <f t="shared" ca="1" si="10"/>
        <v>-0.47929645994905457</v>
      </c>
      <c r="BB22" s="17">
        <f t="shared" ca="1" si="11"/>
        <v>1.548305863905</v>
      </c>
      <c r="BC22" s="17">
        <f t="shared" ca="1" si="27"/>
        <v>68.726372476783609</v>
      </c>
      <c r="BE22" s="127">
        <v>25.832832781663093</v>
      </c>
      <c r="BF22" s="127">
        <v>3.6055248246630085</v>
      </c>
      <c r="BG22" s="127">
        <v>0</v>
      </c>
      <c r="BH22" s="127">
        <v>0</v>
      </c>
      <c r="BI22" s="127">
        <v>21.337306253877074</v>
      </c>
      <c r="BJ22" s="127">
        <v>0.89000170312301063</v>
      </c>
      <c r="BK22" s="127">
        <v>0</v>
      </c>
      <c r="BL22" s="127">
        <v>0</v>
      </c>
      <c r="BM22" s="18">
        <v>64.534744594540783</v>
      </c>
    </row>
    <row r="23" spans="1:65" x14ac:dyDescent="0.25">
      <c r="A23" s="19">
        <v>2040</v>
      </c>
      <c r="B23" s="2">
        <f ca="1">Removals!C23</f>
        <v>15.236528255876934</v>
      </c>
      <c r="C23" s="2">
        <f ca="1">Removals!D23</f>
        <v>7.8346159763625565</v>
      </c>
      <c r="D23" s="2">
        <f ca="1">Removals!H23</f>
        <v>-8.4416392835520764</v>
      </c>
      <c r="E23" s="127">
        <f>Model!$L23/1000</f>
        <v>26.668213569624989</v>
      </c>
      <c r="F23" s="127">
        <f>Model!M23/1000</f>
        <v>26.668213569624989</v>
      </c>
      <c r="G23" s="127">
        <f ca="1">Model!AU23/1000</f>
        <v>24.90514561236504</v>
      </c>
      <c r="H23" s="127"/>
      <c r="I23" s="127">
        <f ca="1">Model!AB23/1000</f>
        <v>2.882160856261343</v>
      </c>
      <c r="J23" s="127">
        <f ca="1">Model!AC23/1000</f>
        <v>0</v>
      </c>
      <c r="K23" s="127">
        <f ca="1">Model!AD23/1000</f>
        <v>0</v>
      </c>
      <c r="L23" s="127">
        <f ca="1">Model!AJ23/1000</f>
        <v>15.236528255876934</v>
      </c>
      <c r="M23" s="127">
        <f ca="1">Model!AZ23/1000</f>
        <v>0</v>
      </c>
      <c r="N23" s="127">
        <f ca="1">Model!BA23/1000</f>
        <v>6.7864565002267625</v>
      </c>
      <c r="O23" s="127">
        <f t="shared" ca="1" si="12"/>
        <v>6.7864565002267625</v>
      </c>
      <c r="P23" s="127">
        <f ca="1">Model!BF23/1000</f>
        <v>0</v>
      </c>
      <c r="Q23" s="127">
        <f ca="1">Model!BG23/1000</f>
        <v>63.820966572417205</v>
      </c>
      <c r="R23" s="127">
        <f t="shared" ca="1" si="13"/>
        <v>24.90514561236504</v>
      </c>
      <c r="S23" s="127">
        <f t="shared" ca="1" si="14"/>
        <v>2.882160856261343</v>
      </c>
      <c r="T23" s="127">
        <f t="shared" ca="1" si="15"/>
        <v>0</v>
      </c>
      <c r="U23" s="127">
        <f t="shared" ca="1" si="16"/>
        <v>0</v>
      </c>
      <c r="V23" s="127">
        <f t="shared" ca="1" si="17"/>
        <v>15.236528255876934</v>
      </c>
      <c r="W23" s="127">
        <f t="shared" ca="1" si="18"/>
        <v>6.7864565002267625</v>
      </c>
      <c r="X23" s="18">
        <f t="shared" ca="1" si="19"/>
        <v>64.464015722213858</v>
      </c>
      <c r="Y23" s="127">
        <f t="shared" ca="1" si="20"/>
        <v>24.90514561236504</v>
      </c>
      <c r="Z23" s="127">
        <f t="shared" ca="1" si="21"/>
        <v>2.882160856261343</v>
      </c>
      <c r="AA23" s="127">
        <f t="shared" ca="1" si="22"/>
        <v>0</v>
      </c>
      <c r="AB23" s="127">
        <f t="shared" ca="1" si="23"/>
        <v>0</v>
      </c>
      <c r="AC23" s="127">
        <f ca="1">Model!AL23/1000</f>
        <v>15.236528255876934</v>
      </c>
      <c r="AD23" s="127">
        <f t="shared" ca="1" si="24"/>
        <v>0</v>
      </c>
      <c r="AE23" s="127">
        <f t="shared" ca="1" si="25"/>
        <v>6.7864565002267625</v>
      </c>
      <c r="AF23" s="127">
        <f ca="1">Model!AW23/1000</f>
        <v>0</v>
      </c>
      <c r="AG23" s="18">
        <f t="shared" ca="1" si="26"/>
        <v>64.464015722213858</v>
      </c>
      <c r="AH23" s="127"/>
      <c r="AI23" s="18">
        <f ca="1">Model!X23</f>
        <v>64.464015722213858</v>
      </c>
      <c r="AJ23" s="18">
        <f ca="1">Model!Z23</f>
        <v>64.464015722213858</v>
      </c>
      <c r="AK23" s="89">
        <f t="shared" ca="1" si="2"/>
        <v>1.8340013801255495</v>
      </c>
      <c r="AL23" s="89">
        <f t="shared" si="3"/>
        <v>-3.0839347762447176</v>
      </c>
      <c r="AQ23" s="2">
        <f t="shared" ca="1" si="4"/>
        <v>15.236528255876934</v>
      </c>
      <c r="AR23" s="2">
        <f t="shared" ca="1" si="5"/>
        <v>7.8346159763625565</v>
      </c>
      <c r="AS23" s="20">
        <f t="shared" ca="1" si="6"/>
        <v>24.90514561236504</v>
      </c>
      <c r="AT23" s="18">
        <f t="shared" ca="1" si="7"/>
        <v>64.464015722213858</v>
      </c>
      <c r="AU23" s="2">
        <v>20.748182952668646</v>
      </c>
      <c r="AV23" s="2">
        <v>7.8346159763625565</v>
      </c>
      <c r="AW23" s="20">
        <v>25.498864152786485</v>
      </c>
      <c r="AX23" s="18">
        <v>63.598990797919946</v>
      </c>
      <c r="AY23" s="2">
        <f t="shared" ca="1" si="8"/>
        <v>-5.5116546967917124</v>
      </c>
      <c r="AZ23" s="2">
        <f t="shared" ca="1" si="9"/>
        <v>0</v>
      </c>
      <c r="BA23" s="2">
        <f t="shared" ca="1" si="10"/>
        <v>-0.59371854042144534</v>
      </c>
      <c r="BB23" s="17">
        <f t="shared" ca="1" si="11"/>
        <v>0.86502492429391253</v>
      </c>
      <c r="BC23" s="17">
        <f t="shared" ca="1" si="27"/>
        <v>67.042576351102412</v>
      </c>
      <c r="BE23" s="127">
        <v>25.498864152786485</v>
      </c>
      <c r="BF23" s="127">
        <v>3.4855236011755482</v>
      </c>
      <c r="BG23" s="127">
        <v>0</v>
      </c>
      <c r="BH23" s="127">
        <v>0</v>
      </c>
      <c r="BI23" s="127">
        <v>20.748182952668646</v>
      </c>
      <c r="BJ23" s="127">
        <v>1.1563184402753526</v>
      </c>
      <c r="BK23" s="127">
        <v>0.10883915866693861</v>
      </c>
      <c r="BL23" s="127">
        <v>0</v>
      </c>
      <c r="BM23" s="18">
        <v>63.598990797919946</v>
      </c>
    </row>
    <row r="24" spans="1:65" x14ac:dyDescent="0.25">
      <c r="A24" s="19">
        <v>2041</v>
      </c>
      <c r="B24" s="2">
        <f ca="1">Removals!C24</f>
        <v>15.347520321596416</v>
      </c>
      <c r="C24" s="2">
        <f ca="1">Removals!D24</f>
        <v>7.7874285804629082</v>
      </c>
      <c r="D24" s="2">
        <f ca="1">Removals!H24</f>
        <v>-4.5354648744401187</v>
      </c>
      <c r="E24" s="127">
        <f>Model!$L24/1000</f>
        <v>26.418135682599523</v>
      </c>
      <c r="F24" s="127">
        <f>Model!M24/1000</f>
        <v>26.418135682599523</v>
      </c>
      <c r="G24" s="127">
        <f ca="1">Model!AU24/1000</f>
        <v>24.684989752735365</v>
      </c>
      <c r="H24" s="127"/>
      <c r="I24" s="127">
        <f ca="1">Model!AB24/1000</f>
        <v>2.7163475502903811</v>
      </c>
      <c r="J24" s="127">
        <f ca="1">Model!AC24/1000</f>
        <v>0</v>
      </c>
      <c r="K24" s="127">
        <f ca="1">Model!AD24/1000</f>
        <v>0</v>
      </c>
      <c r="L24" s="127">
        <f ca="1">Model!AJ24/1000</f>
        <v>15.347520321596416</v>
      </c>
      <c r="M24" s="127">
        <f ca="1">Model!AZ24/1000</f>
        <v>0</v>
      </c>
      <c r="N24" s="127">
        <f ca="1">Model!BA24/1000</f>
        <v>6.6211218808485679</v>
      </c>
      <c r="O24" s="127">
        <f t="shared" ca="1" si="12"/>
        <v>6.6211218808485679</v>
      </c>
      <c r="P24" s="127">
        <f ca="1">Model!BF24/1000</f>
        <v>0</v>
      </c>
      <c r="Q24" s="127">
        <f ca="1">Model!BG24/1000</f>
        <v>60.451808397591421</v>
      </c>
      <c r="R24" s="127">
        <f t="shared" ca="1" si="13"/>
        <v>24.684989752735365</v>
      </c>
      <c r="S24" s="127">
        <f t="shared" ca="1" si="14"/>
        <v>2.7163475502903811</v>
      </c>
      <c r="T24" s="127">
        <f t="shared" ca="1" si="15"/>
        <v>0</v>
      </c>
      <c r="U24" s="127">
        <f t="shared" ca="1" si="16"/>
        <v>0</v>
      </c>
      <c r="V24" s="127">
        <f t="shared" ca="1" si="17"/>
        <v>15.347520321596416</v>
      </c>
      <c r="W24" s="127">
        <f t="shared" ca="1" si="18"/>
        <v>6.6211218808485679</v>
      </c>
      <c r="X24" s="18">
        <f t="shared" ca="1" si="19"/>
        <v>62.884647337019622</v>
      </c>
      <c r="Y24" s="127">
        <f t="shared" ca="1" si="20"/>
        <v>24.684989752735365</v>
      </c>
      <c r="Z24" s="127">
        <f t="shared" ca="1" si="21"/>
        <v>2.7163475502903811</v>
      </c>
      <c r="AA24" s="127">
        <f t="shared" ca="1" si="22"/>
        <v>0</v>
      </c>
      <c r="AB24" s="127">
        <f t="shared" ca="1" si="23"/>
        <v>0</v>
      </c>
      <c r="AC24" s="127">
        <f ca="1">Model!AL24/1000</f>
        <v>15.347520321596416</v>
      </c>
      <c r="AD24" s="127">
        <f t="shared" ca="1" si="24"/>
        <v>0</v>
      </c>
      <c r="AE24" s="127">
        <f t="shared" ca="1" si="25"/>
        <v>6.6211218808485679</v>
      </c>
      <c r="AF24" s="127">
        <f ca="1">Model!AW24/1000</f>
        <v>0</v>
      </c>
      <c r="AG24" s="18">
        <f t="shared" ca="1" si="26"/>
        <v>62.884647337019622</v>
      </c>
      <c r="AH24" s="127"/>
      <c r="AI24" s="18">
        <f ca="1">Model!X24</f>
        <v>62.884647337019622</v>
      </c>
      <c r="AJ24" s="18">
        <f ca="1">Model!Z24</f>
        <v>62.884647337019622</v>
      </c>
      <c r="AK24" s="89">
        <f t="shared" ca="1" si="2"/>
        <v>1.5500408506760408</v>
      </c>
      <c r="AL24" s="89">
        <f t="shared" si="3"/>
        <v>-3.4956827917400695</v>
      </c>
      <c r="AQ24" s="2">
        <f t="shared" ca="1" si="4"/>
        <v>15.347520321596416</v>
      </c>
      <c r="AR24" s="2">
        <f t="shared" ca="1" si="5"/>
        <v>7.7874285804629082</v>
      </c>
      <c r="AS24" s="20">
        <f t="shared" ca="1" si="6"/>
        <v>24.684989752735365</v>
      </c>
      <c r="AT24" s="18">
        <f t="shared" ca="1" si="7"/>
        <v>62.884647337019622</v>
      </c>
      <c r="AU24" s="2">
        <v>21.075730469582346</v>
      </c>
      <c r="AV24" s="2">
        <v>7.7874285804629082</v>
      </c>
      <c r="AW24" s="20">
        <v>25.367476258305185</v>
      </c>
      <c r="AX24" s="18">
        <v>62.676805431350111</v>
      </c>
      <c r="AY24" s="2">
        <f t="shared" ca="1" si="8"/>
        <v>-5.72821014798593</v>
      </c>
      <c r="AZ24" s="2">
        <f t="shared" ca="1" si="9"/>
        <v>0</v>
      </c>
      <c r="BA24" s="2">
        <f t="shared" ca="1" si="10"/>
        <v>-0.68248650556981971</v>
      </c>
      <c r="BB24" s="17">
        <f t="shared" ca="1" si="11"/>
        <v>0.20784190566951111</v>
      </c>
      <c r="BC24" s="17">
        <f t="shared" ca="1" si="27"/>
        <v>65.400033230500412</v>
      </c>
      <c r="BE24" s="127">
        <v>25.367476258305185</v>
      </c>
      <c r="BF24" s="127">
        <v>3.3055217659443574</v>
      </c>
      <c r="BG24" s="127">
        <v>0</v>
      </c>
      <c r="BH24" s="127">
        <v>0</v>
      </c>
      <c r="BI24" s="127">
        <v>21.075730469582346</v>
      </c>
      <c r="BJ24" s="127">
        <v>0</v>
      </c>
      <c r="BK24" s="127">
        <v>0.98622402277847865</v>
      </c>
      <c r="BL24" s="127">
        <v>0</v>
      </c>
      <c r="BM24" s="18">
        <v>62.676805431350111</v>
      </c>
    </row>
    <row r="25" spans="1:65" x14ac:dyDescent="0.25">
      <c r="A25" s="19">
        <v>2042</v>
      </c>
      <c r="B25" s="2">
        <f ca="1">Removals!C25</f>
        <v>15.514687464231649</v>
      </c>
      <c r="C25" s="2">
        <f ca="1">Removals!D25</f>
        <v>7.7084833631410028</v>
      </c>
      <c r="D25" s="2">
        <f ca="1">Removals!H25</f>
        <v>-4.6653455444824541</v>
      </c>
      <c r="E25" s="127">
        <f>Model!$L25/1000</f>
        <v>26.234008136521524</v>
      </c>
      <c r="F25" s="127">
        <f>Model!M25/1000</f>
        <v>26.234008136521524</v>
      </c>
      <c r="G25" s="127">
        <f ca="1">Model!AU25/1000</f>
        <v>24.529305198491421</v>
      </c>
      <c r="H25" s="127"/>
      <c r="I25" s="127">
        <f ca="1">Model!AB25/1000</f>
        <v>2.5505342443194201</v>
      </c>
      <c r="J25" s="127">
        <f ca="1">Model!AC25/1000</f>
        <v>0</v>
      </c>
      <c r="K25" s="127">
        <f ca="1">Model!AD25/1000</f>
        <v>0</v>
      </c>
      <c r="L25" s="127">
        <f ca="1">Model!AJ25/1000</f>
        <v>15.514687464231649</v>
      </c>
      <c r="M25" s="127">
        <f ca="1">Model!AZ25/1000</f>
        <v>0</v>
      </c>
      <c r="N25" s="127">
        <f ca="1">Model!BA25/1000</f>
        <v>6.4640834899403528</v>
      </c>
      <c r="O25" s="127">
        <f t="shared" ca="1" si="12"/>
        <v>6.4640834899403528</v>
      </c>
      <c r="P25" s="127">
        <f ca="1">Model!BF25/1000</f>
        <v>0</v>
      </c>
      <c r="Q25" s="127">
        <f ca="1">Model!BG25/1000</f>
        <v>57.030862726309614</v>
      </c>
      <c r="R25" s="127">
        <f t="shared" ca="1" si="13"/>
        <v>24.529305198491421</v>
      </c>
      <c r="S25" s="127">
        <f t="shared" ca="1" si="14"/>
        <v>2.5505342443194201</v>
      </c>
      <c r="T25" s="127">
        <f t="shared" ca="1" si="15"/>
        <v>0</v>
      </c>
      <c r="U25" s="127">
        <f t="shared" ca="1" si="16"/>
        <v>0</v>
      </c>
      <c r="V25" s="127">
        <f t="shared" ca="1" si="17"/>
        <v>15.514687464231649</v>
      </c>
      <c r="W25" s="127">
        <f t="shared" ca="1" si="18"/>
        <v>6.4640834899403528</v>
      </c>
      <c r="X25" s="18">
        <f t="shared" ca="1" si="19"/>
        <v>61.343973477262644</v>
      </c>
      <c r="Y25" s="127">
        <f t="shared" ca="1" si="20"/>
        <v>24.529305198491421</v>
      </c>
      <c r="Z25" s="127">
        <f t="shared" ca="1" si="21"/>
        <v>2.5505342443194201</v>
      </c>
      <c r="AA25" s="127">
        <f t="shared" ca="1" si="22"/>
        <v>0</v>
      </c>
      <c r="AB25" s="127">
        <f t="shared" ca="1" si="23"/>
        <v>0</v>
      </c>
      <c r="AC25" s="127">
        <f ca="1">Model!AL25/1000</f>
        <v>15.514687464231649</v>
      </c>
      <c r="AD25" s="127">
        <f t="shared" ca="1" si="24"/>
        <v>0</v>
      </c>
      <c r="AE25" s="127">
        <f t="shared" ca="1" si="25"/>
        <v>6.4640834899403528</v>
      </c>
      <c r="AF25" s="127">
        <f ca="1">Model!AW25/1000</f>
        <v>0</v>
      </c>
      <c r="AG25" s="18">
        <f t="shared" ca="1" si="26"/>
        <v>61.343973477262644</v>
      </c>
      <c r="AH25" s="127"/>
      <c r="AI25" s="18">
        <f ca="1">Model!X25</f>
        <v>61.343973477262644</v>
      </c>
      <c r="AJ25" s="18">
        <f ca="1">Model!Z25</f>
        <v>61.343973477262644</v>
      </c>
      <c r="AK25" s="89">
        <f t="shared" ca="1" si="2"/>
        <v>1.3061343711187696</v>
      </c>
      <c r="AL25" s="89">
        <f t="shared" si="3"/>
        <v>-3.5979831632525041</v>
      </c>
      <c r="AQ25" s="2">
        <f t="shared" ca="1" si="4"/>
        <v>15.514687464231649</v>
      </c>
      <c r="AR25" s="2">
        <f t="shared" ca="1" si="5"/>
        <v>7.7084833631410028</v>
      </c>
      <c r="AS25" s="20">
        <f t="shared" ca="1" si="6"/>
        <v>24.529305198491421</v>
      </c>
      <c r="AT25" s="18">
        <f t="shared" ca="1" si="7"/>
        <v>61.343973477262644</v>
      </c>
      <c r="AU25" s="2">
        <v>21.183605438147293</v>
      </c>
      <c r="AV25" s="2">
        <v>7.7084833631410028</v>
      </c>
      <c r="AW25" s="20">
        <v>25.294105638035791</v>
      </c>
      <c r="AX25" s="18">
        <v>61.767991752595535</v>
      </c>
      <c r="AY25" s="2">
        <f t="shared" ca="1" si="8"/>
        <v>-5.6689179739156437</v>
      </c>
      <c r="AZ25" s="2">
        <f t="shared" ca="1" si="9"/>
        <v>0</v>
      </c>
      <c r="BA25" s="2">
        <f t="shared" ca="1" si="10"/>
        <v>-0.76480043954436994</v>
      </c>
      <c r="BB25" s="17">
        <f t="shared" ca="1" si="11"/>
        <v>-0.42401827533289094</v>
      </c>
      <c r="BC25" s="17">
        <f t="shared" ca="1" si="27"/>
        <v>63.797732416353149</v>
      </c>
      <c r="BE25" s="127">
        <v>25.294105638035791</v>
      </c>
      <c r="BF25" s="127">
        <v>3.1255199307131667</v>
      </c>
      <c r="BG25" s="127">
        <v>0</v>
      </c>
      <c r="BH25" s="127">
        <v>0</v>
      </c>
      <c r="BI25" s="127">
        <v>21.183605438147293</v>
      </c>
      <c r="BJ25" s="127">
        <v>0</v>
      </c>
      <c r="BK25" s="127">
        <v>0.9849802691753321</v>
      </c>
      <c r="BL25" s="127">
        <v>0</v>
      </c>
      <c r="BM25" s="18">
        <v>61.767991752595535</v>
      </c>
    </row>
    <row r="26" spans="1:65" x14ac:dyDescent="0.25">
      <c r="A26" s="19">
        <v>2043</v>
      </c>
      <c r="B26" s="2">
        <f ca="1">Removals!C26</f>
        <v>15.660715826959915</v>
      </c>
      <c r="C26" s="2">
        <f ca="1">Removals!D26</f>
        <v>7.6104418614154516</v>
      </c>
      <c r="D26" s="2">
        <f ca="1">Removals!H26</f>
        <v>-3.6810320133880796</v>
      </c>
      <c r="E26" s="127">
        <f>Model!$L26/1000</f>
        <v>25.907214344432962</v>
      </c>
      <c r="F26" s="127">
        <f>Model!M26/1000</f>
        <v>25.907214344432962</v>
      </c>
      <c r="G26" s="127">
        <f ca="1">Model!AU26/1000</f>
        <v>24.229065068417761</v>
      </c>
      <c r="H26" s="127"/>
      <c r="I26" s="127">
        <f ca="1">Model!AB26/1000</f>
        <v>2.3847209383484578</v>
      </c>
      <c r="J26" s="127">
        <f ca="1">Model!AC26/1000</f>
        <v>0</v>
      </c>
      <c r="K26" s="127">
        <f ca="1">Model!AD26/1000</f>
        <v>0</v>
      </c>
      <c r="L26" s="127">
        <f ca="1">Model!AJ26/1000</f>
        <v>15.660715826959915</v>
      </c>
      <c r="M26" s="127">
        <f ca="1">Model!AZ26/1000</f>
        <v>0</v>
      </c>
      <c r="N26" s="127">
        <f ca="1">Model!BA26/1000</f>
        <v>6.1836283031093879</v>
      </c>
      <c r="O26" s="127">
        <f t="shared" ca="1" si="12"/>
        <v>6.1836283031093879</v>
      </c>
      <c r="P26" s="127">
        <f ca="1">Model!BF26/1000</f>
        <v>0</v>
      </c>
      <c r="Q26" s="127">
        <f ca="1">Model!BG26/1000</f>
        <v>54.776644271227603</v>
      </c>
      <c r="R26" s="127">
        <f t="shared" ca="1" si="13"/>
        <v>24.229065068417761</v>
      </c>
      <c r="S26" s="127">
        <f t="shared" ca="1" si="14"/>
        <v>2.3847209383484578</v>
      </c>
      <c r="T26" s="127">
        <f t="shared" ca="1" si="15"/>
        <v>0</v>
      </c>
      <c r="U26" s="127">
        <f t="shared" ca="1" si="16"/>
        <v>0</v>
      </c>
      <c r="V26" s="127">
        <f t="shared" ca="1" si="17"/>
        <v>15.660715826959915</v>
      </c>
      <c r="W26" s="127">
        <f t="shared" ca="1" si="18"/>
        <v>6.1836283031093879</v>
      </c>
      <c r="X26" s="18">
        <f t="shared" ca="1" si="19"/>
        <v>59.84104612706971</v>
      </c>
      <c r="Y26" s="127">
        <f t="shared" ca="1" si="20"/>
        <v>24.229065068417761</v>
      </c>
      <c r="Z26" s="127">
        <f t="shared" ca="1" si="21"/>
        <v>2.3847209383484578</v>
      </c>
      <c r="AA26" s="127">
        <f t="shared" ca="1" si="22"/>
        <v>0</v>
      </c>
      <c r="AB26" s="127">
        <f t="shared" ca="1" si="23"/>
        <v>0</v>
      </c>
      <c r="AC26" s="127">
        <f ca="1">Model!AL26/1000</f>
        <v>15.660715826959915</v>
      </c>
      <c r="AD26" s="127">
        <f t="shared" ca="1" si="24"/>
        <v>0</v>
      </c>
      <c r="AE26" s="127">
        <f t="shared" ca="1" si="25"/>
        <v>6.1836283031093879</v>
      </c>
      <c r="AF26" s="127">
        <f ca="1">Model!AW26/1000</f>
        <v>0</v>
      </c>
      <c r="AG26" s="18">
        <f t="shared" ca="1" si="26"/>
        <v>59.84104612706971</v>
      </c>
      <c r="AH26" s="127"/>
      <c r="AI26" s="18">
        <f ca="1">Model!X26</f>
        <v>59.84104612706971</v>
      </c>
      <c r="AJ26" s="18">
        <f ca="1">Model!Z26</f>
        <v>59.84104612706971</v>
      </c>
      <c r="AK26" s="89">
        <f t="shared" ca="1" si="2"/>
        <v>0.95790738004239362</v>
      </c>
      <c r="AL26" s="89">
        <f t="shared" si="3"/>
        <v>-3.779392206138616</v>
      </c>
      <c r="AQ26" s="2">
        <f t="shared" ca="1" si="4"/>
        <v>15.660715826959915</v>
      </c>
      <c r="AR26" s="2">
        <f t="shared" ca="1" si="5"/>
        <v>7.6104418614154516</v>
      </c>
      <c r="AS26" s="20">
        <f t="shared" ca="1" si="6"/>
        <v>24.229065068417761</v>
      </c>
      <c r="AT26" s="18">
        <f t="shared" ca="1" si="7"/>
        <v>59.84104612706971</v>
      </c>
      <c r="AU26" s="2">
        <v>21.247022937052172</v>
      </c>
      <c r="AV26" s="2">
        <v>7.6104418614154516</v>
      </c>
      <c r="AW26" s="20">
        <v>25.078072592329008</v>
      </c>
      <c r="AX26" s="18">
        <v>60.872355872182901</v>
      </c>
      <c r="AY26" s="2">
        <f t="shared" ca="1" si="8"/>
        <v>-5.5863071100922568</v>
      </c>
      <c r="AZ26" s="2">
        <f t="shared" ca="1" si="9"/>
        <v>0</v>
      </c>
      <c r="BA26" s="2">
        <f t="shared" ca="1" si="10"/>
        <v>-0.84900752391124712</v>
      </c>
      <c r="BB26" s="17">
        <f t="shared" ca="1" si="11"/>
        <v>-1.031309745113191</v>
      </c>
      <c r="BC26" s="17">
        <f t="shared" ca="1" si="27"/>
        <v>62.2346879721525</v>
      </c>
      <c r="BE26" s="127">
        <v>25.078072592329008</v>
      </c>
      <c r="BF26" s="127">
        <v>2.9455180954819746</v>
      </c>
      <c r="BG26" s="127">
        <v>0</v>
      </c>
      <c r="BH26" s="127">
        <v>0</v>
      </c>
      <c r="BI26" s="127">
        <v>21.247022937052172</v>
      </c>
      <c r="BJ26" s="127">
        <v>0</v>
      </c>
      <c r="BK26" s="127">
        <v>0.88553155979486109</v>
      </c>
      <c r="BL26" s="127">
        <v>0</v>
      </c>
      <c r="BM26" s="18">
        <v>60.872355872182901</v>
      </c>
    </row>
    <row r="27" spans="1:65" x14ac:dyDescent="0.25">
      <c r="A27" s="19">
        <v>2044</v>
      </c>
      <c r="B27" s="2">
        <f ca="1">Removals!C27</f>
        <v>15.759155189935722</v>
      </c>
      <c r="C27" s="2">
        <f ca="1">Removals!D27</f>
        <v>7.5715408472250481</v>
      </c>
      <c r="D27" s="2">
        <f ca="1">Removals!H27</f>
        <v>-2.5721975224116718</v>
      </c>
      <c r="E27" s="127">
        <f>Model!$L27/1000</f>
        <v>25.59177268282594</v>
      </c>
      <c r="F27" s="127">
        <f>Model!M27/1000</f>
        <v>25.59177268282594</v>
      </c>
      <c r="G27" s="127">
        <f ca="1">Model!AU27/1000</f>
        <v>23.9380117447472</v>
      </c>
      <c r="H27" s="127"/>
      <c r="I27" s="127">
        <f ca="1">Model!AB27/1000</f>
        <v>2.2189076323774959</v>
      </c>
      <c r="J27" s="127">
        <f ca="1">Model!AC27/1000</f>
        <v>0</v>
      </c>
      <c r="K27" s="127">
        <f ca="1">Model!AD27/1000</f>
        <v>0</v>
      </c>
      <c r="L27" s="127">
        <f ca="1">Model!AJ27/1000</f>
        <v>15.759155189935722</v>
      </c>
      <c r="M27" s="127">
        <f ca="1">Model!AZ27/1000</f>
        <v>0</v>
      </c>
      <c r="N27" s="127">
        <f ca="1">Model!BA27/1000</f>
        <v>5.9599489224339814</v>
      </c>
      <c r="O27" s="127">
        <f t="shared" ca="1" si="12"/>
        <v>5.9599489224339814</v>
      </c>
      <c r="P27" s="127">
        <f ca="1">Model!BF27/1000</f>
        <v>0</v>
      </c>
      <c r="Q27" s="127">
        <f ca="1">Model!BG27/1000</f>
        <v>53.81603867360699</v>
      </c>
      <c r="R27" s="127">
        <f t="shared" ca="1" si="13"/>
        <v>23.9380117447472</v>
      </c>
      <c r="S27" s="127">
        <f t="shared" ca="1" si="14"/>
        <v>2.2189076323774959</v>
      </c>
      <c r="T27" s="127">
        <f t="shared" ca="1" si="15"/>
        <v>0</v>
      </c>
      <c r="U27" s="127">
        <f t="shared" ca="1" si="16"/>
        <v>0</v>
      </c>
      <c r="V27" s="127">
        <f t="shared" ca="1" si="17"/>
        <v>15.759155189935722</v>
      </c>
      <c r="W27" s="127">
        <f t="shared" ca="1" si="18"/>
        <v>5.9599489224339814</v>
      </c>
      <c r="X27" s="18">
        <f t="shared" ca="1" si="19"/>
        <v>58.374940496956505</v>
      </c>
      <c r="Y27" s="127">
        <f t="shared" ca="1" si="20"/>
        <v>23.9380117447472</v>
      </c>
      <c r="Z27" s="127">
        <f t="shared" ca="1" si="21"/>
        <v>2.2189076323774959</v>
      </c>
      <c r="AA27" s="127">
        <f t="shared" ca="1" si="22"/>
        <v>0</v>
      </c>
      <c r="AB27" s="127">
        <f t="shared" ca="1" si="23"/>
        <v>0</v>
      </c>
      <c r="AC27" s="127">
        <f ca="1">Model!AL27/1000</f>
        <v>15.759155189935722</v>
      </c>
      <c r="AD27" s="127">
        <f t="shared" ca="1" si="24"/>
        <v>0</v>
      </c>
      <c r="AE27" s="127">
        <f t="shared" ca="1" si="25"/>
        <v>5.9599489224339814</v>
      </c>
      <c r="AF27" s="127">
        <f ca="1">Model!AW27/1000</f>
        <v>0</v>
      </c>
      <c r="AG27" s="18">
        <f t="shared" ca="1" si="26"/>
        <v>58.374940496956505</v>
      </c>
      <c r="AH27" s="127"/>
      <c r="AI27" s="18">
        <f ca="1">Model!X27</f>
        <v>58.374940496956505</v>
      </c>
      <c r="AJ27" s="18">
        <f ca="1">Model!Z27</f>
        <v>58.374940496956505</v>
      </c>
      <c r="AK27" s="89">
        <f t="shared" ca="1" si="2"/>
        <v>0.60731570758643016</v>
      </c>
      <c r="AL27" s="89">
        <f t="shared" si="3"/>
        <v>-3.9750052490273404</v>
      </c>
      <c r="AQ27" s="2">
        <f t="shared" ca="1" si="4"/>
        <v>15.759155189935722</v>
      </c>
      <c r="AR27" s="2">
        <f t="shared" ca="1" si="5"/>
        <v>7.5715408472250481</v>
      </c>
      <c r="AS27" s="20">
        <f t="shared" ca="1" si="6"/>
        <v>23.9380117447472</v>
      </c>
      <c r="AT27" s="18">
        <f t="shared" ca="1" si="7"/>
        <v>58.374940496956505</v>
      </c>
      <c r="AU27" s="2">
        <v>21.276775201256516</v>
      </c>
      <c r="AV27" s="2">
        <v>7.5715408472250481</v>
      </c>
      <c r="AW27" s="20">
        <v>24.873310799454224</v>
      </c>
      <c r="AX27" s="18">
        <v>59.989706712036252</v>
      </c>
      <c r="AY27" s="2">
        <f t="shared" ca="1" si="8"/>
        <v>-5.517620011320794</v>
      </c>
      <c r="AZ27" s="2">
        <f t="shared" ca="1" si="9"/>
        <v>0</v>
      </c>
      <c r="BA27" s="2">
        <f t="shared" ca="1" si="10"/>
        <v>-0.93529905470702346</v>
      </c>
      <c r="BB27" s="17">
        <f t="shared" ca="1" si="11"/>
        <v>-1.6147662150797473</v>
      </c>
      <c r="BC27" s="17">
        <f t="shared" ca="1" si="27"/>
        <v>60.70993811683477</v>
      </c>
      <c r="BE27" s="127">
        <v>24.873310799454224</v>
      </c>
      <c r="BF27" s="127">
        <v>2.765516260250783</v>
      </c>
      <c r="BG27" s="127">
        <v>0</v>
      </c>
      <c r="BH27" s="127">
        <v>0</v>
      </c>
      <c r="BI27" s="127">
        <v>21.27677520125652</v>
      </c>
      <c r="BJ27" s="127">
        <v>0</v>
      </c>
      <c r="BK27" s="127">
        <v>0.83101933794692018</v>
      </c>
      <c r="BL27" s="127">
        <v>0</v>
      </c>
      <c r="BM27" s="18">
        <v>59.989706712036252</v>
      </c>
    </row>
    <row r="28" spans="1:65" x14ac:dyDescent="0.25">
      <c r="A28" s="19">
        <v>2045</v>
      </c>
      <c r="B28" s="2">
        <f ca="1">Removals!C28</f>
        <v>15.881829730245666</v>
      </c>
      <c r="C28" s="2">
        <f ca="1">Removals!D28</f>
        <v>7.5560131157239256</v>
      </c>
      <c r="D28" s="2">
        <f ca="1">Removals!H28</f>
        <v>-2.0347440037514457</v>
      </c>
      <c r="E28" s="127">
        <f>Model!$L28/1000</f>
        <v>25.204709085383051</v>
      </c>
      <c r="F28" s="127">
        <f>Model!M28/1000</f>
        <v>25.204709085383051</v>
      </c>
      <c r="G28" s="127">
        <f ca="1">Model!AU28/1000</f>
        <v>23.572974807135036</v>
      </c>
      <c r="H28" s="127"/>
      <c r="I28" s="127">
        <f ca="1">Model!AB28/1000</f>
        <v>2.0530943264065336</v>
      </c>
      <c r="J28" s="127">
        <f ca="1">Model!AC28/1000</f>
        <v>0</v>
      </c>
      <c r="K28" s="127">
        <f ca="1">Model!AD28/1000</f>
        <v>0</v>
      </c>
      <c r="L28" s="127">
        <f ca="1">Model!AJ28/1000</f>
        <v>15.881829730245666</v>
      </c>
      <c r="M28" s="127">
        <f ca="1">Model!AZ28/1000</f>
        <v>0</v>
      </c>
      <c r="N28" s="127">
        <f ca="1">Model!BA28/1000</f>
        <v>5.6380507504828383</v>
      </c>
      <c r="O28" s="127">
        <f t="shared" ca="1" si="12"/>
        <v>5.6380507504828383</v>
      </c>
      <c r="P28" s="127">
        <f ca="1">Model!BF28/1000</f>
        <v>0</v>
      </c>
      <c r="Q28" s="127">
        <f ca="1">Model!BG28/1000</f>
        <v>53.699257035096629</v>
      </c>
      <c r="R28" s="127">
        <f t="shared" ca="1" si="13"/>
        <v>23.572974807135036</v>
      </c>
      <c r="S28" s="127">
        <f t="shared" ca="1" si="14"/>
        <v>2.0530943264065336</v>
      </c>
      <c r="T28" s="127">
        <f t="shared" ca="1" si="15"/>
        <v>0</v>
      </c>
      <c r="U28" s="127">
        <f t="shared" ca="1" si="16"/>
        <v>0</v>
      </c>
      <c r="V28" s="127">
        <f t="shared" ca="1" si="17"/>
        <v>15.881829730245666</v>
      </c>
      <c r="W28" s="127">
        <f t="shared" ca="1" si="18"/>
        <v>5.6380507504828383</v>
      </c>
      <c r="X28" s="18">
        <f t="shared" ca="1" si="19"/>
        <v>56.944754454781069</v>
      </c>
      <c r="Y28" s="127">
        <f t="shared" ca="1" si="20"/>
        <v>23.572974807135036</v>
      </c>
      <c r="Z28" s="127">
        <f t="shared" ca="1" si="21"/>
        <v>2.0530943264065336</v>
      </c>
      <c r="AA28" s="127">
        <f t="shared" ca="1" si="22"/>
        <v>0</v>
      </c>
      <c r="AB28" s="127">
        <f t="shared" ca="1" si="23"/>
        <v>0</v>
      </c>
      <c r="AC28" s="127">
        <f ca="1">Model!AL28/1000</f>
        <v>15.881829730245666</v>
      </c>
      <c r="AD28" s="127">
        <f t="shared" ca="1" si="24"/>
        <v>0</v>
      </c>
      <c r="AE28" s="127">
        <f t="shared" ca="1" si="25"/>
        <v>5.6380507504828383</v>
      </c>
      <c r="AF28" s="127">
        <f ca="1">Model!AW28/1000</f>
        <v>0</v>
      </c>
      <c r="AG28" s="18">
        <f t="shared" ca="1" si="26"/>
        <v>56.944754454781069</v>
      </c>
      <c r="AH28" s="127"/>
      <c r="AI28" s="18">
        <f ca="1">Model!X28</f>
        <v>56.944754454781069</v>
      </c>
      <c r="AJ28" s="18">
        <f ca="1">Model!Z28</f>
        <v>56.944754454781069</v>
      </c>
      <c r="AK28" s="89">
        <f t="shared" ca="1" si="2"/>
        <v>0.13513196116544446</v>
      </c>
      <c r="AL28" s="89">
        <f t="shared" si="3"/>
        <v>-4.2343970379973124</v>
      </c>
      <c r="AQ28" s="2">
        <f t="shared" ca="1" si="4"/>
        <v>15.881829730245666</v>
      </c>
      <c r="AR28" s="2">
        <f t="shared" ca="1" si="5"/>
        <v>7.5560131157239256</v>
      </c>
      <c r="AS28" s="20">
        <f t="shared" ca="1" si="6"/>
        <v>23.572974807135036</v>
      </c>
      <c r="AT28" s="18">
        <f t="shared" ca="1" si="7"/>
        <v>56.944754454781069</v>
      </c>
      <c r="AU28" s="2">
        <v>21.284014335528045</v>
      </c>
      <c r="AV28" s="2">
        <v>7.5560131157239256</v>
      </c>
      <c r="AW28" s="20">
        <v>24.605630413254659</v>
      </c>
      <c r="AX28" s="18">
        <v>59.119855964711732</v>
      </c>
      <c r="AY28" s="2">
        <f t="shared" ca="1" si="8"/>
        <v>-5.402184605282379</v>
      </c>
      <c r="AZ28" s="2">
        <f t="shared" ca="1" si="9"/>
        <v>0</v>
      </c>
      <c r="BA28" s="2">
        <f t="shared" ca="1" si="10"/>
        <v>-1.0326556061196221</v>
      </c>
      <c r="BB28" s="17">
        <f t="shared" ca="1" si="11"/>
        <v>-2.1751015099306628</v>
      </c>
      <c r="BC28" s="17">
        <f t="shared" ca="1" si="27"/>
        <v>59.222544632972316</v>
      </c>
      <c r="BE28" s="127">
        <v>24.605630413254659</v>
      </c>
      <c r="BF28" s="127">
        <v>2.5855144250195927</v>
      </c>
      <c r="BG28" s="127">
        <v>0</v>
      </c>
      <c r="BH28" s="127">
        <v>0</v>
      </c>
      <c r="BI28" s="127">
        <v>21.284014335528045</v>
      </c>
      <c r="BJ28" s="127">
        <v>0</v>
      </c>
      <c r="BK28" s="127">
        <v>0.73610165270702055</v>
      </c>
      <c r="BL28" s="127">
        <v>0</v>
      </c>
      <c r="BM28" s="18">
        <v>59.119855964711732</v>
      </c>
    </row>
    <row r="29" spans="1:65" x14ac:dyDescent="0.25">
      <c r="A29" s="19">
        <v>2046</v>
      </c>
      <c r="B29" s="2">
        <f ca="1">Removals!C29</f>
        <v>16.01528205822212</v>
      </c>
      <c r="C29" s="2">
        <f ca="1">Removals!D29</f>
        <v>7.5610976185075636</v>
      </c>
      <c r="D29" s="2">
        <f ca="1">Removals!H29</f>
        <v>-2.6784787576068139</v>
      </c>
      <c r="E29" s="127">
        <f>Model!$L29/1000</f>
        <v>24.966163939883984</v>
      </c>
      <c r="F29" s="127">
        <f>Model!M29/1000</f>
        <v>24.966163939883984</v>
      </c>
      <c r="G29" s="127">
        <f ca="1">Model!AU29/1000</f>
        <v>23.353945414675643</v>
      </c>
      <c r="H29" s="127"/>
      <c r="I29" s="127">
        <f ca="1">Model!AB29/1000</f>
        <v>1.8872810204355719</v>
      </c>
      <c r="J29" s="127">
        <f ca="1">Model!AC29/1000</f>
        <v>0</v>
      </c>
      <c r="K29" s="127">
        <f ca="1">Model!AD29/1000</f>
        <v>0</v>
      </c>
      <c r="L29" s="127">
        <f ca="1">Model!AJ29/1000</f>
        <v>16.01528205822212</v>
      </c>
      <c r="M29" s="127">
        <f ca="1">Model!AZ29/1000</f>
        <v>0</v>
      </c>
      <c r="N29" s="127">
        <f ca="1">Model!BA29/1000</f>
        <v>5.4513823360179519</v>
      </c>
      <c r="O29" s="127">
        <f t="shared" ca="1" si="12"/>
        <v>5.4513823360179519</v>
      </c>
      <c r="P29" s="127">
        <f ca="1">Model!BF29/1000</f>
        <v>0</v>
      </c>
      <c r="Q29" s="127">
        <f ca="1">Model!BG29/1000</f>
        <v>53.130493559979428</v>
      </c>
      <c r="R29" s="127">
        <f t="shared" ca="1" si="13"/>
        <v>23.353945414675643</v>
      </c>
      <c r="S29" s="127">
        <f t="shared" ca="1" si="14"/>
        <v>1.8872810204355719</v>
      </c>
      <c r="T29" s="127">
        <f t="shared" ca="1" si="15"/>
        <v>0</v>
      </c>
      <c r="U29" s="127">
        <f t="shared" ca="1" si="16"/>
        <v>0</v>
      </c>
      <c r="V29" s="127">
        <f t="shared" ca="1" si="17"/>
        <v>16.01528205822212</v>
      </c>
      <c r="W29" s="127">
        <f t="shared" ca="1" si="18"/>
        <v>5.4513823360179519</v>
      </c>
      <c r="X29" s="18">
        <f t="shared" ca="1" si="19"/>
        <v>55.549607970638938</v>
      </c>
      <c r="Y29" s="127">
        <f t="shared" ca="1" si="20"/>
        <v>23.353945414675643</v>
      </c>
      <c r="Z29" s="127">
        <f t="shared" ca="1" si="21"/>
        <v>1.8872810204355719</v>
      </c>
      <c r="AA29" s="127">
        <f t="shared" ca="1" si="22"/>
        <v>0</v>
      </c>
      <c r="AB29" s="127">
        <f t="shared" ca="1" si="23"/>
        <v>0</v>
      </c>
      <c r="AC29" s="127">
        <f ca="1">Model!AL29/1000</f>
        <v>16.01528205822212</v>
      </c>
      <c r="AD29" s="127">
        <f t="shared" ca="1" si="24"/>
        <v>0</v>
      </c>
      <c r="AE29" s="127">
        <f t="shared" ca="1" si="25"/>
        <v>5.4513823360179519</v>
      </c>
      <c r="AF29" s="127">
        <f ca="1">Model!AW29/1000</f>
        <v>0</v>
      </c>
      <c r="AG29" s="18">
        <f t="shared" ca="1" si="26"/>
        <v>55.549607970638938</v>
      </c>
      <c r="AH29" s="127"/>
      <c r="AI29" s="18">
        <f ca="1">Model!X29</f>
        <v>55.549607970638938</v>
      </c>
      <c r="AJ29" s="18">
        <f ca="1">Model!Z29</f>
        <v>55.549607970638938</v>
      </c>
      <c r="AK29" s="89">
        <f t="shared" ca="1" si="2"/>
        <v>-0.22243426205404049</v>
      </c>
      <c r="AL29" s="89">
        <f t="shared" si="3"/>
        <v>-4.3874968500331875</v>
      </c>
      <c r="AQ29" s="2">
        <f t="shared" ca="1" si="4"/>
        <v>16.01528205822212</v>
      </c>
      <c r="AR29" s="2">
        <f t="shared" ca="1" si="5"/>
        <v>7.5610976185075636</v>
      </c>
      <c r="AS29" s="20">
        <f t="shared" ca="1" si="6"/>
        <v>23.353945414675643</v>
      </c>
      <c r="AT29" s="18">
        <f t="shared" ca="1" si="7"/>
        <v>55.549607970638938</v>
      </c>
      <c r="AU29" s="2">
        <v>21.275574945838958</v>
      </c>
      <c r="AV29" s="2">
        <v>7.5610976185075636</v>
      </c>
      <c r="AW29" s="20">
        <v>24.449175714313334</v>
      </c>
      <c r="AX29" s="18">
        <v>58.262618053223413</v>
      </c>
      <c r="AY29" s="2">
        <f t="shared" ca="1" si="8"/>
        <v>-5.2602928876168384</v>
      </c>
      <c r="AZ29" s="2">
        <f t="shared" ca="1" si="9"/>
        <v>0</v>
      </c>
      <c r="BA29" s="2">
        <f t="shared" ca="1" si="10"/>
        <v>-1.0952302996376915</v>
      </c>
      <c r="BB29" s="17">
        <f t="shared" ca="1" si="11"/>
        <v>-2.713010082584475</v>
      </c>
      <c r="BC29" s="17">
        <f t="shared" ca="1" si="27"/>
        <v>57.7715922894645</v>
      </c>
      <c r="BE29" s="127">
        <v>24.449175714313334</v>
      </c>
      <c r="BF29" s="127">
        <v>2.4055125897884007</v>
      </c>
      <c r="BG29" s="127">
        <v>0</v>
      </c>
      <c r="BH29" s="127">
        <v>0</v>
      </c>
      <c r="BI29" s="127">
        <v>21.275574945838958</v>
      </c>
      <c r="BJ29" s="127">
        <v>0</v>
      </c>
      <c r="BK29" s="127">
        <v>0.76808817868597179</v>
      </c>
      <c r="BL29" s="127">
        <v>0</v>
      </c>
      <c r="BM29" s="18">
        <v>58.262618053223413</v>
      </c>
    </row>
    <row r="30" spans="1:65" x14ac:dyDescent="0.25">
      <c r="A30" s="19">
        <v>2047</v>
      </c>
      <c r="B30" s="2">
        <f ca="1">Removals!C30</f>
        <v>16.161700778430387</v>
      </c>
      <c r="C30" s="2">
        <f ca="1">Removals!D30</f>
        <v>7.2869599039431625</v>
      </c>
      <c r="D30" s="2">
        <f ca="1">Removals!H30</f>
        <v>-4.9709897423927671</v>
      </c>
      <c r="E30" s="127">
        <f>Model!$L30/1000</f>
        <v>24.64398315777305</v>
      </c>
      <c r="F30" s="127">
        <f>Model!M30/1000</f>
        <v>24.64398315777305</v>
      </c>
      <c r="G30" s="127">
        <f ca="1">Model!AU30/1000</f>
        <v>23.048648156860303</v>
      </c>
      <c r="H30" s="127"/>
      <c r="I30" s="127">
        <f ca="1">Model!AB30/1000</f>
        <v>1.72146771446461</v>
      </c>
      <c r="J30" s="127">
        <f ca="1">Model!AC30/1000</f>
        <v>0</v>
      </c>
      <c r="K30" s="127">
        <f ca="1">Model!AD30/1000</f>
        <v>0</v>
      </c>
      <c r="L30" s="127">
        <f ca="1">Model!AJ30/1000</f>
        <v>16.161700778430387</v>
      </c>
      <c r="M30" s="127">
        <f ca="1">Model!AZ30/1000</f>
        <v>0</v>
      </c>
      <c r="N30" s="127">
        <f ca="1">Model!BA30/1000</f>
        <v>5.1654796639653071</v>
      </c>
      <c r="O30" s="127">
        <f t="shared" ca="1" si="12"/>
        <v>5.1654796639653071</v>
      </c>
      <c r="P30" s="127">
        <f ca="1">Model!BF30/1000</f>
        <v>0</v>
      </c>
      <c r="Q30" s="127">
        <f ca="1">Model!BG30/1000</f>
        <v>50.280984057564517</v>
      </c>
      <c r="R30" s="127">
        <f t="shared" ca="1" si="13"/>
        <v>23.048648156860303</v>
      </c>
      <c r="S30" s="127">
        <f t="shared" ca="1" si="14"/>
        <v>1.72146771446461</v>
      </c>
      <c r="T30" s="127">
        <f t="shared" ca="1" si="15"/>
        <v>0</v>
      </c>
      <c r="U30" s="127">
        <f t="shared" ca="1" si="16"/>
        <v>0</v>
      </c>
      <c r="V30" s="127">
        <f t="shared" ca="1" si="17"/>
        <v>16.161700778430387</v>
      </c>
      <c r="W30" s="127">
        <f t="shared" ca="1" si="18"/>
        <v>5.1654796639653071</v>
      </c>
      <c r="X30" s="18">
        <f t="shared" ca="1" si="19"/>
        <v>54.188642575358287</v>
      </c>
      <c r="Y30" s="127">
        <f t="shared" ca="1" si="20"/>
        <v>23.048648156860303</v>
      </c>
      <c r="Z30" s="127">
        <f t="shared" ca="1" si="21"/>
        <v>1.72146771446461</v>
      </c>
      <c r="AA30" s="127">
        <f t="shared" ca="1" si="22"/>
        <v>0</v>
      </c>
      <c r="AB30" s="127">
        <f t="shared" ca="1" si="23"/>
        <v>0</v>
      </c>
      <c r="AC30" s="127">
        <f ca="1">Model!AL30/1000</f>
        <v>16.161700778430387</v>
      </c>
      <c r="AD30" s="127">
        <f t="shared" ca="1" si="24"/>
        <v>0</v>
      </c>
      <c r="AE30" s="127">
        <f t="shared" ca="1" si="25"/>
        <v>5.1654796639653071</v>
      </c>
      <c r="AF30" s="127">
        <f ca="1">Model!AW30/1000</f>
        <v>0</v>
      </c>
      <c r="AG30" s="18">
        <f t="shared" ca="1" si="26"/>
        <v>54.188642575358287</v>
      </c>
      <c r="AH30" s="127"/>
      <c r="AI30" s="18">
        <f ca="1">Model!X30</f>
        <v>54.188642575358287</v>
      </c>
      <c r="AJ30" s="18">
        <f ca="1">Model!Z30</f>
        <v>54.188642575358287</v>
      </c>
      <c r="AK30" s="89">
        <f t="shared" ca="1" si="2"/>
        <v>-0.40001252551324651</v>
      </c>
      <c r="AL30" s="89">
        <f t="shared" si="3"/>
        <v>-4.3451568807016256</v>
      </c>
      <c r="AQ30" s="2">
        <f t="shared" ca="1" si="4"/>
        <v>16.161700778430387</v>
      </c>
      <c r="AR30" s="2">
        <f t="shared" ca="1" si="5"/>
        <v>7.2869599039431625</v>
      </c>
      <c r="AS30" s="20">
        <f t="shared" ca="1" si="6"/>
        <v>23.048648156860303</v>
      </c>
      <c r="AT30" s="18">
        <f t="shared" ca="1" si="7"/>
        <v>54.188642575358287</v>
      </c>
      <c r="AU30" s="2">
        <v>21.266918522611558</v>
      </c>
      <c r="AV30" s="2">
        <v>7.2869599039431625</v>
      </c>
      <c r="AW30" s="20">
        <v>24.208721545853095</v>
      </c>
      <c r="AX30" s="18">
        <v>57.417810091451678</v>
      </c>
      <c r="AY30" s="2">
        <f t="shared" ca="1" si="8"/>
        <v>-5.1052177441811715</v>
      </c>
      <c r="AZ30" s="2">
        <f t="shared" ca="1" si="9"/>
        <v>0</v>
      </c>
      <c r="BA30" s="2">
        <f t="shared" ca="1" si="10"/>
        <v>-1.1600733889927923</v>
      </c>
      <c r="BB30" s="17">
        <f t="shared" ca="1" si="11"/>
        <v>-3.2291675160933906</v>
      </c>
      <c r="BC30" s="17">
        <f t="shared" ca="1" si="27"/>
        <v>56.35618827837262</v>
      </c>
      <c r="BE30" s="127">
        <v>24.208721545853095</v>
      </c>
      <c r="BF30" s="127">
        <v>2.2255107545572099</v>
      </c>
      <c r="BG30" s="127">
        <v>0</v>
      </c>
      <c r="BH30" s="127">
        <v>0</v>
      </c>
      <c r="BI30" s="127">
        <v>21.266918522611558</v>
      </c>
      <c r="BJ30" s="127">
        <v>0</v>
      </c>
      <c r="BK30" s="127">
        <v>0.71629226868432672</v>
      </c>
      <c r="BL30" s="127">
        <v>0</v>
      </c>
      <c r="BM30" s="18">
        <v>57.417810091451678</v>
      </c>
    </row>
    <row r="31" spans="1:65" x14ac:dyDescent="0.25">
      <c r="A31" s="19">
        <v>2048</v>
      </c>
      <c r="B31" s="2">
        <f ca="1">Removals!C31</f>
        <v>16.294325733612549</v>
      </c>
      <c r="C31" s="2">
        <f ca="1">Removals!D31</f>
        <v>6.9990266782100807</v>
      </c>
      <c r="D31" s="2">
        <f ca="1">Removals!H31</f>
        <v>-5.1414508701987014</v>
      </c>
      <c r="E31" s="127">
        <f>Model!$L31/1000</f>
        <v>24.390937422627992</v>
      </c>
      <c r="F31" s="127">
        <f>Model!M31/1000</f>
        <v>24.390937422627992</v>
      </c>
      <c r="G31" s="127">
        <f ca="1">Model!AU31/1000</f>
        <v>22.809749040803677</v>
      </c>
      <c r="H31" s="127"/>
      <c r="I31" s="127">
        <f ca="1">Model!AB31/1000</f>
        <v>1.5556544084936474</v>
      </c>
      <c r="J31" s="127">
        <f ca="1">Model!AC31/1000</f>
        <v>0</v>
      </c>
      <c r="K31" s="127">
        <f ca="1">Model!AD31/1000</f>
        <v>0</v>
      </c>
      <c r="L31" s="127">
        <f ca="1">Model!AJ31/1000</f>
        <v>16.294325733612549</v>
      </c>
      <c r="M31" s="127">
        <f ca="1">Model!AZ31/1000</f>
        <v>0</v>
      </c>
      <c r="N31" s="127">
        <f ca="1">Model!BA31/1000</f>
        <v>4.9597688986974786</v>
      </c>
      <c r="O31" s="127">
        <f t="shared" ca="1" si="12"/>
        <v>4.9597688986974786</v>
      </c>
      <c r="P31" s="127">
        <f ca="1">Model!BF31/1000</f>
        <v>0</v>
      </c>
      <c r="Q31" s="127">
        <f ca="1">Model!BG31/1000</f>
        <v>47.17879096687841</v>
      </c>
      <c r="R31" s="127">
        <f t="shared" ca="1" si="13"/>
        <v>22.809749040803677</v>
      </c>
      <c r="S31" s="127">
        <f t="shared" ca="1" si="14"/>
        <v>1.5556544084936474</v>
      </c>
      <c r="T31" s="127">
        <f t="shared" ca="1" si="15"/>
        <v>0</v>
      </c>
      <c r="U31" s="127">
        <f t="shared" ca="1" si="16"/>
        <v>0</v>
      </c>
      <c r="V31" s="127">
        <f t="shared" ca="1" si="17"/>
        <v>16.294325733612549</v>
      </c>
      <c r="W31" s="127">
        <f t="shared" ca="1" si="18"/>
        <v>4.9597688986974786</v>
      </c>
      <c r="X31" s="18">
        <f t="shared" ca="1" si="19"/>
        <v>52.861020832262014</v>
      </c>
      <c r="Y31" s="127">
        <f t="shared" ca="1" si="20"/>
        <v>22.809749040803677</v>
      </c>
      <c r="Z31" s="127">
        <f t="shared" ca="1" si="21"/>
        <v>1.5556544084936474</v>
      </c>
      <c r="AA31" s="127">
        <f t="shared" ca="1" si="22"/>
        <v>0</v>
      </c>
      <c r="AB31" s="127">
        <f t="shared" ca="1" si="23"/>
        <v>0</v>
      </c>
      <c r="AC31" s="127">
        <f ca="1">Model!AL31/1000</f>
        <v>16.294325733612549</v>
      </c>
      <c r="AD31" s="127">
        <f t="shared" ca="1" si="24"/>
        <v>0</v>
      </c>
      <c r="AE31" s="127">
        <f t="shared" ca="1" si="25"/>
        <v>4.9597688986974786</v>
      </c>
      <c r="AF31" s="127">
        <f ca="1">Model!AW31/1000</f>
        <v>0</v>
      </c>
      <c r="AG31" s="18">
        <f t="shared" ca="1" si="26"/>
        <v>52.861020832262014</v>
      </c>
      <c r="AH31" s="127"/>
      <c r="AI31" s="18">
        <f ca="1">Model!X31</f>
        <v>52.861020832262014</v>
      </c>
      <c r="AJ31" s="18">
        <f ca="1">Model!Z31</f>
        <v>52.861020832262014</v>
      </c>
      <c r="AK31" s="89">
        <f t="shared" ca="1" si="2"/>
        <v>-0.4836033710189529</v>
      </c>
      <c r="AL31" s="89">
        <f t="shared" si="3"/>
        <v>-4.2155980234457093</v>
      </c>
      <c r="AQ31" s="2">
        <f t="shared" ca="1" si="4"/>
        <v>16.294325733612549</v>
      </c>
      <c r="AR31" s="2">
        <f t="shared" ca="1" si="5"/>
        <v>6.9990266782100807</v>
      </c>
      <c r="AS31" s="20">
        <f t="shared" ca="1" si="6"/>
        <v>22.809749040803677</v>
      </c>
      <c r="AT31" s="18">
        <f t="shared" ca="1" si="7"/>
        <v>52.861020832262014</v>
      </c>
      <c r="AU31" s="2">
        <v>21.253203782904784</v>
      </c>
      <c r="AV31" s="2">
        <v>6.9990266782100807</v>
      </c>
      <c r="AW31" s="20">
        <v>24.036632437669155</v>
      </c>
      <c r="AX31" s="18">
        <v>56.585251845125633</v>
      </c>
      <c r="AY31" s="2">
        <f t="shared" ca="1" si="8"/>
        <v>-4.9588780492922346</v>
      </c>
      <c r="AZ31" s="2">
        <f t="shared" ca="1" si="9"/>
        <v>0</v>
      </c>
      <c r="BA31" s="2">
        <f t="shared" ca="1" si="10"/>
        <v>-1.2268833968654782</v>
      </c>
      <c r="BB31" s="17">
        <f t="shared" ca="1" si="11"/>
        <v>-3.7242310128636191</v>
      </c>
      <c r="BC31" s="17">
        <f t="shared" ca="1" si="27"/>
        <v>54.975461665552494</v>
      </c>
      <c r="BE31" s="127">
        <v>24.036632437669155</v>
      </c>
      <c r="BF31" s="127">
        <v>2.0455089193260179</v>
      </c>
      <c r="BG31" s="127">
        <v>0</v>
      </c>
      <c r="BH31" s="127">
        <v>0</v>
      </c>
      <c r="BI31" s="127">
        <v>21.253203782904784</v>
      </c>
      <c r="BJ31" s="127">
        <v>0</v>
      </c>
      <c r="BK31" s="127">
        <v>0.7379197354383541</v>
      </c>
      <c r="BL31" s="127">
        <v>0</v>
      </c>
      <c r="BM31" s="18">
        <v>56.585251845125633</v>
      </c>
    </row>
    <row r="32" spans="1:65" x14ac:dyDescent="0.25">
      <c r="A32" s="19">
        <v>2049</v>
      </c>
      <c r="B32" s="2">
        <f ca="1">Removals!C32</f>
        <v>16.437615463454009</v>
      </c>
      <c r="C32" s="2">
        <f ca="1">Removals!D32</f>
        <v>6.6034741983414609</v>
      </c>
      <c r="D32" s="2">
        <f ca="1">Removals!H32</f>
        <v>-6.4683893885893999</v>
      </c>
      <c r="E32" s="127">
        <f>Model!$L32/1000</f>
        <v>24.08938095991903</v>
      </c>
      <c r="F32" s="127">
        <f>Model!M32/1000</f>
        <v>24.08938095991903</v>
      </c>
      <c r="G32" s="127">
        <f ca="1">Model!AU32/1000</f>
        <v>22.519507750277153</v>
      </c>
      <c r="H32" s="127"/>
      <c r="I32" s="127">
        <f ca="1">Model!AB32/1000</f>
        <v>1.3898411025226862</v>
      </c>
      <c r="J32" s="127">
        <f ca="1">Model!AC32/1000</f>
        <v>0</v>
      </c>
      <c r="K32" s="127">
        <f ca="1">Model!AD32/1000</f>
        <v>0</v>
      </c>
      <c r="L32" s="127">
        <f ca="1">Model!AJ32/1000</f>
        <v>16.437615463454009</v>
      </c>
      <c r="M32" s="127">
        <f ca="1">Model!AZ32/1000</f>
        <v>0</v>
      </c>
      <c r="N32" s="127">
        <f ca="1">Model!BA32/1000</f>
        <v>4.6920511843004604</v>
      </c>
      <c r="O32" s="127">
        <f t="shared" ca="1" si="12"/>
        <v>4.6920511843004604</v>
      </c>
      <c r="P32" s="127">
        <f ca="1">Model!BF32/1000</f>
        <v>0</v>
      </c>
      <c r="Q32" s="127">
        <f ca="1">Model!BG32/1000</f>
        <v>42.621824592330015</v>
      </c>
      <c r="R32" s="127">
        <f t="shared" ca="1" si="13"/>
        <v>22.519507750277153</v>
      </c>
      <c r="S32" s="127">
        <f t="shared" ca="1" si="14"/>
        <v>1.3898411025226862</v>
      </c>
      <c r="T32" s="127">
        <f t="shared" ca="1" si="15"/>
        <v>0</v>
      </c>
      <c r="U32" s="127">
        <f t="shared" ca="1" si="16"/>
        <v>0</v>
      </c>
      <c r="V32" s="127">
        <f t="shared" ca="1" si="17"/>
        <v>16.437615463454009</v>
      </c>
      <c r="W32" s="127">
        <f t="shared" ca="1" si="18"/>
        <v>4.6920511843004604</v>
      </c>
      <c r="X32" s="18">
        <f t="shared" ca="1" si="19"/>
        <v>51.565925821871595</v>
      </c>
      <c r="Y32" s="127">
        <f t="shared" ca="1" si="20"/>
        <v>22.519507750277153</v>
      </c>
      <c r="Z32" s="127">
        <f t="shared" ca="1" si="21"/>
        <v>1.3898411025226862</v>
      </c>
      <c r="AA32" s="127">
        <f t="shared" ca="1" si="22"/>
        <v>0</v>
      </c>
      <c r="AB32" s="127">
        <f t="shared" ca="1" si="23"/>
        <v>0</v>
      </c>
      <c r="AC32" s="127">
        <f ca="1">Model!AL32/1000</f>
        <v>16.437615463454009</v>
      </c>
      <c r="AD32" s="127">
        <f t="shared" ca="1" si="24"/>
        <v>0</v>
      </c>
      <c r="AE32" s="127">
        <f t="shared" ca="1" si="25"/>
        <v>4.6920511843004604</v>
      </c>
      <c r="AF32" s="127">
        <f ca="1">Model!AW32/1000</f>
        <v>0</v>
      </c>
      <c r="AG32" s="18">
        <f t="shared" ca="1" si="26"/>
        <v>51.565925821871595</v>
      </c>
      <c r="AH32" s="127"/>
      <c r="AI32" s="18">
        <f ca="1">Model!X32</f>
        <v>51.565925821871595</v>
      </c>
      <c r="AJ32" s="18">
        <f ca="1">Model!Z32</f>
        <v>51.565925821871595</v>
      </c>
      <c r="AK32" s="89">
        <f t="shared" ca="1" si="2"/>
        <v>-0.52158191151831623</v>
      </c>
      <c r="AL32" s="89">
        <f t="shared" si="3"/>
        <v>-4.0445902720013418</v>
      </c>
      <c r="AQ32" s="2">
        <f t="shared" ca="1" si="4"/>
        <v>16.437615463454009</v>
      </c>
      <c r="AR32" s="2">
        <f t="shared" ca="1" si="5"/>
        <v>6.6034741983414609</v>
      </c>
      <c r="AS32" s="20">
        <f t="shared" ca="1" si="6"/>
        <v>22.519507750277153</v>
      </c>
      <c r="AT32" s="18">
        <f t="shared" ca="1" si="7"/>
        <v>51.565925821871595</v>
      </c>
      <c r="AU32" s="2">
        <v>21.237832139568752</v>
      </c>
      <c r="AV32" s="2">
        <v>6.6034741983414609</v>
      </c>
      <c r="AW32" s="20">
        <v>23.796716065908871</v>
      </c>
      <c r="AX32" s="18">
        <v>55.764765693371317</v>
      </c>
      <c r="AY32" s="2">
        <f t="shared" ca="1" si="8"/>
        <v>-4.8002166761147436</v>
      </c>
      <c r="AZ32" s="2">
        <f t="shared" ca="1" si="9"/>
        <v>0</v>
      </c>
      <c r="BA32" s="2">
        <f t="shared" ca="1" si="10"/>
        <v>-1.277208315631718</v>
      </c>
      <c r="BB32" s="17">
        <f t="shared" ca="1" si="11"/>
        <v>-4.1988398714997217</v>
      </c>
      <c r="BC32" s="17">
        <f t="shared" ca="1" si="27"/>
        <v>53.628562854746463</v>
      </c>
      <c r="BE32" s="127">
        <v>23.796716065908871</v>
      </c>
      <c r="BF32" s="127">
        <v>1.8655070840948269</v>
      </c>
      <c r="BG32" s="127">
        <v>0</v>
      </c>
      <c r="BH32" s="127">
        <v>0</v>
      </c>
      <c r="BI32" s="127">
        <v>21.237832139568752</v>
      </c>
      <c r="BJ32" s="127">
        <v>0</v>
      </c>
      <c r="BK32" s="127">
        <v>0.69337684224528862</v>
      </c>
      <c r="BL32" s="127">
        <v>0</v>
      </c>
      <c r="BM32" s="18">
        <v>55.764765693371317</v>
      </c>
    </row>
    <row r="33" spans="1:65" x14ac:dyDescent="0.25">
      <c r="A33" s="19">
        <v>2050</v>
      </c>
      <c r="B33" s="2">
        <f ca="1">Removals!C33</f>
        <v>16.584731147867849</v>
      </c>
      <c r="C33" s="2">
        <f ca="1">Removals!D33</f>
        <v>6.3557423602063654</v>
      </c>
      <c r="D33" s="2">
        <f ca="1">Removals!H33</f>
        <v>-6.939546455164785</v>
      </c>
      <c r="E33" s="127">
        <f>Model!$L33/1000</f>
        <v>23.832888740920492</v>
      </c>
      <c r="F33" s="127">
        <f>Model!M33/1000</f>
        <v>23.832888740920492</v>
      </c>
      <c r="G33" s="127">
        <f ca="1">Model!AU33/1000</f>
        <v>22.271411166192419</v>
      </c>
      <c r="H33" s="127"/>
      <c r="I33" s="127">
        <f ca="1">Model!AB33/1000</f>
        <v>1.2240277965517241</v>
      </c>
      <c r="J33" s="127">
        <f ca="1">Model!AC33/1000</f>
        <v>0</v>
      </c>
      <c r="K33" s="127">
        <f ca="1">Model!AD33/1000</f>
        <v>0</v>
      </c>
      <c r="L33" s="127">
        <f ca="1">Model!AJ33/1000</f>
        <v>16.584731147867849</v>
      </c>
      <c r="M33" s="127">
        <f ca="1">Model!AZ33/1000</f>
        <v>0</v>
      </c>
      <c r="N33" s="127">
        <f ca="1">Model!BA33/1000</f>
        <v>4.4626522217728448</v>
      </c>
      <c r="O33" s="127">
        <f t="shared" ca="1" si="12"/>
        <v>4.4626522217728448</v>
      </c>
      <c r="P33" s="127">
        <f ca="1">Model!BF33/1000</f>
        <v>0</v>
      </c>
      <c r="Q33" s="127">
        <f ca="1">Model!BG33/1000</f>
        <v>37.575368275598755</v>
      </c>
      <c r="R33" s="127">
        <f t="shared" ca="1" si="13"/>
        <v>22.271411166192419</v>
      </c>
      <c r="S33" s="127">
        <f t="shared" ca="1" si="14"/>
        <v>1.2240277965517241</v>
      </c>
      <c r="T33" s="127">
        <f t="shared" ca="1" si="15"/>
        <v>0</v>
      </c>
      <c r="U33" s="127">
        <f t="shared" ca="1" si="16"/>
        <v>0</v>
      </c>
      <c r="V33" s="127">
        <f t="shared" ca="1" si="17"/>
        <v>16.584731147867849</v>
      </c>
      <c r="W33" s="127">
        <f t="shared" ca="1" si="18"/>
        <v>4.4626522217728448</v>
      </c>
      <c r="X33" s="18">
        <f t="shared" ca="1" si="19"/>
        <v>50.302560639235743</v>
      </c>
      <c r="Y33" s="127">
        <f t="shared" ca="1" si="20"/>
        <v>22.271411166192419</v>
      </c>
      <c r="Z33" s="127">
        <f t="shared" ca="1" si="21"/>
        <v>1.2240277965517241</v>
      </c>
      <c r="AA33" s="127">
        <f t="shared" ca="1" si="22"/>
        <v>0</v>
      </c>
      <c r="AB33" s="127">
        <f t="shared" ca="1" si="23"/>
        <v>0</v>
      </c>
      <c r="AC33" s="127">
        <f ca="1">Model!AL33/1000</f>
        <v>16.584731147867849</v>
      </c>
      <c r="AD33" s="127">
        <f t="shared" ca="1" si="24"/>
        <v>0</v>
      </c>
      <c r="AE33" s="127">
        <f t="shared" ca="1" si="25"/>
        <v>4.4626522217728448</v>
      </c>
      <c r="AF33" s="127">
        <f ca="1">Model!AW33/1000</f>
        <v>0</v>
      </c>
      <c r="AG33" s="18">
        <f t="shared" ca="1" si="26"/>
        <v>50.302560639235743</v>
      </c>
      <c r="AH33" s="127"/>
      <c r="AI33" s="18">
        <f ca="1">Model!X33</f>
        <v>50.302560639235743</v>
      </c>
      <c r="AJ33" s="281">
        <f ca="1">Model!Z33</f>
        <v>50.302560639235743</v>
      </c>
      <c r="AK33" s="89">
        <f t="shared" ca="1" si="2"/>
        <v>-0.66906234188179603</v>
      </c>
      <c r="AL33" s="89">
        <f t="shared" si="3"/>
        <v>-3.9823809609907475</v>
      </c>
      <c r="AQ33" s="2">
        <f t="shared" ca="1" si="4"/>
        <v>16.584731147867849</v>
      </c>
      <c r="AR33" s="2">
        <f t="shared" ca="1" si="5"/>
        <v>6.3557423602063654</v>
      </c>
      <c r="AS33" s="20">
        <f t="shared" ca="1" si="6"/>
        <v>22.271411166192419</v>
      </c>
      <c r="AT33" s="18">
        <f t="shared" ca="1" si="7"/>
        <v>50.302560639235743</v>
      </c>
      <c r="AU33" s="2">
        <v>21.219208974992622</v>
      </c>
      <c r="AV33" s="2">
        <v>6.3557423602063654</v>
      </c>
      <c r="AW33" s="20">
        <v>23.59257037420824</v>
      </c>
      <c r="AX33" s="18">
        <v>54.956176590817435</v>
      </c>
      <c r="AY33" s="2">
        <f t="shared" ca="1" si="8"/>
        <v>-4.6344778271247726</v>
      </c>
      <c r="AZ33" s="2">
        <f t="shared" ca="1" si="9"/>
        <v>0</v>
      </c>
      <c r="BA33" s="2">
        <f t="shared" ca="1" si="10"/>
        <v>-1.3211592080158212</v>
      </c>
      <c r="BB33" s="17">
        <f t="shared" ca="1" si="11"/>
        <v>-4.6536159515816919</v>
      </c>
      <c r="BC33" s="17">
        <f t="shared" ca="1" si="27"/>
        <v>52.314663064805174</v>
      </c>
      <c r="BE33" s="127">
        <v>23.59257037420824</v>
      </c>
      <c r="BF33" s="127">
        <v>1.6855052488636364</v>
      </c>
      <c r="BG33" s="127">
        <v>0</v>
      </c>
      <c r="BH33" s="127">
        <v>0</v>
      </c>
      <c r="BI33" s="127">
        <v>21.219208974992622</v>
      </c>
      <c r="BJ33" s="127">
        <v>0</v>
      </c>
      <c r="BK33" s="127">
        <v>0.68785615035198133</v>
      </c>
      <c r="BL33" s="127">
        <v>0</v>
      </c>
      <c r="BM33" s="18">
        <v>54.956176590817435</v>
      </c>
    </row>
    <row r="36" spans="1:65" x14ac:dyDescent="0.25">
      <c r="BD36" t="s">
        <v>194</v>
      </c>
      <c r="BE36" s="274">
        <f t="shared" ref="BE36:BL36" ca="1" si="28">Y9-BE9</f>
        <v>-0.44939221228266035</v>
      </c>
      <c r="BF36" s="274">
        <f t="shared" ca="1" si="28"/>
        <v>-1.1326609836982344</v>
      </c>
      <c r="BG36" s="274">
        <f t="shared" ca="1" si="28"/>
        <v>-5.4999999999999991</v>
      </c>
      <c r="BH36" s="274">
        <f t="shared" ca="1" si="28"/>
        <v>0</v>
      </c>
      <c r="BI36" s="274">
        <f t="shared" ca="1" si="28"/>
        <v>2.5771616935476596</v>
      </c>
      <c r="BJ36" s="274">
        <f t="shared" ca="1" si="28"/>
        <v>3.6061070778679216</v>
      </c>
      <c r="BK36" s="274">
        <f t="shared" ca="1" si="28"/>
        <v>0</v>
      </c>
      <c r="BL36" s="274">
        <f t="shared" ca="1" si="28"/>
        <v>0</v>
      </c>
    </row>
    <row r="37" spans="1:65" x14ac:dyDescent="0.25">
      <c r="BE37" s="274">
        <f t="shared" ref="BE37:BE40" ca="1" si="29">Y10-BE10</f>
        <v>-0.33094718083474461</v>
      </c>
      <c r="BF37" s="274">
        <f t="shared" ref="BF37:BF41" ca="1" si="30">Z10-BF10</f>
        <v>-1.2179641216720976</v>
      </c>
      <c r="BG37" s="274">
        <f t="shared" ref="BG37:BG41" ca="1" si="31">AA10-BG10</f>
        <v>-4.8</v>
      </c>
      <c r="BH37" s="274">
        <f t="shared" ref="BH37:BH41" ca="1" si="32">AB10-BH10</f>
        <v>0</v>
      </c>
      <c r="BI37" s="274">
        <f t="shared" ref="BI37:BI41" ca="1" si="33">AC10-BI10</f>
        <v>2.0899309149945005</v>
      </c>
      <c r="BJ37" s="274">
        <f t="shared" ref="BJ37:BJ41" ca="1" si="34">AD10-BJ10</f>
        <v>3.5970860258428505</v>
      </c>
      <c r="BK37" s="274">
        <f t="shared" ref="BK37:BK41" ca="1" si="35">AE10-BK10</f>
        <v>0</v>
      </c>
      <c r="BL37" s="274">
        <f t="shared" ref="BL37:BL41" ca="1" si="36">AF10-BL10</f>
        <v>0</v>
      </c>
    </row>
    <row r="38" spans="1:65" x14ac:dyDescent="0.25">
      <c r="BE38" s="274">
        <f t="shared" ca="1" si="29"/>
        <v>-0.32651126725129842</v>
      </c>
      <c r="BF38" s="274">
        <f t="shared" ca="1" si="30"/>
        <v>-1.0980334026710405</v>
      </c>
      <c r="BG38" s="274">
        <f t="shared" ca="1" si="31"/>
        <v>3.3</v>
      </c>
      <c r="BH38" s="274">
        <f t="shared" ca="1" si="32"/>
        <v>0</v>
      </c>
      <c r="BI38" s="274">
        <f t="shared" ca="1" si="33"/>
        <v>1.4262349267703502</v>
      </c>
      <c r="BJ38" s="274">
        <f t="shared" ca="1" si="34"/>
        <v>-3.9547127913506124</v>
      </c>
      <c r="BK38" s="274">
        <f t="shared" ca="1" si="35"/>
        <v>0</v>
      </c>
      <c r="BL38" s="274">
        <f t="shared" ca="1" si="36"/>
        <v>0</v>
      </c>
    </row>
    <row r="39" spans="1:65" x14ac:dyDescent="0.25">
      <c r="BE39" s="274">
        <f t="shared" ca="1" si="29"/>
        <v>-0.37071197624393903</v>
      </c>
      <c r="BF39" s="274">
        <f t="shared" ca="1" si="30"/>
        <v>-1.0885402167812641</v>
      </c>
      <c r="BG39" s="274">
        <f t="shared" ca="1" si="31"/>
        <v>2.4</v>
      </c>
      <c r="BH39" s="274">
        <f t="shared" ca="1" si="32"/>
        <v>0</v>
      </c>
      <c r="BI39" s="274">
        <f t="shared" ca="1" si="33"/>
        <v>0.73739445130709669</v>
      </c>
      <c r="BJ39" s="274">
        <f t="shared" ca="1" si="34"/>
        <v>-2.4195662107697675</v>
      </c>
      <c r="BK39" s="274">
        <f t="shared" ca="1" si="35"/>
        <v>0</v>
      </c>
      <c r="BL39" s="274">
        <f t="shared" ca="1" si="36"/>
        <v>0</v>
      </c>
    </row>
    <row r="40" spans="1:65" x14ac:dyDescent="0.25">
      <c r="BE40" s="274">
        <f t="shared" ca="1" si="29"/>
        <v>-0.32372856861532284</v>
      </c>
      <c r="BF40" s="274">
        <f t="shared" ca="1" si="30"/>
        <v>-0.69795293998240249</v>
      </c>
      <c r="BG40" s="274">
        <f t="shared" ca="1" si="31"/>
        <v>1.7</v>
      </c>
      <c r="BH40" s="274">
        <f t="shared" ca="1" si="32"/>
        <v>0</v>
      </c>
      <c r="BI40" s="274">
        <f t="shared" ca="1" si="33"/>
        <v>0.14180655887732385</v>
      </c>
      <c r="BJ40" s="274">
        <f t="shared" ca="1" si="34"/>
        <v>0.72225626189401027</v>
      </c>
      <c r="BK40" s="274">
        <f t="shared" ca="1" si="35"/>
        <v>-2.1898384494042551</v>
      </c>
      <c r="BL40" s="274">
        <f t="shared" ca="1" si="36"/>
        <v>0</v>
      </c>
    </row>
    <row r="41" spans="1:65" x14ac:dyDescent="0.25">
      <c r="BD41" t="s">
        <v>195</v>
      </c>
      <c r="BE41" s="275">
        <f ca="1">Y14-BE14</f>
        <v>-0.26876545274337005</v>
      </c>
      <c r="BF41" s="275">
        <f t="shared" ca="1" si="30"/>
        <v>-0.68849392047558222</v>
      </c>
      <c r="BG41" s="275">
        <f t="shared" ca="1" si="31"/>
        <v>5.7</v>
      </c>
      <c r="BH41" s="275">
        <f t="shared" ca="1" si="32"/>
        <v>0</v>
      </c>
      <c r="BI41" s="275">
        <f t="shared" ca="1" si="33"/>
        <v>-0.50150228610333336</v>
      </c>
      <c r="BJ41" s="275">
        <f t="shared" ca="1" si="34"/>
        <v>0</v>
      </c>
      <c r="BK41" s="275">
        <f t="shared" ca="1" si="35"/>
        <v>-4.7787692461644511</v>
      </c>
      <c r="BL41" s="275">
        <f t="shared" ca="1" si="36"/>
        <v>0</v>
      </c>
    </row>
    <row r="42" spans="1:65" x14ac:dyDescent="0.25">
      <c r="BE42" s="275">
        <f t="shared" ref="BE42:BE45" ca="1" si="37">Y15-BE15</f>
        <v>-0.2265341682506552</v>
      </c>
      <c r="BF42" s="275">
        <f t="shared" ref="BF42:BF45" ca="1" si="38">Z15-BF15</f>
        <v>-0.67903490096876151</v>
      </c>
      <c r="BG42" s="275">
        <f t="shared" ref="BG42:BG45" ca="1" si="39">AA15-BG15</f>
        <v>5.0999999999999996</v>
      </c>
      <c r="BH42" s="275">
        <f t="shared" ref="BH42:BH45" ca="1" si="40">AB15-BH15</f>
        <v>0</v>
      </c>
      <c r="BI42" s="275">
        <f t="shared" ref="BI42:BI45" ca="1" si="41">AC15-BI15</f>
        <v>-1.0248552768227768</v>
      </c>
      <c r="BJ42" s="275">
        <f t="shared" ref="BJ42:BJ45" ca="1" si="42">AD15-BJ15</f>
        <v>0</v>
      </c>
      <c r="BK42" s="275">
        <f t="shared" ref="BK42:BK45" ca="1" si="43">AE15-BK15</f>
        <v>-3.6226439904591174</v>
      </c>
      <c r="BL42" s="275">
        <f t="shared" ref="BL42:BL45" ca="1" si="44">AF15-BL15</f>
        <v>0</v>
      </c>
    </row>
    <row r="43" spans="1:65" x14ac:dyDescent="0.25">
      <c r="BE43" s="275">
        <f t="shared" ca="1" si="37"/>
        <v>-0.19079338629914844</v>
      </c>
      <c r="BF43" s="275">
        <f t="shared" ca="1" si="38"/>
        <v>-0.66957588146194347</v>
      </c>
      <c r="BG43" s="275">
        <f t="shared" ca="1" si="39"/>
        <v>0</v>
      </c>
      <c r="BH43" s="275">
        <f t="shared" ca="1" si="40"/>
        <v>0</v>
      </c>
      <c r="BI43" s="275">
        <f t="shared" ca="1" si="41"/>
        <v>-1.5803883652191573</v>
      </c>
      <c r="BJ43" s="275">
        <f t="shared" ca="1" si="42"/>
        <v>0</v>
      </c>
      <c r="BK43" s="275">
        <f t="shared" ca="1" si="43"/>
        <v>2.0591708603819461</v>
      </c>
      <c r="BL43" s="275">
        <f t="shared" ca="1" si="44"/>
        <v>0</v>
      </c>
    </row>
    <row r="44" spans="1:65" x14ac:dyDescent="0.25">
      <c r="BE44" s="275">
        <f t="shared" ca="1" si="37"/>
        <v>-0.16274261888612784</v>
      </c>
      <c r="BF44" s="275">
        <f t="shared" ca="1" si="38"/>
        <v>-0.66011686195512098</v>
      </c>
      <c r="BG44" s="275">
        <f t="shared" ca="1" si="39"/>
        <v>0</v>
      </c>
      <c r="BH44" s="275">
        <f t="shared" ca="1" si="40"/>
        <v>0</v>
      </c>
      <c r="BI44" s="275">
        <f t="shared" ca="1" si="41"/>
        <v>-2.1445789281617031</v>
      </c>
      <c r="BJ44" s="275">
        <f t="shared" ca="1" si="42"/>
        <v>0</v>
      </c>
      <c r="BK44" s="275">
        <f t="shared" ca="1" si="43"/>
        <v>2.6419531712306963</v>
      </c>
      <c r="BL44" s="275">
        <f t="shared" ca="1" si="44"/>
        <v>0</v>
      </c>
    </row>
    <row r="45" spans="1:65" x14ac:dyDescent="0.25">
      <c r="BE45" s="275">
        <f t="shared" ca="1" si="37"/>
        <v>-0.14039735622426974</v>
      </c>
      <c r="BF45" s="275">
        <f t="shared" ca="1" si="38"/>
        <v>-0.65065784244830249</v>
      </c>
      <c r="BG45" s="275">
        <f t="shared" ca="1" si="39"/>
        <v>0</v>
      </c>
      <c r="BH45" s="275">
        <f t="shared" ca="1" si="40"/>
        <v>0</v>
      </c>
      <c r="BI45" s="275">
        <f t="shared" ca="1" si="41"/>
        <v>-3.2371844465346769</v>
      </c>
      <c r="BJ45" s="275">
        <f t="shared" ca="1" si="42"/>
        <v>0</v>
      </c>
      <c r="BK45" s="275">
        <f t="shared" ca="1" si="43"/>
        <v>3.7474449327587096</v>
      </c>
      <c r="BL45" s="275">
        <f t="shared" ca="1" si="44"/>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04A12-4589-4A86-BBA2-7453B54308C7}">
  <sheetPr codeName="Sheet5">
    <tabColor rgb="FFFFC000"/>
  </sheetPr>
  <dimension ref="A1:EM237"/>
  <sheetViews>
    <sheetView zoomScaleNormal="100" zoomScaleSheetLayoutView="80" workbookViewId="0">
      <pane xSplit="2" ySplit="4" topLeftCell="C8" activePane="bottomRight" state="frozen"/>
      <selection pane="topRight" activeCell="B1" sqref="B1"/>
      <selection pane="bottomLeft" activeCell="A5" sqref="A5"/>
      <selection pane="bottomRight" activeCell="E10" sqref="E10"/>
    </sheetView>
  </sheetViews>
  <sheetFormatPr defaultRowHeight="15" x14ac:dyDescent="0.25"/>
  <cols>
    <col min="3" max="3" width="9.140625" style="187"/>
    <col min="14" max="14" width="9.140625" style="187"/>
    <col min="20" max="20" width="10.42578125" bestFit="1" customWidth="1"/>
    <col min="40" max="40" width="18.28515625" customWidth="1"/>
    <col min="71" max="71" width="15" customWidth="1"/>
    <col min="73" max="73" width="10.85546875" customWidth="1"/>
    <col min="74" max="78" width="8.85546875" bestFit="1" customWidth="1"/>
    <col min="79" max="79" width="13.85546875" customWidth="1"/>
    <col min="80" max="80" width="8.85546875" bestFit="1" customWidth="1"/>
    <col min="81" max="81" width="12.42578125" customWidth="1"/>
    <col min="82" max="82" width="10.85546875" customWidth="1"/>
    <col min="83" max="100" width="8.85546875" bestFit="1" customWidth="1"/>
    <col min="101" max="101" width="7.42578125" customWidth="1"/>
    <col min="102" max="102" width="8.85546875" bestFit="1" customWidth="1"/>
    <col min="103" max="103" width="25.140625" bestFit="1" customWidth="1"/>
    <col min="104" max="105" width="8.85546875" bestFit="1" customWidth="1"/>
    <col min="106" max="107" width="6.85546875" customWidth="1"/>
    <col min="108" max="108" width="7.42578125" customWidth="1"/>
    <col min="109" max="119" width="8.85546875" bestFit="1" customWidth="1"/>
    <col min="120" max="120" width="9.42578125" bestFit="1" customWidth="1"/>
    <col min="124" max="126" width="8.85546875" bestFit="1" customWidth="1"/>
    <col min="127" max="128" width="12.42578125" bestFit="1" customWidth="1"/>
    <col min="129" max="129" width="18.5703125" bestFit="1" customWidth="1"/>
    <col min="130" max="131" width="8.85546875" bestFit="1" customWidth="1"/>
    <col min="133" max="133" width="8.85546875" bestFit="1" customWidth="1"/>
    <col min="135" max="135" width="12.42578125" bestFit="1" customWidth="1"/>
  </cols>
  <sheetData>
    <row r="1" spans="1:128" x14ac:dyDescent="0.25">
      <c r="B1" t="s">
        <v>197</v>
      </c>
      <c r="C1" s="187">
        <v>0</v>
      </c>
      <c r="D1">
        <v>1</v>
      </c>
      <c r="E1">
        <f>D1+1</f>
        <v>2</v>
      </c>
      <c r="F1">
        <f>E1+1</f>
        <v>3</v>
      </c>
      <c r="G1">
        <f>F1+1</f>
        <v>4</v>
      </c>
      <c r="H1">
        <f>G1+1</f>
        <v>5</v>
      </c>
      <c r="I1">
        <f>H1+1</f>
        <v>6</v>
      </c>
      <c r="J1">
        <f t="shared" ref="J1:AX1" si="0">I1+1</f>
        <v>7</v>
      </c>
      <c r="K1">
        <f t="shared" si="0"/>
        <v>8</v>
      </c>
      <c r="L1">
        <f t="shared" si="0"/>
        <v>9</v>
      </c>
      <c r="M1">
        <f t="shared" si="0"/>
        <v>10</v>
      </c>
      <c r="N1" s="187">
        <f t="shared" si="0"/>
        <v>11</v>
      </c>
      <c r="O1">
        <f t="shared" si="0"/>
        <v>12</v>
      </c>
      <c r="P1">
        <f t="shared" si="0"/>
        <v>13</v>
      </c>
      <c r="Q1">
        <f t="shared" si="0"/>
        <v>14</v>
      </c>
      <c r="R1">
        <f t="shared" si="0"/>
        <v>15</v>
      </c>
      <c r="S1">
        <f t="shared" si="0"/>
        <v>16</v>
      </c>
      <c r="T1">
        <f t="shared" si="0"/>
        <v>17</v>
      </c>
      <c r="U1">
        <f t="shared" si="0"/>
        <v>18</v>
      </c>
      <c r="V1">
        <f t="shared" si="0"/>
        <v>19</v>
      </c>
      <c r="W1">
        <f t="shared" si="0"/>
        <v>20</v>
      </c>
      <c r="X1">
        <f t="shared" si="0"/>
        <v>21</v>
      </c>
      <c r="Y1">
        <f t="shared" si="0"/>
        <v>22</v>
      </c>
      <c r="Z1">
        <f t="shared" si="0"/>
        <v>23</v>
      </c>
      <c r="AA1">
        <f t="shared" si="0"/>
        <v>24</v>
      </c>
      <c r="AB1">
        <f t="shared" si="0"/>
        <v>25</v>
      </c>
      <c r="AC1">
        <f t="shared" si="0"/>
        <v>26</v>
      </c>
      <c r="AD1">
        <f t="shared" si="0"/>
        <v>27</v>
      </c>
      <c r="AE1">
        <f t="shared" si="0"/>
        <v>28</v>
      </c>
      <c r="AF1">
        <f t="shared" si="0"/>
        <v>29</v>
      </c>
      <c r="AG1">
        <f t="shared" si="0"/>
        <v>30</v>
      </c>
      <c r="AH1">
        <f t="shared" si="0"/>
        <v>31</v>
      </c>
      <c r="AI1">
        <f t="shared" si="0"/>
        <v>32</v>
      </c>
      <c r="AJ1">
        <f t="shared" si="0"/>
        <v>33</v>
      </c>
      <c r="AK1">
        <f t="shared" si="0"/>
        <v>34</v>
      </c>
      <c r="AL1">
        <f t="shared" si="0"/>
        <v>35</v>
      </c>
      <c r="AM1">
        <f t="shared" si="0"/>
        <v>36</v>
      </c>
      <c r="AN1">
        <f t="shared" si="0"/>
        <v>37</v>
      </c>
      <c r="AO1">
        <f t="shared" si="0"/>
        <v>38</v>
      </c>
      <c r="AP1">
        <f t="shared" si="0"/>
        <v>39</v>
      </c>
      <c r="AQ1">
        <f t="shared" si="0"/>
        <v>40</v>
      </c>
      <c r="AR1">
        <f t="shared" si="0"/>
        <v>41</v>
      </c>
      <c r="AS1">
        <f t="shared" si="0"/>
        <v>42</v>
      </c>
      <c r="AT1">
        <f t="shared" si="0"/>
        <v>43</v>
      </c>
      <c r="AU1">
        <f t="shared" si="0"/>
        <v>44</v>
      </c>
      <c r="AV1">
        <f t="shared" si="0"/>
        <v>45</v>
      </c>
      <c r="AW1">
        <f t="shared" si="0"/>
        <v>46</v>
      </c>
      <c r="AX1">
        <f t="shared" si="0"/>
        <v>47</v>
      </c>
      <c r="AY1">
        <f t="shared" ref="AY1" si="1">AX1+1</f>
        <v>48</v>
      </c>
      <c r="AZ1">
        <f t="shared" ref="AZ1" si="2">AY1+1</f>
        <v>49</v>
      </c>
      <c r="BA1">
        <f t="shared" ref="BA1" si="3">AZ1+1</f>
        <v>50</v>
      </c>
      <c r="BB1">
        <v>0</v>
      </c>
      <c r="BC1">
        <f t="shared" ref="BC1:BL2" si="4">D1</f>
        <v>1</v>
      </c>
      <c r="BD1">
        <f t="shared" si="4"/>
        <v>2</v>
      </c>
      <c r="BE1">
        <f t="shared" si="4"/>
        <v>3</v>
      </c>
      <c r="BF1">
        <f t="shared" si="4"/>
        <v>4</v>
      </c>
      <c r="BG1">
        <f t="shared" si="4"/>
        <v>5</v>
      </c>
      <c r="BH1">
        <f t="shared" si="4"/>
        <v>6</v>
      </c>
      <c r="BI1">
        <f t="shared" si="4"/>
        <v>7</v>
      </c>
      <c r="BJ1">
        <f t="shared" si="4"/>
        <v>8</v>
      </c>
      <c r="BK1">
        <f t="shared" si="4"/>
        <v>9</v>
      </c>
      <c r="BL1">
        <f t="shared" si="4"/>
        <v>10</v>
      </c>
      <c r="BM1">
        <f t="shared" ref="BM1:BV2" si="5">N1</f>
        <v>11</v>
      </c>
      <c r="BN1">
        <f t="shared" si="5"/>
        <v>12</v>
      </c>
      <c r="BO1">
        <f t="shared" si="5"/>
        <v>13</v>
      </c>
      <c r="BP1">
        <f t="shared" si="5"/>
        <v>14</v>
      </c>
      <c r="BQ1">
        <f t="shared" si="5"/>
        <v>15</v>
      </c>
      <c r="BR1">
        <f t="shared" si="5"/>
        <v>16</v>
      </c>
      <c r="BS1">
        <f t="shared" si="5"/>
        <v>17</v>
      </c>
      <c r="BT1">
        <f t="shared" si="5"/>
        <v>18</v>
      </c>
      <c r="BU1">
        <f t="shared" si="5"/>
        <v>19</v>
      </c>
      <c r="BV1">
        <f t="shared" si="5"/>
        <v>20</v>
      </c>
      <c r="BW1">
        <f t="shared" ref="BW1:CF2" si="6">X1</f>
        <v>21</v>
      </c>
      <c r="BX1">
        <f t="shared" si="6"/>
        <v>22</v>
      </c>
      <c r="BY1">
        <f t="shared" si="6"/>
        <v>23</v>
      </c>
      <c r="BZ1">
        <f t="shared" si="6"/>
        <v>24</v>
      </c>
      <c r="CA1">
        <f t="shared" si="6"/>
        <v>25</v>
      </c>
      <c r="CB1">
        <f t="shared" si="6"/>
        <v>26</v>
      </c>
      <c r="CC1">
        <f t="shared" si="6"/>
        <v>27</v>
      </c>
      <c r="CD1">
        <f t="shared" si="6"/>
        <v>28</v>
      </c>
      <c r="CE1">
        <f t="shared" si="6"/>
        <v>29</v>
      </c>
      <c r="CF1">
        <f t="shared" si="6"/>
        <v>30</v>
      </c>
      <c r="CG1">
        <f t="shared" ref="CG1:CP2" si="7">AH1</f>
        <v>31</v>
      </c>
      <c r="CH1">
        <f t="shared" si="7"/>
        <v>32</v>
      </c>
      <c r="CI1">
        <f t="shared" si="7"/>
        <v>33</v>
      </c>
      <c r="CJ1">
        <f t="shared" si="7"/>
        <v>34</v>
      </c>
      <c r="CK1">
        <f t="shared" si="7"/>
        <v>35</v>
      </c>
      <c r="CL1">
        <f t="shared" si="7"/>
        <v>36</v>
      </c>
      <c r="CM1">
        <f t="shared" si="7"/>
        <v>37</v>
      </c>
      <c r="CN1">
        <f t="shared" si="7"/>
        <v>38</v>
      </c>
      <c r="CO1">
        <f t="shared" si="7"/>
        <v>39</v>
      </c>
      <c r="CP1">
        <f t="shared" si="7"/>
        <v>40</v>
      </c>
      <c r="CQ1">
        <f t="shared" ref="CQ1:CW2" si="8">AR1</f>
        <v>41</v>
      </c>
      <c r="CR1">
        <f t="shared" si="8"/>
        <v>42</v>
      </c>
      <c r="CS1">
        <f t="shared" si="8"/>
        <v>43</v>
      </c>
      <c r="CT1">
        <f t="shared" si="8"/>
        <v>44</v>
      </c>
      <c r="CU1">
        <f t="shared" si="8"/>
        <v>45</v>
      </c>
      <c r="CV1">
        <f t="shared" si="8"/>
        <v>46</v>
      </c>
      <c r="CW1">
        <f t="shared" si="8"/>
        <v>47</v>
      </c>
      <c r="DO1" t="s">
        <v>138</v>
      </c>
      <c r="DP1" t="s">
        <v>198</v>
      </c>
    </row>
    <row r="2" spans="1:128" ht="73.5" customHeight="1" x14ac:dyDescent="0.25">
      <c r="B2" t="s">
        <v>197</v>
      </c>
      <c r="C2" s="187" t="s">
        <v>130</v>
      </c>
      <c r="D2" t="s">
        <v>199</v>
      </c>
      <c r="E2" t="s">
        <v>200</v>
      </c>
      <c r="F2" t="s">
        <v>201</v>
      </c>
      <c r="G2" t="s">
        <v>202</v>
      </c>
      <c r="H2" s="105" t="s">
        <v>203</v>
      </c>
      <c r="I2" s="105" t="s">
        <v>204</v>
      </c>
      <c r="J2" s="105" t="s">
        <v>205</v>
      </c>
      <c r="K2" s="105" t="s">
        <v>206</v>
      </c>
      <c r="L2" s="105" t="s">
        <v>207</v>
      </c>
      <c r="M2" s="105" t="s">
        <v>208</v>
      </c>
      <c r="N2" s="188" t="s">
        <v>209</v>
      </c>
      <c r="O2" s="105" t="s">
        <v>210</v>
      </c>
      <c r="P2" s="105" t="s">
        <v>211</v>
      </c>
      <c r="Q2" s="105" t="s">
        <v>212</v>
      </c>
      <c r="R2" s="105" t="s">
        <v>213</v>
      </c>
      <c r="S2" s="105" t="s">
        <v>214</v>
      </c>
      <c r="T2" s="105" t="s">
        <v>215</v>
      </c>
      <c r="U2" s="105" t="s">
        <v>216</v>
      </c>
      <c r="V2" s="105" t="s">
        <v>217</v>
      </c>
      <c r="W2" s="105" t="s">
        <v>218</v>
      </c>
      <c r="X2" s="105" t="s">
        <v>219</v>
      </c>
      <c r="Y2" s="105" t="s">
        <v>220</v>
      </c>
      <c r="Z2" s="105" t="s">
        <v>221</v>
      </c>
      <c r="AA2" s="105" t="s">
        <v>222</v>
      </c>
      <c r="AB2" s="105" t="s">
        <v>223</v>
      </c>
      <c r="AC2" s="105" t="s">
        <v>224</v>
      </c>
      <c r="AD2" s="105" t="s">
        <v>225</v>
      </c>
      <c r="AE2" s="105" t="s">
        <v>226</v>
      </c>
      <c r="AF2" s="105" t="s">
        <v>227</v>
      </c>
      <c r="AG2" s="105" t="s">
        <v>228</v>
      </c>
      <c r="AH2" s="105" t="s">
        <v>229</v>
      </c>
      <c r="AI2" s="105" t="s">
        <v>230</v>
      </c>
      <c r="AJ2" s="105" t="s">
        <v>231</v>
      </c>
      <c r="AK2" s="105" t="s">
        <v>232</v>
      </c>
      <c r="AL2" s="105" t="s">
        <v>233</v>
      </c>
      <c r="AM2" s="105" t="s">
        <v>234</v>
      </c>
      <c r="AN2" s="105" t="s">
        <v>235</v>
      </c>
      <c r="AO2" s="105" t="s">
        <v>236</v>
      </c>
      <c r="AP2" s="105" t="s">
        <v>237</v>
      </c>
      <c r="AQ2" s="105" t="s">
        <v>238</v>
      </c>
      <c r="AR2" s="105" t="s">
        <v>239</v>
      </c>
      <c r="AS2" s="105" t="s">
        <v>240</v>
      </c>
      <c r="AT2" s="105" t="s">
        <v>241</v>
      </c>
      <c r="AU2" s="105" t="s">
        <v>242</v>
      </c>
      <c r="AV2" s="105" t="s">
        <v>243</v>
      </c>
      <c r="AW2" s="105" t="s">
        <v>244</v>
      </c>
      <c r="AX2" s="105" t="s">
        <v>245</v>
      </c>
      <c r="AY2" s="105" t="s">
        <v>133</v>
      </c>
      <c r="AZ2" s="105" t="s">
        <v>136</v>
      </c>
      <c r="BA2" s="105" t="s">
        <v>138</v>
      </c>
      <c r="BB2" s="105" t="str">
        <f>C2</f>
        <v>Discovered</v>
      </c>
      <c r="BC2" s="105" t="str">
        <f t="shared" si="4"/>
        <v>CPR</v>
      </c>
      <c r="BD2" s="105" t="str">
        <f t="shared" si="4"/>
        <v>CPR - no C price</v>
      </c>
      <c r="BE2" s="105" t="str">
        <f t="shared" si="4"/>
        <v>C-Plan TP1</v>
      </c>
      <c r="BF2" s="105" t="str">
        <f t="shared" si="4"/>
        <v>C-Plan TP2</v>
      </c>
      <c r="BG2" s="105" t="str">
        <f t="shared" si="4"/>
        <v>Demo path - C price $100 3%</v>
      </c>
      <c r="BH2" s="105" t="str">
        <f t="shared" si="4"/>
        <v>Demo path - C price $150 3%</v>
      </c>
      <c r="BI2" s="105" t="str">
        <f t="shared" si="4"/>
        <v>Demo path - C price $200 3%</v>
      </c>
      <c r="BJ2" s="105" t="str">
        <f t="shared" si="4"/>
        <v>Demo path - C price $250 3%</v>
      </c>
      <c r="BK2" s="105" t="str">
        <f t="shared" si="4"/>
        <v>Demo path - C price $300 3%</v>
      </c>
      <c r="BL2" s="105" t="str">
        <f t="shared" si="4"/>
        <v>Demo path - C price $50 3%</v>
      </c>
      <c r="BM2" s="105" t="str">
        <f t="shared" si="5"/>
        <v>2022 Demo path</v>
      </c>
      <c r="BN2" s="105" t="str">
        <f t="shared" si="5"/>
        <v>Demo path - no C price</v>
      </c>
      <c r="BO2" s="105" t="str">
        <f t="shared" si="5"/>
        <v>Demo path - High sens - C price $100 3%</v>
      </c>
      <c r="BP2" s="105" t="str">
        <f t="shared" si="5"/>
        <v>Demo path - High sens - C price $150 3%</v>
      </c>
      <c r="BQ2" s="105" t="str">
        <f t="shared" si="5"/>
        <v>Demo path - High sens - C price $200 3%</v>
      </c>
      <c r="BR2" s="105" t="str">
        <f t="shared" si="5"/>
        <v>Demo path - High sens - C price $250 3%</v>
      </c>
      <c r="BS2" s="105" t="str">
        <f t="shared" si="5"/>
        <v>Demo path - high baseline &amp; mitigation costs - C price $300 3%</v>
      </c>
      <c r="BT2" s="105" t="str">
        <f t="shared" si="5"/>
        <v>Demo path - High sens - C price $50 3%</v>
      </c>
      <c r="BU2" s="105" t="str">
        <f t="shared" si="5"/>
        <v>Demo path - high baseline &amp; mitigation costs</v>
      </c>
      <c r="BV2" s="105" t="str">
        <f t="shared" si="5"/>
        <v>Demo path - High sens - no C price</v>
      </c>
      <c r="BW2" s="105" t="str">
        <f t="shared" si="6"/>
        <v>Demo path - Low sens - C price $100 3%</v>
      </c>
      <c r="BX2" s="105" t="str">
        <f t="shared" si="6"/>
        <v>Demo path - Low sens - C price $150 3%</v>
      </c>
      <c r="BY2" s="105" t="str">
        <f t="shared" si="6"/>
        <v>Demo path - Low sens - C price $200 3%</v>
      </c>
      <c r="BZ2" s="105" t="str">
        <f t="shared" si="6"/>
        <v>Demo path - Low sens - C price $250 3%</v>
      </c>
      <c r="CA2" s="105" t="str">
        <f t="shared" si="6"/>
        <v>Demo path - low baseline &amp; mitigation costs - C price $300 3%</v>
      </c>
      <c r="CB2" s="105" t="str">
        <f t="shared" si="6"/>
        <v>Demo path - Low sens - C price $50 3%</v>
      </c>
      <c r="CC2" s="105" t="str">
        <f t="shared" si="6"/>
        <v>Demo path - low baseline &amp; mitigation costs - C price $55 3%</v>
      </c>
      <c r="CD2" s="105" t="str">
        <f t="shared" si="6"/>
        <v>Demo path - low baseline &amp; mitigation costs</v>
      </c>
      <c r="CE2" s="105" t="str">
        <f t="shared" si="6"/>
        <v>Demo path - Low sens - no C price</v>
      </c>
      <c r="CF2" s="105" t="str">
        <f t="shared" si="6"/>
        <v>Headwinds - C price $100 3%</v>
      </c>
      <c r="CG2" s="105" t="str">
        <f t="shared" si="7"/>
        <v>Headwinds - C price $150 3%</v>
      </c>
      <c r="CH2" s="105" t="str">
        <f t="shared" si="7"/>
        <v>Headwinds - C price $200 3%</v>
      </c>
      <c r="CI2" s="105" t="str">
        <f t="shared" si="7"/>
        <v>Headwinds - C price $250 3%</v>
      </c>
      <c r="CJ2" s="105" t="str">
        <f t="shared" si="7"/>
        <v>Headwinds - C price $270 3%</v>
      </c>
      <c r="CK2" s="105" t="str">
        <f t="shared" si="7"/>
        <v>Headwinds - C price $300 3%</v>
      </c>
      <c r="CL2" s="105" t="str">
        <f t="shared" si="7"/>
        <v>Headwinds - C price $50 3%</v>
      </c>
      <c r="CM2" s="105" t="str">
        <f t="shared" si="7"/>
        <v>2022 Headwinds</v>
      </c>
      <c r="CN2" s="105" t="str">
        <f t="shared" si="7"/>
        <v>Headwinds - no C price</v>
      </c>
      <c r="CO2" s="105" t="str">
        <f t="shared" si="7"/>
        <v>Tailwinds - C price $100 3%</v>
      </c>
      <c r="CP2" s="105" t="str">
        <f t="shared" si="7"/>
        <v>Tailwinds - C price $150 3%</v>
      </c>
      <c r="CQ2" s="105" t="str">
        <f t="shared" si="8"/>
        <v>Tailwinds - C price $200 3%</v>
      </c>
      <c r="CR2" s="105" t="str">
        <f t="shared" si="8"/>
        <v>Tailwinds - C price $250 3%</v>
      </c>
      <c r="CS2" s="105" t="str">
        <f t="shared" si="8"/>
        <v>Tailwinds - C price $300 3%</v>
      </c>
      <c r="CT2" s="105" t="str">
        <f t="shared" si="8"/>
        <v>Tailwinds - C price $50 3%</v>
      </c>
      <c r="CU2" s="105" t="str">
        <f t="shared" si="8"/>
        <v>Tailwinds - C price $55 3%</v>
      </c>
      <c r="CV2" s="105" t="str">
        <f t="shared" si="8"/>
        <v>2022 Tailwinds</v>
      </c>
      <c r="CW2" s="105" t="str">
        <f t="shared" si="8"/>
        <v>Tailwinds - no C price</v>
      </c>
      <c r="DA2" s="97"/>
      <c r="DB2" s="21">
        <v>0.03</v>
      </c>
      <c r="DC2" s="21"/>
      <c r="DD2" s="97"/>
      <c r="DF2" s="97"/>
      <c r="DG2" s="17"/>
      <c r="DI2" s="97"/>
    </row>
    <row r="3" spans="1:128" ht="48.75" x14ac:dyDescent="0.25">
      <c r="B3">
        <f>1-2023/2050</f>
        <v>1.3170731707317085E-2</v>
      </c>
      <c r="C3" s="188" t="str">
        <f>D3</f>
        <v>Emissions values</v>
      </c>
      <c r="D3" s="105" t="str">
        <f>'Old CCC projections data'!D8</f>
        <v>Emissions values</v>
      </c>
      <c r="E3" s="105" t="str">
        <f>D3</f>
        <v>Emissions values</v>
      </c>
      <c r="F3" s="105"/>
      <c r="G3" s="105"/>
      <c r="H3" s="105" t="str">
        <f>E3</f>
        <v>Emissions values</v>
      </c>
      <c r="I3" s="105" t="str">
        <f>H3</f>
        <v>Emissions values</v>
      </c>
      <c r="J3" s="105" t="str">
        <f t="shared" ref="J3:AX3" si="9">I3</f>
        <v>Emissions values</v>
      </c>
      <c r="K3" s="105" t="str">
        <f t="shared" si="9"/>
        <v>Emissions values</v>
      </c>
      <c r="L3" s="105" t="str">
        <f t="shared" si="9"/>
        <v>Emissions values</v>
      </c>
      <c r="M3" s="105" t="str">
        <f t="shared" si="9"/>
        <v>Emissions values</v>
      </c>
      <c r="N3" s="188" t="str">
        <f t="shared" si="9"/>
        <v>Emissions values</v>
      </c>
      <c r="O3" s="105" t="str">
        <f t="shared" si="9"/>
        <v>Emissions values</v>
      </c>
      <c r="P3" s="105" t="str">
        <f t="shared" si="9"/>
        <v>Emissions values</v>
      </c>
      <c r="Q3" s="105" t="str">
        <f t="shared" si="9"/>
        <v>Emissions values</v>
      </c>
      <c r="R3" s="105" t="str">
        <f t="shared" si="9"/>
        <v>Emissions values</v>
      </c>
      <c r="S3" s="105" t="str">
        <f t="shared" si="9"/>
        <v>Emissions values</v>
      </c>
      <c r="T3" s="105" t="str">
        <f t="shared" si="9"/>
        <v>Emissions values</v>
      </c>
      <c r="U3" s="105" t="str">
        <f t="shared" si="9"/>
        <v>Emissions values</v>
      </c>
      <c r="V3" s="105" t="str">
        <f t="shared" si="9"/>
        <v>Emissions values</v>
      </c>
      <c r="W3" s="105" t="str">
        <f t="shared" si="9"/>
        <v>Emissions values</v>
      </c>
      <c r="X3" s="105" t="str">
        <f t="shared" si="9"/>
        <v>Emissions values</v>
      </c>
      <c r="Y3" s="105" t="str">
        <f t="shared" si="9"/>
        <v>Emissions values</v>
      </c>
      <c r="Z3" s="105" t="str">
        <f t="shared" si="9"/>
        <v>Emissions values</v>
      </c>
      <c r="AA3" s="105" t="str">
        <f t="shared" si="9"/>
        <v>Emissions values</v>
      </c>
      <c r="AB3" s="105" t="str">
        <f t="shared" si="9"/>
        <v>Emissions values</v>
      </c>
      <c r="AC3" s="105" t="str">
        <f t="shared" si="9"/>
        <v>Emissions values</v>
      </c>
      <c r="AD3" s="105" t="str">
        <f t="shared" si="9"/>
        <v>Emissions values</v>
      </c>
      <c r="AE3" s="105" t="str">
        <f t="shared" si="9"/>
        <v>Emissions values</v>
      </c>
      <c r="AF3" s="105" t="str">
        <f t="shared" si="9"/>
        <v>Emissions values</v>
      </c>
      <c r="AG3" s="105" t="str">
        <f t="shared" si="9"/>
        <v>Emissions values</v>
      </c>
      <c r="AH3" s="105" t="str">
        <f t="shared" si="9"/>
        <v>Emissions values</v>
      </c>
      <c r="AI3" s="105" t="str">
        <f t="shared" si="9"/>
        <v>Emissions values</v>
      </c>
      <c r="AJ3" s="105" t="str">
        <f t="shared" si="9"/>
        <v>Emissions values</v>
      </c>
      <c r="AK3" s="105" t="str">
        <f t="shared" si="9"/>
        <v>Emissions values</v>
      </c>
      <c r="AL3" s="105" t="str">
        <f t="shared" si="9"/>
        <v>Emissions values</v>
      </c>
      <c r="AM3" s="105" t="str">
        <f t="shared" si="9"/>
        <v>Emissions values</v>
      </c>
      <c r="AN3" s="105" t="str">
        <f t="shared" si="9"/>
        <v>Emissions values</v>
      </c>
      <c r="AO3" s="105" t="str">
        <f t="shared" si="9"/>
        <v>Emissions values</v>
      </c>
      <c r="AP3" s="105" t="str">
        <f t="shared" si="9"/>
        <v>Emissions values</v>
      </c>
      <c r="AQ3" s="105" t="str">
        <f t="shared" si="9"/>
        <v>Emissions values</v>
      </c>
      <c r="AR3" s="105" t="str">
        <f t="shared" si="9"/>
        <v>Emissions values</v>
      </c>
      <c r="AS3" s="105" t="str">
        <f t="shared" si="9"/>
        <v>Emissions values</v>
      </c>
      <c r="AT3" s="105" t="str">
        <f t="shared" si="9"/>
        <v>Emissions values</v>
      </c>
      <c r="AU3" s="105" t="str">
        <f t="shared" si="9"/>
        <v>Emissions values</v>
      </c>
      <c r="AV3" s="105" t="str">
        <f t="shared" si="9"/>
        <v>Emissions values</v>
      </c>
      <c r="AW3" s="105" t="str">
        <f t="shared" si="9"/>
        <v>Emissions values</v>
      </c>
      <c r="AX3" s="105" t="str">
        <f t="shared" si="9"/>
        <v>Emissions values</v>
      </c>
      <c r="AY3" s="105" t="str">
        <f t="shared" ref="AY3" si="10">AX3</f>
        <v>Emissions values</v>
      </c>
      <c r="AZ3" s="105" t="str">
        <f t="shared" ref="AZ3:AZ4" si="11">AY3</f>
        <v>Emissions values</v>
      </c>
      <c r="BA3" s="105" t="str">
        <f t="shared" ref="BA3:BA4" si="12">AZ3</f>
        <v>Emissions values</v>
      </c>
      <c r="BB3" s="105" t="str">
        <f>BC3</f>
        <v>NZ ETS emissions: Total (gross)</v>
      </c>
      <c r="BC3" s="105" t="str">
        <f>'Old CCC projections data'!D7</f>
        <v>NZ ETS emissions: Total (gross)</v>
      </c>
      <c r="BD3" s="105" t="str">
        <f>BC3</f>
        <v>NZ ETS emissions: Total (gross)</v>
      </c>
      <c r="BE3" s="105"/>
      <c r="BF3" s="105"/>
      <c r="BG3" s="105" t="str">
        <f>BD3</f>
        <v>NZ ETS emissions: Total (gross)</v>
      </c>
      <c r="BH3" s="105" t="str">
        <f>BG3</f>
        <v>NZ ETS emissions: Total (gross)</v>
      </c>
      <c r="BI3" s="105" t="str">
        <f t="shared" ref="BI3:CW3" si="13">BH3</f>
        <v>NZ ETS emissions: Total (gross)</v>
      </c>
      <c r="BJ3" s="105" t="str">
        <f t="shared" si="13"/>
        <v>NZ ETS emissions: Total (gross)</v>
      </c>
      <c r="BK3" s="105" t="str">
        <f t="shared" si="13"/>
        <v>NZ ETS emissions: Total (gross)</v>
      </c>
      <c r="BL3" s="105" t="str">
        <f t="shared" si="13"/>
        <v>NZ ETS emissions: Total (gross)</v>
      </c>
      <c r="BM3" s="105" t="str">
        <f t="shared" si="13"/>
        <v>NZ ETS emissions: Total (gross)</v>
      </c>
      <c r="BN3" s="105" t="str">
        <f t="shared" si="13"/>
        <v>NZ ETS emissions: Total (gross)</v>
      </c>
      <c r="BO3" s="105" t="str">
        <f t="shared" si="13"/>
        <v>NZ ETS emissions: Total (gross)</v>
      </c>
      <c r="BP3" s="105" t="str">
        <f t="shared" si="13"/>
        <v>NZ ETS emissions: Total (gross)</v>
      </c>
      <c r="BQ3" s="105" t="str">
        <f t="shared" si="13"/>
        <v>NZ ETS emissions: Total (gross)</v>
      </c>
      <c r="BR3" s="105" t="str">
        <f t="shared" si="13"/>
        <v>NZ ETS emissions: Total (gross)</v>
      </c>
      <c r="BS3" s="105" t="str">
        <f t="shared" si="13"/>
        <v>NZ ETS emissions: Total (gross)</v>
      </c>
      <c r="BT3" s="105" t="str">
        <f t="shared" si="13"/>
        <v>NZ ETS emissions: Total (gross)</v>
      </c>
      <c r="BU3" s="105" t="str">
        <f t="shared" si="13"/>
        <v>NZ ETS emissions: Total (gross)</v>
      </c>
      <c r="BV3" s="105" t="str">
        <f t="shared" si="13"/>
        <v>NZ ETS emissions: Total (gross)</v>
      </c>
      <c r="BW3" s="105" t="str">
        <f t="shared" si="13"/>
        <v>NZ ETS emissions: Total (gross)</v>
      </c>
      <c r="BX3" s="105" t="str">
        <f t="shared" si="13"/>
        <v>NZ ETS emissions: Total (gross)</v>
      </c>
      <c r="BY3" s="105" t="str">
        <f t="shared" si="13"/>
        <v>NZ ETS emissions: Total (gross)</v>
      </c>
      <c r="BZ3" s="105" t="str">
        <f t="shared" si="13"/>
        <v>NZ ETS emissions: Total (gross)</v>
      </c>
      <c r="CA3" s="105" t="str">
        <f t="shared" si="13"/>
        <v>NZ ETS emissions: Total (gross)</v>
      </c>
      <c r="CB3" s="105" t="str">
        <f t="shared" si="13"/>
        <v>NZ ETS emissions: Total (gross)</v>
      </c>
      <c r="CC3" s="105" t="str">
        <f t="shared" si="13"/>
        <v>NZ ETS emissions: Total (gross)</v>
      </c>
      <c r="CD3" s="105" t="str">
        <f t="shared" si="13"/>
        <v>NZ ETS emissions: Total (gross)</v>
      </c>
      <c r="CE3" s="105" t="str">
        <f t="shared" si="13"/>
        <v>NZ ETS emissions: Total (gross)</v>
      </c>
      <c r="CF3" s="105" t="str">
        <f t="shared" si="13"/>
        <v>NZ ETS emissions: Total (gross)</v>
      </c>
      <c r="CG3" s="105" t="str">
        <f t="shared" si="13"/>
        <v>NZ ETS emissions: Total (gross)</v>
      </c>
      <c r="CH3" s="105" t="str">
        <f t="shared" si="13"/>
        <v>NZ ETS emissions: Total (gross)</v>
      </c>
      <c r="CI3" s="105" t="str">
        <f t="shared" si="13"/>
        <v>NZ ETS emissions: Total (gross)</v>
      </c>
      <c r="CJ3" s="105" t="str">
        <f t="shared" si="13"/>
        <v>NZ ETS emissions: Total (gross)</v>
      </c>
      <c r="CK3" s="105" t="str">
        <f t="shared" si="13"/>
        <v>NZ ETS emissions: Total (gross)</v>
      </c>
      <c r="CL3" s="105" t="str">
        <f t="shared" si="13"/>
        <v>NZ ETS emissions: Total (gross)</v>
      </c>
      <c r="CM3" s="105" t="str">
        <f t="shared" si="13"/>
        <v>NZ ETS emissions: Total (gross)</v>
      </c>
      <c r="CN3" s="105" t="str">
        <f t="shared" si="13"/>
        <v>NZ ETS emissions: Total (gross)</v>
      </c>
      <c r="CO3" s="105" t="str">
        <f t="shared" si="13"/>
        <v>NZ ETS emissions: Total (gross)</v>
      </c>
      <c r="CP3" s="105" t="str">
        <f t="shared" si="13"/>
        <v>NZ ETS emissions: Total (gross)</v>
      </c>
      <c r="CQ3" s="105" t="str">
        <f t="shared" si="13"/>
        <v>NZ ETS emissions: Total (gross)</v>
      </c>
      <c r="CR3" s="105" t="str">
        <f t="shared" si="13"/>
        <v>NZ ETS emissions: Total (gross)</v>
      </c>
      <c r="CS3" s="105" t="str">
        <f t="shared" si="13"/>
        <v>NZ ETS emissions: Total (gross)</v>
      </c>
      <c r="CT3" s="105" t="str">
        <f t="shared" si="13"/>
        <v>NZ ETS emissions: Total (gross)</v>
      </c>
      <c r="CU3" s="105" t="str">
        <f t="shared" si="13"/>
        <v>NZ ETS emissions: Total (gross)</v>
      </c>
      <c r="CV3" s="105" t="str">
        <f t="shared" si="13"/>
        <v>NZ ETS emissions: Total (gross)</v>
      </c>
      <c r="CW3" s="105" t="str">
        <f t="shared" si="13"/>
        <v>NZ ETS emissions: Total (gross)</v>
      </c>
      <c r="DA3" s="97"/>
      <c r="DB3">
        <v>10</v>
      </c>
      <c r="DE3" s="97"/>
      <c r="DF3" s="97"/>
      <c r="DG3" s="17" t="s">
        <v>109</v>
      </c>
      <c r="DH3" s="17" t="s">
        <v>109</v>
      </c>
      <c r="DI3" s="17" t="s">
        <v>109</v>
      </c>
      <c r="DJ3" s="17" t="s">
        <v>110</v>
      </c>
      <c r="DK3" s="17" t="str">
        <f>DJ3</f>
        <v>Model 2</v>
      </c>
      <c r="DL3" s="17" t="str">
        <f>DK3</f>
        <v>Model 2</v>
      </c>
      <c r="DM3" s="20" t="str">
        <f>DG3</f>
        <v>Model 1</v>
      </c>
      <c r="DN3" s="17" t="str">
        <f>DJ3</f>
        <v>Model 2</v>
      </c>
      <c r="DO3" s="17"/>
      <c r="DR3" t="s">
        <v>246</v>
      </c>
      <c r="DS3">
        <v>2030</v>
      </c>
      <c r="DU3">
        <v>2035</v>
      </c>
      <c r="DW3">
        <v>2050</v>
      </c>
    </row>
    <row r="4" spans="1:128" ht="90" x14ac:dyDescent="0.25">
      <c r="A4" t="s">
        <v>247</v>
      </c>
      <c r="B4">
        <f>(2050-2023)/2050</f>
        <v>1.3170731707317073E-2</v>
      </c>
      <c r="C4" s="188" t="str">
        <f>D4</f>
        <v>2023 NZD per t CO2e</v>
      </c>
      <c r="D4" s="105" t="s">
        <v>248</v>
      </c>
      <c r="E4" s="105" t="str">
        <f>D4</f>
        <v>2023 NZD per t CO2e</v>
      </c>
      <c r="F4" s="105"/>
      <c r="G4" s="105"/>
      <c r="H4" s="105" t="str">
        <f>E4</f>
        <v>2023 NZD per t CO2e</v>
      </c>
      <c r="I4" s="105" t="str">
        <f>H4</f>
        <v>2023 NZD per t CO2e</v>
      </c>
      <c r="J4" s="105" t="str">
        <f t="shared" ref="J4:AX4" si="14">I4</f>
        <v>2023 NZD per t CO2e</v>
      </c>
      <c r="K4" s="105" t="str">
        <f t="shared" si="14"/>
        <v>2023 NZD per t CO2e</v>
      </c>
      <c r="L4" s="105" t="str">
        <f t="shared" si="14"/>
        <v>2023 NZD per t CO2e</v>
      </c>
      <c r="M4" s="105" t="str">
        <f t="shared" si="14"/>
        <v>2023 NZD per t CO2e</v>
      </c>
      <c r="N4" s="188" t="str">
        <f t="shared" si="14"/>
        <v>2023 NZD per t CO2e</v>
      </c>
      <c r="O4" s="105" t="str">
        <f t="shared" si="14"/>
        <v>2023 NZD per t CO2e</v>
      </c>
      <c r="P4" s="105" t="str">
        <f t="shared" si="14"/>
        <v>2023 NZD per t CO2e</v>
      </c>
      <c r="Q4" s="105" t="str">
        <f t="shared" si="14"/>
        <v>2023 NZD per t CO2e</v>
      </c>
      <c r="R4" s="105" t="str">
        <f t="shared" si="14"/>
        <v>2023 NZD per t CO2e</v>
      </c>
      <c r="S4" s="105" t="str">
        <f t="shared" si="14"/>
        <v>2023 NZD per t CO2e</v>
      </c>
      <c r="T4" s="105" t="str">
        <f t="shared" si="14"/>
        <v>2023 NZD per t CO2e</v>
      </c>
      <c r="U4" s="105" t="str">
        <f t="shared" si="14"/>
        <v>2023 NZD per t CO2e</v>
      </c>
      <c r="V4" s="105" t="str">
        <f t="shared" si="14"/>
        <v>2023 NZD per t CO2e</v>
      </c>
      <c r="W4" s="105" t="str">
        <f t="shared" si="14"/>
        <v>2023 NZD per t CO2e</v>
      </c>
      <c r="X4" s="105" t="str">
        <f t="shared" si="14"/>
        <v>2023 NZD per t CO2e</v>
      </c>
      <c r="Y4" s="105" t="str">
        <f t="shared" si="14"/>
        <v>2023 NZD per t CO2e</v>
      </c>
      <c r="Z4" s="105" t="str">
        <f t="shared" si="14"/>
        <v>2023 NZD per t CO2e</v>
      </c>
      <c r="AA4" s="105" t="str">
        <f t="shared" si="14"/>
        <v>2023 NZD per t CO2e</v>
      </c>
      <c r="AB4" s="105" t="str">
        <f t="shared" si="14"/>
        <v>2023 NZD per t CO2e</v>
      </c>
      <c r="AC4" s="105" t="str">
        <f t="shared" si="14"/>
        <v>2023 NZD per t CO2e</v>
      </c>
      <c r="AD4" s="105" t="str">
        <f t="shared" si="14"/>
        <v>2023 NZD per t CO2e</v>
      </c>
      <c r="AE4" s="105" t="str">
        <f t="shared" si="14"/>
        <v>2023 NZD per t CO2e</v>
      </c>
      <c r="AF4" s="105" t="str">
        <f t="shared" si="14"/>
        <v>2023 NZD per t CO2e</v>
      </c>
      <c r="AG4" s="105" t="str">
        <f t="shared" si="14"/>
        <v>2023 NZD per t CO2e</v>
      </c>
      <c r="AH4" s="105" t="str">
        <f t="shared" si="14"/>
        <v>2023 NZD per t CO2e</v>
      </c>
      <c r="AI4" s="105" t="str">
        <f t="shared" si="14"/>
        <v>2023 NZD per t CO2e</v>
      </c>
      <c r="AJ4" s="105" t="str">
        <f t="shared" si="14"/>
        <v>2023 NZD per t CO2e</v>
      </c>
      <c r="AK4" s="105" t="str">
        <f t="shared" si="14"/>
        <v>2023 NZD per t CO2e</v>
      </c>
      <c r="AL4" s="105" t="str">
        <f t="shared" si="14"/>
        <v>2023 NZD per t CO2e</v>
      </c>
      <c r="AM4" s="105" t="str">
        <f t="shared" si="14"/>
        <v>2023 NZD per t CO2e</v>
      </c>
      <c r="AN4" s="105" t="str">
        <f t="shared" si="14"/>
        <v>2023 NZD per t CO2e</v>
      </c>
      <c r="AO4" s="105" t="str">
        <f t="shared" si="14"/>
        <v>2023 NZD per t CO2e</v>
      </c>
      <c r="AP4" s="105" t="str">
        <f t="shared" si="14"/>
        <v>2023 NZD per t CO2e</v>
      </c>
      <c r="AQ4" s="105" t="str">
        <f t="shared" si="14"/>
        <v>2023 NZD per t CO2e</v>
      </c>
      <c r="AR4" s="105" t="str">
        <f t="shared" si="14"/>
        <v>2023 NZD per t CO2e</v>
      </c>
      <c r="AS4" s="105" t="str">
        <f t="shared" si="14"/>
        <v>2023 NZD per t CO2e</v>
      </c>
      <c r="AT4" s="105" t="str">
        <f t="shared" si="14"/>
        <v>2023 NZD per t CO2e</v>
      </c>
      <c r="AU4" s="105" t="str">
        <f t="shared" si="14"/>
        <v>2023 NZD per t CO2e</v>
      </c>
      <c r="AV4" s="105" t="str">
        <f t="shared" si="14"/>
        <v>2023 NZD per t CO2e</v>
      </c>
      <c r="AW4" s="105" t="str">
        <f t="shared" si="14"/>
        <v>2023 NZD per t CO2e</v>
      </c>
      <c r="AX4" s="105" t="str">
        <f t="shared" si="14"/>
        <v>2023 NZD per t CO2e</v>
      </c>
      <c r="AY4" s="105" t="str">
        <f>AX4</f>
        <v>2023 NZD per t CO2e</v>
      </c>
      <c r="AZ4" s="105" t="str">
        <f t="shared" si="11"/>
        <v>2023 NZD per t CO2e</v>
      </c>
      <c r="BA4" s="105" t="str">
        <f t="shared" si="12"/>
        <v>2023 NZD per t CO2e</v>
      </c>
      <c r="BB4" s="105" t="str">
        <f>BC4</f>
        <v>kt CO2e</v>
      </c>
      <c r="BC4" s="105" t="str">
        <f>'Old CCC projections data'!E7</f>
        <v>kt CO2e</v>
      </c>
      <c r="BD4" s="105" t="str">
        <f>BC4</f>
        <v>kt CO2e</v>
      </c>
      <c r="BE4" s="122"/>
      <c r="BF4" s="105"/>
      <c r="BG4" s="105" t="str">
        <f>BD4</f>
        <v>kt CO2e</v>
      </c>
      <c r="BH4" s="105" t="str">
        <f>BG4</f>
        <v>kt CO2e</v>
      </c>
      <c r="BI4" s="105" t="str">
        <f t="shared" ref="BI4:CW4" si="15">BH4</f>
        <v>kt CO2e</v>
      </c>
      <c r="BJ4" s="105" t="str">
        <f t="shared" si="15"/>
        <v>kt CO2e</v>
      </c>
      <c r="BK4" s="105" t="str">
        <f t="shared" si="15"/>
        <v>kt CO2e</v>
      </c>
      <c r="BL4" s="105" t="str">
        <f t="shared" si="15"/>
        <v>kt CO2e</v>
      </c>
      <c r="BM4" s="105" t="str">
        <f t="shared" si="15"/>
        <v>kt CO2e</v>
      </c>
      <c r="BN4" s="105" t="str">
        <f t="shared" si="15"/>
        <v>kt CO2e</v>
      </c>
      <c r="BO4" s="105" t="str">
        <f t="shared" si="15"/>
        <v>kt CO2e</v>
      </c>
      <c r="BP4" s="105" t="str">
        <f t="shared" si="15"/>
        <v>kt CO2e</v>
      </c>
      <c r="BQ4" s="105" t="str">
        <f t="shared" si="15"/>
        <v>kt CO2e</v>
      </c>
      <c r="BR4" s="105" t="str">
        <f t="shared" si="15"/>
        <v>kt CO2e</v>
      </c>
      <c r="BS4" s="105" t="str">
        <f t="shared" si="15"/>
        <v>kt CO2e</v>
      </c>
      <c r="BT4" s="105" t="str">
        <f t="shared" si="15"/>
        <v>kt CO2e</v>
      </c>
      <c r="BU4" s="105" t="str">
        <f t="shared" si="15"/>
        <v>kt CO2e</v>
      </c>
      <c r="BV4" s="105" t="str">
        <f t="shared" si="15"/>
        <v>kt CO2e</v>
      </c>
      <c r="BW4" s="105" t="str">
        <f t="shared" si="15"/>
        <v>kt CO2e</v>
      </c>
      <c r="BX4" s="105" t="str">
        <f t="shared" si="15"/>
        <v>kt CO2e</v>
      </c>
      <c r="BY4" s="105" t="str">
        <f t="shared" si="15"/>
        <v>kt CO2e</v>
      </c>
      <c r="BZ4" s="105" t="str">
        <f t="shared" si="15"/>
        <v>kt CO2e</v>
      </c>
      <c r="CA4" s="105" t="str">
        <f t="shared" si="15"/>
        <v>kt CO2e</v>
      </c>
      <c r="CB4" s="105" t="str">
        <f t="shared" si="15"/>
        <v>kt CO2e</v>
      </c>
      <c r="CC4" s="105" t="str">
        <f t="shared" si="15"/>
        <v>kt CO2e</v>
      </c>
      <c r="CD4" s="105" t="str">
        <f t="shared" si="15"/>
        <v>kt CO2e</v>
      </c>
      <c r="CE4" s="105" t="str">
        <f t="shared" si="15"/>
        <v>kt CO2e</v>
      </c>
      <c r="CF4" s="105" t="str">
        <f t="shared" si="15"/>
        <v>kt CO2e</v>
      </c>
      <c r="CG4" s="105" t="str">
        <f t="shared" si="15"/>
        <v>kt CO2e</v>
      </c>
      <c r="CH4" s="105" t="str">
        <f t="shared" si="15"/>
        <v>kt CO2e</v>
      </c>
      <c r="CI4" s="105" t="str">
        <f t="shared" si="15"/>
        <v>kt CO2e</v>
      </c>
      <c r="CJ4" s="105" t="str">
        <f t="shared" si="15"/>
        <v>kt CO2e</v>
      </c>
      <c r="CK4" s="105" t="str">
        <f t="shared" si="15"/>
        <v>kt CO2e</v>
      </c>
      <c r="CL4" s="105" t="str">
        <f t="shared" si="15"/>
        <v>kt CO2e</v>
      </c>
      <c r="CM4" s="105" t="str">
        <f t="shared" si="15"/>
        <v>kt CO2e</v>
      </c>
      <c r="CN4" s="105" t="str">
        <f t="shared" si="15"/>
        <v>kt CO2e</v>
      </c>
      <c r="CO4" s="105" t="str">
        <f t="shared" si="15"/>
        <v>kt CO2e</v>
      </c>
      <c r="CP4" s="105" t="str">
        <f t="shared" si="15"/>
        <v>kt CO2e</v>
      </c>
      <c r="CQ4" s="105" t="str">
        <f t="shared" si="15"/>
        <v>kt CO2e</v>
      </c>
      <c r="CR4" s="105" t="str">
        <f t="shared" si="15"/>
        <v>kt CO2e</v>
      </c>
      <c r="CS4" s="105" t="str">
        <f t="shared" si="15"/>
        <v>kt CO2e</v>
      </c>
      <c r="CT4" s="105" t="str">
        <f t="shared" si="15"/>
        <v>kt CO2e</v>
      </c>
      <c r="CU4" s="105" t="str">
        <f t="shared" si="15"/>
        <v>kt CO2e</v>
      </c>
      <c r="CV4" s="105" t="str">
        <f t="shared" si="15"/>
        <v>kt CO2e</v>
      </c>
      <c r="CW4" s="105" t="str">
        <f t="shared" si="15"/>
        <v>kt CO2e</v>
      </c>
      <c r="CZ4" s="10"/>
      <c r="DA4" s="118" t="s">
        <v>249</v>
      </c>
      <c r="DB4" s="118" t="s">
        <v>170</v>
      </c>
      <c r="DC4" s="118"/>
      <c r="DD4" s="118" t="s">
        <v>159</v>
      </c>
      <c r="DE4" s="114" t="s">
        <v>250</v>
      </c>
      <c r="DF4" s="10" t="s">
        <v>251</v>
      </c>
      <c r="DG4" s="10" t="s">
        <v>77</v>
      </c>
      <c r="DH4" s="10" t="s">
        <v>252</v>
      </c>
      <c r="DI4" s="10" t="s">
        <v>170</v>
      </c>
      <c r="DJ4" s="10" t="str">
        <f>"Log "&amp;DG4</f>
        <v>Log Emission reduction</v>
      </c>
      <c r="DK4" s="10" t="str">
        <f>"Log "&amp;DH4</f>
        <v>Log Prior year emission reduction</v>
      </c>
      <c r="DL4" s="10" t="str">
        <f>"Log "&amp;DI4</f>
        <v>Log Price</v>
      </c>
      <c r="DM4" s="10" t="s">
        <v>253</v>
      </c>
      <c r="DN4" t="s">
        <v>254</v>
      </c>
      <c r="DS4" t="s">
        <v>170</v>
      </c>
      <c r="DT4" t="s">
        <v>77</v>
      </c>
      <c r="DU4" t="str">
        <f>DS4</f>
        <v>Price</v>
      </c>
      <c r="DV4" t="str">
        <f>DT4</f>
        <v>Emission reduction</v>
      </c>
      <c r="DW4" t="str">
        <f>DU4</f>
        <v>Price</v>
      </c>
      <c r="DX4" t="str">
        <f>DV4</f>
        <v>Emission reduction</v>
      </c>
    </row>
    <row r="5" spans="1:128" x14ac:dyDescent="0.25">
      <c r="B5">
        <v>2020</v>
      </c>
      <c r="C5" s="190">
        <v>25</v>
      </c>
      <c r="D5" s="18" cm="1">
        <f t="array" ref="D5">SUMPRODUCT(('Old CCC projections data'!$F$1:$BN$1=$B5)*('Old CCC projections data'!$A$2:$A$271=D$2)*('Old CCC projections data'!$D$2:$D$271=D$3)*('Old CCC projections data'!$F$2:$BN$271))*Model!$B$47</f>
        <v>35.614035087719301</v>
      </c>
      <c r="E5" s="18" cm="1">
        <f t="array" ref="E5">SUMPRODUCT(('Old CCC projections data'!$F$1:$BN$1=$B5)*('Old CCC projections data'!$A$2:$A$271=E$2)*('Old CCC projections data'!$D$2:$D$271=E$3)*('Old CCC projections data'!$F$2:$BN$271))*Model!$B$47</f>
        <v>35.614035087719301</v>
      </c>
      <c r="F5" s="18">
        <f>E5</f>
        <v>35.614035087719301</v>
      </c>
      <c r="G5" s="18">
        <f>F5</f>
        <v>35.614035087719301</v>
      </c>
      <c r="H5" s="18" cm="1">
        <f t="array" ref="H5">SUMPRODUCT(('Old CCC projections data'!$F$1:$BN$1=$B5)*('Old CCC projections data'!$A$2:$A$271=H$2)*('Old CCC projections data'!$D$2:$D$271=H$3)*('Old CCC projections data'!$F$2:$BN$271))*Model!$B$47</f>
        <v>35.614035087719301</v>
      </c>
      <c r="I5" s="18" cm="1">
        <f t="array" ref="I5">SUMPRODUCT(('Old CCC projections data'!$F$1:$BN$1=$B5)*('Old CCC projections data'!$A$2:$A$271=I$2)*('Old CCC projections data'!$D$2:$D$271=I$3)*('Old CCC projections data'!$F$2:$BN$271))*Model!$B$47</f>
        <v>35.614035087719301</v>
      </c>
      <c r="J5" s="18" cm="1">
        <f t="array" ref="J5">SUMPRODUCT(('Old CCC projections data'!$F$1:$BN$1=$B5)*('Old CCC projections data'!$A$2:$A$271=J$2)*('Old CCC projections data'!$D$2:$D$271=J$3)*('Old CCC projections data'!$F$2:$BN$271))*Model!$B$47</f>
        <v>35.614035087719301</v>
      </c>
      <c r="K5" s="18" cm="1">
        <f t="array" ref="K5">SUMPRODUCT(('Old CCC projections data'!$F$1:$BN$1=$B5)*('Old CCC projections data'!$A$2:$A$271=K$2)*('Old CCC projections data'!$D$2:$D$271=K$3)*('Old CCC projections data'!$F$2:$BN$271))*Model!$B$47</f>
        <v>35.614035087719301</v>
      </c>
      <c r="L5" s="18" cm="1">
        <f t="array" ref="L5">SUMPRODUCT(('Old CCC projections data'!$F$1:$BN$1=$B5)*('Old CCC projections data'!$A$2:$A$271=L$2)*('Old CCC projections data'!$D$2:$D$271=L$3)*('Old CCC projections data'!$F$2:$BN$271))*Model!$B$47</f>
        <v>35.614035087719301</v>
      </c>
      <c r="M5" s="18" cm="1">
        <f t="array" ref="M5">SUMPRODUCT(('Old CCC projections data'!$F$1:$BN$1=$B5)*('Old CCC projections data'!$A$2:$A$271=M$2)*('Old CCC projections data'!$D$2:$D$271=M$3)*('Old CCC projections data'!$F$2:$BN$271))*Model!$B$47</f>
        <v>35.614035087719301</v>
      </c>
      <c r="N5" s="189" cm="1">
        <f t="array" ref="N5">SUMPRODUCT(('Old CCC projections data'!$F$1:$BN$1=$B5)*('Old CCC projections data'!$A$2:$A$271=N$2)*('Old CCC projections data'!$D$2:$D$271=N$3)*('Old CCC projections data'!$F$2:$BN$271))*Model!$B$47</f>
        <v>35.614035087719301</v>
      </c>
      <c r="O5" s="18" cm="1">
        <f t="array" ref="O5">SUMPRODUCT(('Old CCC projections data'!$F$1:$BN$1=$B5)*('Old CCC projections data'!$A$2:$A$271=O$2)*('Old CCC projections data'!$D$2:$D$271=O$3)*('Old CCC projections data'!$F$2:$BN$271))*Model!$B$47</f>
        <v>35.614035087719301</v>
      </c>
      <c r="P5" s="18" cm="1">
        <f t="array" ref="P5">SUMPRODUCT(('Old CCC projections data'!$F$1:$BN$1=$B5)*('Old CCC projections data'!$A$2:$A$271=P$2)*('Old CCC projections data'!$D$2:$D$271=P$3)*('Old CCC projections data'!$F$2:$BN$271))*Model!$B$47</f>
        <v>35.614035087719301</v>
      </c>
      <c r="Q5" s="18" cm="1">
        <f t="array" ref="Q5">SUMPRODUCT(('Old CCC projections data'!$F$1:$BN$1=$B5)*('Old CCC projections data'!$A$2:$A$271=Q$2)*('Old CCC projections data'!$D$2:$D$271=Q$3)*('Old CCC projections data'!$F$2:$BN$271))*Model!$B$47</f>
        <v>35.614035087719301</v>
      </c>
      <c r="R5" s="18" cm="1">
        <f t="array" ref="R5">SUMPRODUCT(('Old CCC projections data'!$F$1:$BN$1=$B5)*('Old CCC projections data'!$A$2:$A$271=R$2)*('Old CCC projections data'!$D$2:$D$271=R$3)*('Old CCC projections data'!$F$2:$BN$271))*Model!$B$47</f>
        <v>35.614035087719301</v>
      </c>
      <c r="S5" s="18" cm="1">
        <f t="array" ref="S5">SUMPRODUCT(('Old CCC projections data'!$F$1:$BN$1=$B5)*('Old CCC projections data'!$A$2:$A$271=S$2)*('Old CCC projections data'!$D$2:$D$271=S$3)*('Old CCC projections data'!$F$2:$BN$271))*Model!$B$47</f>
        <v>35.614035087719301</v>
      </c>
      <c r="T5" s="18" cm="1">
        <f t="array" ref="T5">SUMPRODUCT(('Old CCC projections data'!$F$1:$BN$1=$B5)*('Old CCC projections data'!$A$2:$A$271=T$2)*('Old CCC projections data'!$D$2:$D$271=T$3)*('Old CCC projections data'!$F$2:$BN$271))*Model!$B$47</f>
        <v>35.614035087719301</v>
      </c>
      <c r="U5" s="18" cm="1">
        <f t="array" ref="U5">SUMPRODUCT(('Old CCC projections data'!$F$1:$BN$1=$B5)*('Old CCC projections data'!$A$2:$A$271=U$2)*('Old CCC projections data'!$D$2:$D$271=U$3)*('Old CCC projections data'!$F$2:$BN$271))*Model!$B$47</f>
        <v>35.614035087719301</v>
      </c>
      <c r="V5" s="18" cm="1">
        <f t="array" ref="V5">SUMPRODUCT(('Old CCC projections data'!$F$1:$BN$1=$B5)*('Old CCC projections data'!$A$2:$A$271=V$2)*('Old CCC projections data'!$D$2:$D$271=V$3)*('Old CCC projections data'!$F$2:$BN$271))*Model!$B$47</f>
        <v>35.614035087719301</v>
      </c>
      <c r="W5" s="18" cm="1">
        <f t="array" ref="W5">SUMPRODUCT(('Old CCC projections data'!$F$1:$BN$1=$B5)*('Old CCC projections data'!$A$2:$A$271=W$2)*('Old CCC projections data'!$D$2:$D$271=W$3)*('Old CCC projections data'!$F$2:$BN$271))*Model!$B$47</f>
        <v>35.614035087719301</v>
      </c>
      <c r="X5" s="18" cm="1">
        <f t="array" ref="X5">SUMPRODUCT(('Old CCC projections data'!$F$1:$BN$1=$B5)*('Old CCC projections data'!$A$2:$A$271=X$2)*('Old CCC projections data'!$D$2:$D$271=X$3)*('Old CCC projections data'!$F$2:$BN$271))*Model!$B$47</f>
        <v>35.614035087719301</v>
      </c>
      <c r="Y5" s="18" cm="1">
        <f t="array" ref="Y5">SUMPRODUCT(('Old CCC projections data'!$F$1:$BN$1=$B5)*('Old CCC projections data'!$A$2:$A$271=Y$2)*('Old CCC projections data'!$D$2:$D$271=Y$3)*('Old CCC projections data'!$F$2:$BN$271))*Model!$B$47</f>
        <v>35.614035087719301</v>
      </c>
      <c r="Z5" s="18" cm="1">
        <f t="array" ref="Z5">SUMPRODUCT(('Old CCC projections data'!$F$1:$BN$1=$B5)*('Old CCC projections data'!$A$2:$A$271=Z$2)*('Old CCC projections data'!$D$2:$D$271=Z$3)*('Old CCC projections data'!$F$2:$BN$271))*Model!$B$47</f>
        <v>35.614035087719301</v>
      </c>
      <c r="AA5" s="18" cm="1">
        <f t="array" ref="AA5">SUMPRODUCT(('Old CCC projections data'!$F$1:$BN$1=$B5)*('Old CCC projections data'!$A$2:$A$271=AA$2)*('Old CCC projections data'!$D$2:$D$271=AA$3)*('Old CCC projections data'!$F$2:$BN$271))*Model!$B$47</f>
        <v>35.614035087719301</v>
      </c>
      <c r="AB5" s="18" cm="1">
        <f t="array" ref="AB5">SUMPRODUCT(('Old CCC projections data'!$F$1:$BN$1=$B5)*('Old CCC projections data'!$A$2:$A$271=AB$2)*('Old CCC projections data'!$D$2:$D$271=AB$3)*('Old CCC projections data'!$F$2:$BN$271))*Model!$B$47</f>
        <v>35.614035087719301</v>
      </c>
      <c r="AC5" s="18" cm="1">
        <f t="array" ref="AC5">SUMPRODUCT(('Old CCC projections data'!$F$1:$BN$1=$B5)*('Old CCC projections data'!$A$2:$A$271=AC$2)*('Old CCC projections data'!$D$2:$D$271=AC$3)*('Old CCC projections data'!$F$2:$BN$271))*Model!$B$47</f>
        <v>35.614035087719301</v>
      </c>
      <c r="AD5" s="18" cm="1">
        <f t="array" ref="AD5">SUMPRODUCT(('Old CCC projections data'!$F$1:$BN$1=$B5)*('Old CCC projections data'!$A$2:$A$271=AD$2)*('Old CCC projections data'!$D$2:$D$271=AD$3)*('Old CCC projections data'!$F$2:$BN$271))*Model!$B$47</f>
        <v>35.614035087719301</v>
      </c>
      <c r="AE5" s="18" cm="1">
        <f t="array" ref="AE5">SUMPRODUCT(('Old CCC projections data'!$F$1:$BN$1=$B5)*('Old CCC projections data'!$A$2:$A$271=AE$2)*('Old CCC projections data'!$D$2:$D$271=AE$3)*('Old CCC projections data'!$F$2:$BN$271))*Model!$B$47</f>
        <v>35.614035087719301</v>
      </c>
      <c r="AF5" s="18" cm="1">
        <f t="array" ref="AF5">SUMPRODUCT(('Old CCC projections data'!$F$1:$BN$1=$B5)*('Old CCC projections data'!$A$2:$A$271=AF$2)*('Old CCC projections data'!$D$2:$D$271=AF$3)*('Old CCC projections data'!$F$2:$BN$271))*Model!$B$47</f>
        <v>35.614035087719301</v>
      </c>
      <c r="AG5" s="18" cm="1">
        <f t="array" ref="AG5">SUMPRODUCT(('Old CCC projections data'!$F$1:$BN$1=$B5)*('Old CCC projections data'!$A$2:$A$271=AG$2)*('Old CCC projections data'!$D$2:$D$271=AG$3)*('Old CCC projections data'!$F$2:$BN$271))*Model!$B$47</f>
        <v>35.614035087719301</v>
      </c>
      <c r="AH5" s="18" cm="1">
        <f t="array" ref="AH5">SUMPRODUCT(('Old CCC projections data'!$F$1:$BN$1=$B5)*('Old CCC projections data'!$A$2:$A$271=AH$2)*('Old CCC projections data'!$D$2:$D$271=AH$3)*('Old CCC projections data'!$F$2:$BN$271))*Model!$B$47</f>
        <v>35.614035087719301</v>
      </c>
      <c r="AI5" s="18" cm="1">
        <f t="array" ref="AI5">SUMPRODUCT(('Old CCC projections data'!$F$1:$BN$1=$B5)*('Old CCC projections data'!$A$2:$A$271=AI$2)*('Old CCC projections data'!$D$2:$D$271=AI$3)*('Old CCC projections data'!$F$2:$BN$271))*Model!$B$47</f>
        <v>35.614035087719301</v>
      </c>
      <c r="AJ5" s="18" cm="1">
        <f t="array" ref="AJ5">SUMPRODUCT(('Old CCC projections data'!$F$1:$BN$1=$B5)*('Old CCC projections data'!$A$2:$A$271=AJ$2)*('Old CCC projections data'!$D$2:$D$271=AJ$3)*('Old CCC projections data'!$F$2:$BN$271))*Model!$B$47</f>
        <v>35.614035087719301</v>
      </c>
      <c r="AK5" s="18" cm="1">
        <f t="array" ref="AK5">SUMPRODUCT(('Old CCC projections data'!$F$1:$BN$1=$B5)*('Old CCC projections data'!$A$2:$A$271=AK$2)*('Old CCC projections data'!$D$2:$D$271=AK$3)*('Old CCC projections data'!$F$2:$BN$271))*Model!$B$47</f>
        <v>35.614035087719301</v>
      </c>
      <c r="AL5" s="18" cm="1">
        <f t="array" ref="AL5">SUMPRODUCT(('Old CCC projections data'!$F$1:$BN$1=$B5)*('Old CCC projections data'!$A$2:$A$271=AL$2)*('Old CCC projections data'!$D$2:$D$271=AL$3)*('Old CCC projections data'!$F$2:$BN$271))*Model!$B$47</f>
        <v>35.614035087719301</v>
      </c>
      <c r="AM5" s="18" cm="1">
        <f t="array" ref="AM5">SUMPRODUCT(('Old CCC projections data'!$F$1:$BN$1=$B5)*('Old CCC projections data'!$A$2:$A$271=AM$2)*('Old CCC projections data'!$D$2:$D$271=AM$3)*('Old CCC projections data'!$F$2:$BN$271))*Model!$B$47</f>
        <v>35.614035087719301</v>
      </c>
      <c r="AN5" s="18" cm="1">
        <f t="array" ref="AN5">SUMPRODUCT(('Old CCC projections data'!$F$1:$BN$1=$B5)*('Old CCC projections data'!$A$2:$A$271=AN$2)*('Old CCC projections data'!$D$2:$D$271=AN$3)*('Old CCC projections data'!$F$2:$BN$271))*Model!$B$47</f>
        <v>35.614035087719301</v>
      </c>
      <c r="AO5" s="18" cm="1">
        <f t="array" ref="AO5">SUMPRODUCT(('Old CCC projections data'!$F$1:$BN$1=$B5)*('Old CCC projections data'!$A$2:$A$271=AO$2)*('Old CCC projections data'!$D$2:$D$271=AO$3)*('Old CCC projections data'!$F$2:$BN$271))*Model!$B$47</f>
        <v>35.614035087719301</v>
      </c>
      <c r="AP5" s="18" cm="1">
        <f t="array" ref="AP5">SUMPRODUCT(('Old CCC projections data'!$F$1:$BN$1=$B5)*('Old CCC projections data'!$A$2:$A$271=AP$2)*('Old CCC projections data'!$D$2:$D$271=AP$3)*('Old CCC projections data'!$F$2:$BN$271))*Model!$B$47</f>
        <v>35.614035087719301</v>
      </c>
      <c r="AQ5" s="18" cm="1">
        <f t="array" ref="AQ5">SUMPRODUCT(('Old CCC projections data'!$F$1:$BN$1=$B5)*('Old CCC projections data'!$A$2:$A$271=AQ$2)*('Old CCC projections data'!$D$2:$D$271=AQ$3)*('Old CCC projections data'!$F$2:$BN$271))*Model!$B$47</f>
        <v>35.614035087719301</v>
      </c>
      <c r="AR5" s="18" cm="1">
        <f t="array" ref="AR5">SUMPRODUCT(('Old CCC projections data'!$F$1:$BN$1=$B5)*('Old CCC projections data'!$A$2:$A$271=AR$2)*('Old CCC projections data'!$D$2:$D$271=AR$3)*('Old CCC projections data'!$F$2:$BN$271))*Model!$B$47</f>
        <v>35.614035087719301</v>
      </c>
      <c r="AS5" s="18" cm="1">
        <f t="array" ref="AS5">SUMPRODUCT(('Old CCC projections data'!$F$1:$BN$1=$B5)*('Old CCC projections data'!$A$2:$A$271=AS$2)*('Old CCC projections data'!$D$2:$D$271=AS$3)*('Old CCC projections data'!$F$2:$BN$271))*Model!$B$47</f>
        <v>35.614035087719301</v>
      </c>
      <c r="AT5" s="18" cm="1">
        <f t="array" ref="AT5">SUMPRODUCT(('Old CCC projections data'!$F$1:$BN$1=$B5)*('Old CCC projections data'!$A$2:$A$271=AT$2)*('Old CCC projections data'!$D$2:$D$271=AT$3)*('Old CCC projections data'!$F$2:$BN$271))*Model!$B$47</f>
        <v>35.614035087719301</v>
      </c>
      <c r="AU5" s="18" cm="1">
        <f t="array" ref="AU5">SUMPRODUCT(('Old CCC projections data'!$F$1:$BN$1=$B5)*('Old CCC projections data'!$A$2:$A$271=AU$2)*('Old CCC projections data'!$D$2:$D$271=AU$3)*('Old CCC projections data'!$F$2:$BN$271))*Model!$B$47</f>
        <v>35.614035087719301</v>
      </c>
      <c r="AV5" s="18" cm="1">
        <f t="array" ref="AV5">SUMPRODUCT(('Old CCC projections data'!$F$1:$BN$1=$B5)*('Old CCC projections data'!$A$2:$A$271=AV$2)*('Old CCC projections data'!$D$2:$D$271=AV$3)*('Old CCC projections data'!$F$2:$BN$271))*Model!$B$47</f>
        <v>35.614035087719301</v>
      </c>
      <c r="AW5" s="18" cm="1">
        <f t="array" ref="AW5">SUMPRODUCT(('Old CCC projections data'!$F$1:$BN$1=$B5)*('Old CCC projections data'!$A$2:$A$271=AW$2)*('Old CCC projections data'!$D$2:$D$271=AW$3)*('Old CCC projections data'!$F$2:$BN$271))*Model!$B$47</f>
        <v>35.614035087719301</v>
      </c>
      <c r="AX5" s="18" cm="1">
        <f t="array" ref="AX5">SUMPRODUCT(('Old CCC projections data'!$F$1:$BN$1=$B5)*('Old CCC projections data'!$A$2:$A$271=AX$2)*('Old CCC projections data'!$D$2:$D$271=AX$3)*('Old CCC projections data'!$F$2:$BN$271))*Model!$B$47</f>
        <v>35.614035087719301</v>
      </c>
      <c r="AY5" s="18">
        <v>35.614035087719301</v>
      </c>
      <c r="AZ5" s="18">
        <v>35.614035087719301</v>
      </c>
      <c r="BA5" s="18">
        <v>35.614035087719301</v>
      </c>
      <c r="BB5" s="20">
        <f>BM5</f>
        <v>36911.614290734949</v>
      </c>
      <c r="BC5" s="20" cm="1">
        <f t="array" ref="BC5">SUMPRODUCT(('Old CCC projections data'!$F$1:$BN$1=$B5)*('Old CCC projections data'!$A$2:$A$271=BC$2)*('Old CCC projections data'!$D$2:$D$271=BC$3)*('Old CCC projections data'!$F$2:$BN$271))</f>
        <v>36911.614290734949</v>
      </c>
      <c r="BD5" s="20" cm="1">
        <f t="array" ref="BD5">SUMPRODUCT(('Old CCC projections data'!$F$1:$BN$1=$B5)*('Old CCC projections data'!$A$2:$A$271=BD$2)*('Old CCC projections data'!$D$2:$D$271=BD$3)*('Old CCC projections data'!$F$2:$BN$271))</f>
        <v>36911.614290734949</v>
      </c>
      <c r="BE5" s="20">
        <f>BD5</f>
        <v>36911.614290734949</v>
      </c>
      <c r="BF5" s="20">
        <f>BE5</f>
        <v>36911.614290734949</v>
      </c>
      <c r="BG5" s="20" cm="1">
        <f t="array" ref="BG5">SUMPRODUCT(('Old CCC projections data'!$F$1:$BN$1=$B5)*('Old CCC projections data'!$A$2:$A$271=BG$2)*('Old CCC projections data'!$D$2:$D$271=BG$3)*('Old CCC projections data'!$F$2:$BN$271))</f>
        <v>36911.614290734949</v>
      </c>
      <c r="BH5" s="20" cm="1">
        <f t="array" ref="BH5">SUMPRODUCT(('Old CCC projections data'!$F$1:$BN$1=$B5)*('Old CCC projections data'!$A$2:$A$271=BH$2)*('Old CCC projections data'!$D$2:$D$271=BH$3)*('Old CCC projections data'!$F$2:$BN$271))</f>
        <v>36911.614290734949</v>
      </c>
      <c r="BI5" s="20" cm="1">
        <f t="array" ref="BI5">SUMPRODUCT(('Old CCC projections data'!$F$1:$BN$1=$B5)*('Old CCC projections data'!$A$2:$A$271=BI$2)*('Old CCC projections data'!$D$2:$D$271=BI$3)*('Old CCC projections data'!$F$2:$BN$271))</f>
        <v>36911.614290734949</v>
      </c>
      <c r="BJ5" s="20" cm="1">
        <f t="array" ref="BJ5">SUMPRODUCT(('Old CCC projections data'!$F$1:$BN$1=$B5)*('Old CCC projections data'!$A$2:$A$271=BJ$2)*('Old CCC projections data'!$D$2:$D$271=BJ$3)*('Old CCC projections data'!$F$2:$BN$271))</f>
        <v>36911.614290734949</v>
      </c>
      <c r="BK5" s="20" cm="1">
        <f t="array" ref="BK5">SUMPRODUCT(('Old CCC projections data'!$F$1:$BN$1=$B5)*('Old CCC projections data'!$A$2:$A$271=BK$2)*('Old CCC projections data'!$D$2:$D$271=BK$3)*('Old CCC projections data'!$F$2:$BN$271))</f>
        <v>36911.614290734949</v>
      </c>
      <c r="BL5" s="20" cm="1">
        <f t="array" ref="BL5">SUMPRODUCT(('Old CCC projections data'!$F$1:$BN$1=$B5)*('Old CCC projections data'!$A$2:$A$271=BL$2)*('Old CCC projections data'!$D$2:$D$271=BL$3)*('Old CCC projections data'!$F$2:$BN$271))</f>
        <v>36911.614290734949</v>
      </c>
      <c r="BM5" s="20" cm="1">
        <f t="array" ref="BM5">SUMPRODUCT(('Old CCC projections data'!$F$1:$BN$1=$B5)*('Old CCC projections data'!$A$2:$A$271=BM$2)*('Old CCC projections data'!$D$2:$D$271=BM$3)*('Old CCC projections data'!$F$2:$BN$271))</f>
        <v>36911.614290734949</v>
      </c>
      <c r="BN5" s="20" cm="1">
        <f t="array" ref="BN5">SUMPRODUCT(('Old CCC projections data'!$F$1:$BN$1=$B5)*('Old CCC projections data'!$A$2:$A$271=BN$2)*('Old CCC projections data'!$D$2:$D$271=BN$3)*('Old CCC projections data'!$F$2:$BN$271))</f>
        <v>36911.614290734949</v>
      </c>
      <c r="BO5" s="20" cm="1">
        <f t="array" ref="BO5">SUMPRODUCT(('Old CCC projections data'!$F$1:$BN$1=$B5)*('Old CCC projections data'!$A$2:$A$271=BO$2)*('Old CCC projections data'!$D$2:$D$271=BO$3)*('Old CCC projections data'!$F$2:$BN$271))</f>
        <v>36911.614290734949</v>
      </c>
      <c r="BP5" s="20" cm="1">
        <f t="array" ref="BP5">SUMPRODUCT(('Old CCC projections data'!$F$1:$BN$1=$B5)*('Old CCC projections data'!$A$2:$A$271=BP$2)*('Old CCC projections data'!$D$2:$D$271=BP$3)*('Old CCC projections data'!$F$2:$BN$271))</f>
        <v>36911.614290734949</v>
      </c>
      <c r="BQ5" s="20" cm="1">
        <f t="array" ref="BQ5">SUMPRODUCT(('Old CCC projections data'!$F$1:$BN$1=$B5)*('Old CCC projections data'!$A$2:$A$271=BQ$2)*('Old CCC projections data'!$D$2:$D$271=BQ$3)*('Old CCC projections data'!$F$2:$BN$271))</f>
        <v>36911.614290734949</v>
      </c>
      <c r="BR5" s="20" cm="1">
        <f t="array" ref="BR5">SUMPRODUCT(('Old CCC projections data'!$F$1:$BN$1=$B5)*('Old CCC projections data'!$A$2:$A$271=BR$2)*('Old CCC projections data'!$D$2:$D$271=BR$3)*('Old CCC projections data'!$F$2:$BN$271))</f>
        <v>36911.614290734949</v>
      </c>
      <c r="BS5" s="20" cm="1">
        <f t="array" ref="BS5">SUMPRODUCT(('Old CCC projections data'!$F$1:$BN$1=$B5)*('Old CCC projections data'!$A$2:$A$271=BS$2)*('Old CCC projections data'!$D$2:$D$271=BS$3)*('Old CCC projections data'!$F$2:$BN$271))</f>
        <v>36911.614290734949</v>
      </c>
      <c r="BT5" s="20" cm="1">
        <f t="array" ref="BT5">SUMPRODUCT(('Old CCC projections data'!$F$1:$BN$1=$B5)*('Old CCC projections data'!$A$2:$A$271=BT$2)*('Old CCC projections data'!$D$2:$D$271=BT$3)*('Old CCC projections data'!$F$2:$BN$271))</f>
        <v>36911.614290734949</v>
      </c>
      <c r="BU5" s="20" cm="1">
        <f t="array" ref="BU5">SUMPRODUCT(('Old CCC projections data'!$F$1:$BN$1=$B5)*('Old CCC projections data'!$A$2:$A$271=BU$2)*('Old CCC projections data'!$D$2:$D$271=BU$3)*('Old CCC projections data'!$F$2:$BN$271))</f>
        <v>36911.614290734949</v>
      </c>
      <c r="BV5" s="20" cm="1">
        <f t="array" ref="BV5">SUMPRODUCT(('Old CCC projections data'!$F$1:$BN$1=$B5)*('Old CCC projections data'!$A$2:$A$271=BV$2)*('Old CCC projections data'!$D$2:$D$271=BV$3)*('Old CCC projections data'!$F$2:$BN$271))</f>
        <v>36911.614290734949</v>
      </c>
      <c r="BW5" s="20" cm="1">
        <f t="array" ref="BW5">SUMPRODUCT(('Old CCC projections data'!$F$1:$BN$1=$B5)*('Old CCC projections data'!$A$2:$A$271=BW$2)*('Old CCC projections data'!$D$2:$D$271=BW$3)*('Old CCC projections data'!$F$2:$BN$271))</f>
        <v>36911.614290734949</v>
      </c>
      <c r="BX5" s="20" cm="1">
        <f t="array" ref="BX5">SUMPRODUCT(('Old CCC projections data'!$F$1:$BN$1=$B5)*('Old CCC projections data'!$A$2:$A$271=BX$2)*('Old CCC projections data'!$D$2:$D$271=BX$3)*('Old CCC projections data'!$F$2:$BN$271))</f>
        <v>36911.614290734949</v>
      </c>
      <c r="BY5" s="20" cm="1">
        <f t="array" ref="BY5">SUMPRODUCT(('Old CCC projections data'!$F$1:$BN$1=$B5)*('Old CCC projections data'!$A$2:$A$271=BY$2)*('Old CCC projections data'!$D$2:$D$271=BY$3)*('Old CCC projections data'!$F$2:$BN$271))</f>
        <v>36911.614290734949</v>
      </c>
      <c r="BZ5" s="20" cm="1">
        <f t="array" ref="BZ5">SUMPRODUCT(('Old CCC projections data'!$F$1:$BN$1=$B5)*('Old CCC projections data'!$A$2:$A$271=BZ$2)*('Old CCC projections data'!$D$2:$D$271=BZ$3)*('Old CCC projections data'!$F$2:$BN$271))</f>
        <v>36911.614290734949</v>
      </c>
      <c r="CA5" s="20" cm="1">
        <f t="array" ref="CA5">SUMPRODUCT(('Old CCC projections data'!$F$1:$BN$1=$B5)*('Old CCC projections data'!$A$2:$A$271=CA$2)*('Old CCC projections data'!$D$2:$D$271=CA$3)*('Old CCC projections data'!$F$2:$BN$271))</f>
        <v>36911.614290734949</v>
      </c>
      <c r="CB5" s="20" cm="1">
        <f t="array" ref="CB5">SUMPRODUCT(('Old CCC projections data'!$F$1:$BN$1=$B5)*('Old CCC projections data'!$A$2:$A$271=CB$2)*('Old CCC projections data'!$D$2:$D$271=CB$3)*('Old CCC projections data'!$F$2:$BN$271))</f>
        <v>36911.614290734949</v>
      </c>
      <c r="CC5" s="20" cm="1">
        <f t="array" ref="CC5">SUMPRODUCT(('Old CCC projections data'!$F$1:$BN$1=$B5)*('Old CCC projections data'!$A$2:$A$271=CC$2)*('Old CCC projections data'!$D$2:$D$271=CC$3)*('Old CCC projections data'!$F$2:$BN$271))</f>
        <v>36911.614290734949</v>
      </c>
      <c r="CD5" s="20" cm="1">
        <f t="array" ref="CD5">SUMPRODUCT(('Old CCC projections data'!$F$1:$BN$1=$B5)*('Old CCC projections data'!$A$2:$A$271=CD$2)*('Old CCC projections data'!$D$2:$D$271=CD$3)*('Old CCC projections data'!$F$2:$BN$271))</f>
        <v>36911.614290734949</v>
      </c>
      <c r="CE5" s="20" cm="1">
        <f t="array" ref="CE5">SUMPRODUCT(('Old CCC projections data'!$F$1:$BN$1=$B5)*('Old CCC projections data'!$A$2:$A$271=CE$2)*('Old CCC projections data'!$D$2:$D$271=CE$3)*('Old CCC projections data'!$F$2:$BN$271))</f>
        <v>36911.614290734949</v>
      </c>
      <c r="CF5" s="20" cm="1">
        <f t="array" ref="CF5">SUMPRODUCT(('Old CCC projections data'!$F$1:$BN$1=$B5)*('Old CCC projections data'!$A$2:$A$271=CF$2)*('Old CCC projections data'!$D$2:$D$271=CF$3)*('Old CCC projections data'!$F$2:$BN$271))</f>
        <v>36911.614290734949</v>
      </c>
      <c r="CG5" s="20" cm="1">
        <f t="array" ref="CG5">SUMPRODUCT(('Old CCC projections data'!$F$1:$BN$1=$B5)*('Old CCC projections data'!$A$2:$A$271=CG$2)*('Old CCC projections data'!$D$2:$D$271=CG$3)*('Old CCC projections data'!$F$2:$BN$271))</f>
        <v>36911.614290734949</v>
      </c>
      <c r="CH5" s="20" cm="1">
        <f t="array" ref="CH5">SUMPRODUCT(('Old CCC projections data'!$F$1:$BN$1=$B5)*('Old CCC projections data'!$A$2:$A$271=CH$2)*('Old CCC projections data'!$D$2:$D$271=CH$3)*('Old CCC projections data'!$F$2:$BN$271))</f>
        <v>36911.614290734949</v>
      </c>
      <c r="CI5" s="20" cm="1">
        <f t="array" ref="CI5">SUMPRODUCT(('Old CCC projections data'!$F$1:$BN$1=$B5)*('Old CCC projections data'!$A$2:$A$271=CI$2)*('Old CCC projections data'!$D$2:$D$271=CI$3)*('Old CCC projections data'!$F$2:$BN$271))</f>
        <v>36911.614290734949</v>
      </c>
      <c r="CJ5" s="20" cm="1">
        <f t="array" ref="CJ5">SUMPRODUCT(('Old CCC projections data'!$F$1:$BN$1=$B5)*('Old CCC projections data'!$A$2:$A$271=CJ$2)*('Old CCC projections data'!$D$2:$D$271=CJ$3)*('Old CCC projections data'!$F$2:$BN$271))</f>
        <v>36911.614290734949</v>
      </c>
      <c r="CK5" s="20" cm="1">
        <f t="array" ref="CK5">SUMPRODUCT(('Old CCC projections data'!$F$1:$BN$1=$B5)*('Old CCC projections data'!$A$2:$A$271=CK$2)*('Old CCC projections data'!$D$2:$D$271=CK$3)*('Old CCC projections data'!$F$2:$BN$271))</f>
        <v>36911.614290734949</v>
      </c>
      <c r="CL5" s="20" cm="1">
        <f t="array" ref="CL5">SUMPRODUCT(('Old CCC projections data'!$F$1:$BN$1=$B5)*('Old CCC projections data'!$A$2:$A$271=CL$2)*('Old CCC projections data'!$D$2:$D$271=CL$3)*('Old CCC projections data'!$F$2:$BN$271))</f>
        <v>36911.614290734949</v>
      </c>
      <c r="CM5" s="20" cm="1">
        <f t="array" ref="CM5">SUMPRODUCT(('Old CCC projections data'!$F$1:$BN$1=$B5)*('Old CCC projections data'!$A$2:$A$271=CM$2)*('Old CCC projections data'!$D$2:$D$271=CM$3)*('Old CCC projections data'!$F$2:$BN$271))</f>
        <v>36911.614290734949</v>
      </c>
      <c r="CN5" s="20" cm="1">
        <f t="array" ref="CN5">SUMPRODUCT(('Old CCC projections data'!$F$1:$BN$1=$B5)*('Old CCC projections data'!$A$2:$A$271=CN$2)*('Old CCC projections data'!$D$2:$D$271=CN$3)*('Old CCC projections data'!$F$2:$BN$271))</f>
        <v>36911.614290734949</v>
      </c>
      <c r="CO5" s="20" cm="1">
        <f t="array" ref="CO5">SUMPRODUCT(('Old CCC projections data'!$F$1:$BN$1=$B5)*('Old CCC projections data'!$A$2:$A$271=CO$2)*('Old CCC projections data'!$D$2:$D$271=CO$3)*('Old CCC projections data'!$F$2:$BN$271))</f>
        <v>36911.614290734949</v>
      </c>
      <c r="CP5" s="20" cm="1">
        <f t="array" ref="CP5">SUMPRODUCT(('Old CCC projections data'!$F$1:$BN$1=$B5)*('Old CCC projections data'!$A$2:$A$271=CP$2)*('Old CCC projections data'!$D$2:$D$271=CP$3)*('Old CCC projections data'!$F$2:$BN$271))</f>
        <v>36911.614290734949</v>
      </c>
      <c r="CQ5" s="20" cm="1">
        <f t="array" ref="CQ5">SUMPRODUCT(('Old CCC projections data'!$F$1:$BN$1=$B5)*('Old CCC projections data'!$A$2:$A$271=CQ$2)*('Old CCC projections data'!$D$2:$D$271=CQ$3)*('Old CCC projections data'!$F$2:$BN$271))</f>
        <v>36911.614290734949</v>
      </c>
      <c r="CR5" s="20" cm="1">
        <f t="array" ref="CR5">SUMPRODUCT(('Old CCC projections data'!$F$1:$BN$1=$B5)*('Old CCC projections data'!$A$2:$A$271=CR$2)*('Old CCC projections data'!$D$2:$D$271=CR$3)*('Old CCC projections data'!$F$2:$BN$271))</f>
        <v>36911.614290734949</v>
      </c>
      <c r="CS5" s="20" cm="1">
        <f t="array" ref="CS5">SUMPRODUCT(('Old CCC projections data'!$F$1:$BN$1=$B5)*('Old CCC projections data'!$A$2:$A$271=CS$2)*('Old CCC projections data'!$D$2:$D$271=CS$3)*('Old CCC projections data'!$F$2:$BN$271))</f>
        <v>36911.614290734949</v>
      </c>
      <c r="CT5" s="20" cm="1">
        <f t="array" ref="CT5">SUMPRODUCT(('Old CCC projections data'!$F$1:$BN$1=$B5)*('Old CCC projections data'!$A$2:$A$271=CT$2)*('Old CCC projections data'!$D$2:$D$271=CT$3)*('Old CCC projections data'!$F$2:$BN$271))</f>
        <v>36911.614290734949</v>
      </c>
      <c r="CU5" s="20" cm="1">
        <f t="array" ref="CU5">SUMPRODUCT(('Old CCC projections data'!$F$1:$BN$1=$B5)*('Old CCC projections data'!$A$2:$A$271=CU$2)*('Old CCC projections data'!$D$2:$D$271=CU$3)*('Old CCC projections data'!$F$2:$BN$271))</f>
        <v>36911.614290734949</v>
      </c>
      <c r="CV5" s="20" cm="1">
        <f t="array" ref="CV5">SUMPRODUCT(('Old CCC projections data'!$F$1:$BN$1=$B5)*('Old CCC projections data'!$A$2:$A$271=CV$2)*('Old CCC projections data'!$D$2:$D$271=CV$3)*('Old CCC projections data'!$F$2:$BN$271))</f>
        <v>36911.614290734949</v>
      </c>
      <c r="CW5" s="20" cm="1">
        <f t="array" ref="CW5">SUMPRODUCT(('Old CCC projections data'!$F$1:$BN$1=$B5)*('Old CCC projections data'!$A$2:$A$271=CW$2)*('Old CCC projections data'!$D$2:$D$271=CW$3)*('Old CCC projections data'!$F$2:$BN$271))</f>
        <v>36911.614290734949</v>
      </c>
      <c r="CX5" s="20">
        <f>BN5-BM5</f>
        <v>0</v>
      </c>
      <c r="CY5" s="20" t="str">
        <f>H2</f>
        <v>Demo path - C price $100 3%</v>
      </c>
      <c r="CZ5" s="3">
        <v>2023</v>
      </c>
      <c r="DA5" s="18">
        <v>0</v>
      </c>
      <c r="DB5" s="18">
        <f ca="1">(H8+IF($DB$3&gt;0,NPV($DB$2,H9:OFFSET(H8,$DB$3,0)),0))/($DB$3+1)</f>
        <v>118.71345029239768</v>
      </c>
      <c r="DC5" s="18">
        <f ca="1">DB5-DD5</f>
        <v>18.713450292397681</v>
      </c>
      <c r="DD5" s="18">
        <v>100</v>
      </c>
      <c r="DE5" s="20">
        <f>BN8</f>
        <v>37354.602072444766</v>
      </c>
      <c r="DF5" s="20" cm="1">
        <f t="array" ref="DF5">SUMPRODUCT(($BG$2:$BM$2=CY5)*($B$5:$B$35=CZ5)*($BG$5:$BM$35))</f>
        <v>36774.391749126902</v>
      </c>
      <c r="DG5" s="20">
        <f t="shared" ref="DG5:DG36" si="16">DE5-DF5</f>
        <v>580.21032331786409</v>
      </c>
      <c r="DH5" s="20" cm="1">
        <f t="array" ref="DH5">IF(CZ5=2023,SUMPRODUCT(($B$5:$B$35=CZ5-1)*($BN$5:$BN$35))-SUMPRODUCT(($BG$2:$BM$2=CY5)*($B$5:$B$35=CZ5-1)*($BG$5:$BM$35)),DG4)</f>
        <v>153.18068764645432</v>
      </c>
      <c r="DI5" s="18">
        <f t="shared" ref="DI5:DI36" ca="1" si="17">DB5</f>
        <v>118.71345029239768</v>
      </c>
      <c r="DJ5" s="89">
        <f>LN(DG5)</f>
        <v>6.3633906642175093</v>
      </c>
      <c r="DK5" s="89">
        <f>LN(DH5)</f>
        <v>5.0316181896112999</v>
      </c>
      <c r="DL5" s="89">
        <f ca="1">LN(DI5)</f>
        <v>4.7767126085272187</v>
      </c>
      <c r="DM5" s="20">
        <f ca="1">IF($DP$1="Yes",$DT$32+IF(CZ5=2023,DH5,DM4)*$DT$33+DI5*$DT$34,$DT$88*IF(CZ5=2023,DH5,DM4)+$DT$89*DI5)</f>
        <v>315.32870513968533</v>
      </c>
      <c r="DN5" s="20">
        <f ca="1">EXP($DT$61+DK5*$DT$62+DL5*$DT$63)</f>
        <v>504.71151292180468</v>
      </c>
      <c r="DO5" s="20">
        <f ca="1">AVERAGE(DM5:DN5)</f>
        <v>410.020109030745</v>
      </c>
      <c r="DP5" s="3"/>
      <c r="DQ5" s="18">
        <v>50</v>
      </c>
      <c r="DR5">
        <f t="shared" ref="DR5:DR11" si="18">_xlfn.MINIFS($DP$5:$DP$200,$DD$5:$DD$200,DQ5,$DP$5:$DP$200,"&gt;0")</f>
        <v>0</v>
      </c>
      <c r="DS5" s="18" cm="1">
        <f t="array" aca="1" ref="DS5" ca="1">SUMPRODUCT(($DD$5:$DD$200=$DQ5)*($CZ$5:$CZ$200=$DS$3)*($DB$5:$DB$200))</f>
        <v>73.001284994517135</v>
      </c>
      <c r="DT5" s="20" cm="1">
        <f t="array" ref="DT5">SUMPRODUCT(($DD$5:$DD$200=$DQ5)*($CZ$5:$CZ$200=$DS$3)*($DG$5:$DG$200))</f>
        <v>2295.2378669115387</v>
      </c>
      <c r="DU5" s="18" cm="1">
        <f t="array" aca="1" ref="DU5" ca="1">SUMPRODUCT(($DD$5:$DD$200=$DQ5)*($CZ$5:$CZ$200=$DU$3)*($DB$5:$DB$200))</f>
        <v>84.628497084729347</v>
      </c>
      <c r="DV5" s="20" cm="1">
        <f t="array" ref="DV5">SUMPRODUCT(($DD$5:$DD$200=$DQ5)*($CZ$5:$CZ$200=$DU$3)*($DG$5:$DG$200))</f>
        <v>1423.274319530723</v>
      </c>
      <c r="DW5" s="18" cm="1">
        <f t="array" aca="1" ref="DW5" ca="1">SUMPRODUCT(($DD$5:$DD$200=$DQ5)*($CZ$5:$CZ$200=$DW$3)*($DB$5:$DB$200))</f>
        <v>131.84844097390118</v>
      </c>
      <c r="DX5" s="20" cm="1">
        <f t="array" ref="DX5">SUMPRODUCT(($DD$5:$DD$200=$DQ5)*($CZ$5:$CZ$200=$DW$3)*($DG$5:$DG$200))</f>
        <v>2974.2450417017317</v>
      </c>
    </row>
    <row r="6" spans="1:128" x14ac:dyDescent="0.25">
      <c r="B6">
        <f>B5+1</f>
        <v>2021</v>
      </c>
      <c r="C6" s="190">
        <v>55</v>
      </c>
      <c r="D6" s="18" cm="1">
        <f t="array" ref="D6">SUMPRODUCT(('Old CCC projections data'!$F$1:$BN$1=$B6)*('Old CCC projections data'!$A$2:$A$271=D$2)*('Old CCC projections data'!$D$2:$D$271=D$3)*('Old CCC projections data'!$F$2:$BN$271))*Model!$B$47</f>
        <v>41.549707602339183</v>
      </c>
      <c r="E6" s="18" cm="1">
        <f t="array" ref="E6">SUMPRODUCT(('Old CCC projections data'!$F$1:$BN$1=$B6)*('Old CCC projections data'!$A$2:$A$271=E$2)*('Old CCC projections data'!$D$2:$D$271=E$3)*('Old CCC projections data'!$F$2:$BN$271))*Model!$B$47</f>
        <v>54.971026696703426</v>
      </c>
      <c r="F6" s="18">
        <f>E6</f>
        <v>54.971026696703426</v>
      </c>
      <c r="G6" s="18">
        <f>F6</f>
        <v>54.971026696703426</v>
      </c>
      <c r="H6" s="18" cm="1">
        <f t="array" ref="H6">SUMPRODUCT(('Old CCC projections data'!$F$1:$BN$1=$B6)*('Old CCC projections data'!$A$2:$A$271=H$2)*('Old CCC projections data'!$D$2:$D$271=H$3)*('Old CCC projections data'!$F$2:$BN$271))*Model!$B$47</f>
        <v>54.971026696703426</v>
      </c>
      <c r="I6" s="18" cm="1">
        <f t="array" ref="I6">SUMPRODUCT(('Old CCC projections data'!$F$1:$BN$1=$B6)*('Old CCC projections data'!$A$2:$A$271=I$2)*('Old CCC projections data'!$D$2:$D$271=I$3)*('Old CCC projections data'!$F$2:$BN$271))*Model!$B$47</f>
        <v>54.971026696703426</v>
      </c>
      <c r="J6" s="18" cm="1">
        <f t="array" ref="J6">SUMPRODUCT(('Old CCC projections data'!$F$1:$BN$1=$B6)*('Old CCC projections data'!$A$2:$A$271=J$2)*('Old CCC projections data'!$D$2:$D$271=J$3)*('Old CCC projections data'!$F$2:$BN$271))*Model!$B$47</f>
        <v>54.971026696703426</v>
      </c>
      <c r="K6" s="18" cm="1">
        <f t="array" ref="K6">SUMPRODUCT(('Old CCC projections data'!$F$1:$BN$1=$B6)*('Old CCC projections data'!$A$2:$A$271=K$2)*('Old CCC projections data'!$D$2:$D$271=K$3)*('Old CCC projections data'!$F$2:$BN$271))*Model!$B$47</f>
        <v>54.971026696703426</v>
      </c>
      <c r="L6" s="18" cm="1">
        <f t="array" ref="L6">SUMPRODUCT(('Old CCC projections data'!$F$1:$BN$1=$B6)*('Old CCC projections data'!$A$2:$A$271=L$2)*('Old CCC projections data'!$D$2:$D$271=L$3)*('Old CCC projections data'!$F$2:$BN$271))*Model!$B$47</f>
        <v>54.971026696703426</v>
      </c>
      <c r="M6" s="18" cm="1">
        <f t="array" ref="M6">SUMPRODUCT(('Old CCC projections data'!$F$1:$BN$1=$B6)*('Old CCC projections data'!$A$2:$A$271=M$2)*('Old CCC projections data'!$D$2:$D$271=M$3)*('Old CCC projections data'!$F$2:$BN$271))*Model!$B$47</f>
        <v>54.971026696703426</v>
      </c>
      <c r="N6" s="189" cm="1">
        <f t="array" ref="N6">SUMPRODUCT(('Old CCC projections data'!$F$1:$BN$1=$B6)*('Old CCC projections data'!$A$2:$A$271=N$2)*('Old CCC projections data'!$D$2:$D$271=N$3)*('Old CCC projections data'!$F$2:$BN$271))*Model!$B$47</f>
        <v>54.971026696703426</v>
      </c>
      <c r="O6" s="18" cm="1">
        <f t="array" ref="O6">SUMPRODUCT(('Old CCC projections data'!$F$1:$BN$1=$B6)*('Old CCC projections data'!$A$2:$A$271=O$2)*('Old CCC projections data'!$D$2:$D$271=O$3)*('Old CCC projections data'!$F$2:$BN$271))*Model!$B$47</f>
        <v>54.971026696703426</v>
      </c>
      <c r="P6" s="18" cm="1">
        <f t="array" ref="P6">SUMPRODUCT(('Old CCC projections data'!$F$1:$BN$1=$B6)*('Old CCC projections data'!$A$2:$A$271=P$2)*('Old CCC projections data'!$D$2:$D$271=P$3)*('Old CCC projections data'!$F$2:$BN$271))*Model!$B$47</f>
        <v>54.971026696703426</v>
      </c>
      <c r="Q6" s="18" cm="1">
        <f t="array" ref="Q6">SUMPRODUCT(('Old CCC projections data'!$F$1:$BN$1=$B6)*('Old CCC projections data'!$A$2:$A$271=Q$2)*('Old CCC projections data'!$D$2:$D$271=Q$3)*('Old CCC projections data'!$F$2:$BN$271))*Model!$B$47</f>
        <v>54.971026696703426</v>
      </c>
      <c r="R6" s="18" cm="1">
        <f t="array" ref="R6">SUMPRODUCT(('Old CCC projections data'!$F$1:$BN$1=$B6)*('Old CCC projections data'!$A$2:$A$271=R$2)*('Old CCC projections data'!$D$2:$D$271=R$3)*('Old CCC projections data'!$F$2:$BN$271))*Model!$B$47</f>
        <v>54.971026696703426</v>
      </c>
      <c r="S6" s="18" cm="1">
        <f t="array" ref="S6">SUMPRODUCT(('Old CCC projections data'!$F$1:$BN$1=$B6)*('Old CCC projections data'!$A$2:$A$271=S$2)*('Old CCC projections data'!$D$2:$D$271=S$3)*('Old CCC projections data'!$F$2:$BN$271))*Model!$B$47</f>
        <v>54.971026696703426</v>
      </c>
      <c r="T6" s="18" cm="1">
        <f t="array" ref="T6">SUMPRODUCT(('Old CCC projections data'!$F$1:$BN$1=$B6)*('Old CCC projections data'!$A$2:$A$271=T$2)*('Old CCC projections data'!$D$2:$D$271=T$3)*('Old CCC projections data'!$F$2:$BN$271))*Model!$B$47</f>
        <v>54.971026696703426</v>
      </c>
      <c r="U6" s="18" cm="1">
        <f t="array" ref="U6">SUMPRODUCT(('Old CCC projections data'!$F$1:$BN$1=$B6)*('Old CCC projections data'!$A$2:$A$271=U$2)*('Old CCC projections data'!$D$2:$D$271=U$3)*('Old CCC projections data'!$F$2:$BN$271))*Model!$B$47</f>
        <v>54.971026696703426</v>
      </c>
      <c r="V6" s="18" cm="1">
        <f t="array" ref="V6">SUMPRODUCT(('Old CCC projections data'!$F$1:$BN$1=$B6)*('Old CCC projections data'!$A$2:$A$271=V$2)*('Old CCC projections data'!$D$2:$D$271=V$3)*('Old CCC projections data'!$F$2:$BN$271))*Model!$B$47</f>
        <v>54.971026696703426</v>
      </c>
      <c r="W6" s="18" cm="1">
        <f t="array" ref="W6">SUMPRODUCT(('Old CCC projections data'!$F$1:$BN$1=$B6)*('Old CCC projections data'!$A$2:$A$271=W$2)*('Old CCC projections data'!$D$2:$D$271=W$3)*('Old CCC projections data'!$F$2:$BN$271))*Model!$B$47</f>
        <v>54.971026696703426</v>
      </c>
      <c r="X6" s="18" cm="1">
        <f t="array" ref="X6">SUMPRODUCT(('Old CCC projections data'!$F$1:$BN$1=$B6)*('Old CCC projections data'!$A$2:$A$271=X$2)*('Old CCC projections data'!$D$2:$D$271=X$3)*('Old CCC projections data'!$F$2:$BN$271))*Model!$B$47</f>
        <v>54.971026696703426</v>
      </c>
      <c r="Y6" s="18" cm="1">
        <f t="array" ref="Y6">SUMPRODUCT(('Old CCC projections data'!$F$1:$BN$1=$B6)*('Old CCC projections data'!$A$2:$A$271=Y$2)*('Old CCC projections data'!$D$2:$D$271=Y$3)*('Old CCC projections data'!$F$2:$BN$271))*Model!$B$47</f>
        <v>54.971026696703426</v>
      </c>
      <c r="Z6" s="18" cm="1">
        <f t="array" ref="Z6">SUMPRODUCT(('Old CCC projections data'!$F$1:$BN$1=$B6)*('Old CCC projections data'!$A$2:$A$271=Z$2)*('Old CCC projections data'!$D$2:$D$271=Z$3)*('Old CCC projections data'!$F$2:$BN$271))*Model!$B$47</f>
        <v>54.971026696703426</v>
      </c>
      <c r="AA6" s="18" cm="1">
        <f t="array" ref="AA6">SUMPRODUCT(('Old CCC projections data'!$F$1:$BN$1=$B6)*('Old CCC projections data'!$A$2:$A$271=AA$2)*('Old CCC projections data'!$D$2:$D$271=AA$3)*('Old CCC projections data'!$F$2:$BN$271))*Model!$B$47</f>
        <v>54.971026696703426</v>
      </c>
      <c r="AB6" s="18" cm="1">
        <f t="array" ref="AB6">SUMPRODUCT(('Old CCC projections data'!$F$1:$BN$1=$B6)*('Old CCC projections data'!$A$2:$A$271=AB$2)*('Old CCC projections data'!$D$2:$D$271=AB$3)*('Old CCC projections data'!$F$2:$BN$271))*Model!$B$47</f>
        <v>54.971026696703426</v>
      </c>
      <c r="AC6" s="18" cm="1">
        <f t="array" ref="AC6">SUMPRODUCT(('Old CCC projections data'!$F$1:$BN$1=$B6)*('Old CCC projections data'!$A$2:$A$271=AC$2)*('Old CCC projections data'!$D$2:$D$271=AC$3)*('Old CCC projections data'!$F$2:$BN$271))*Model!$B$47</f>
        <v>54.971026696703426</v>
      </c>
      <c r="AD6" s="18" cm="1">
        <f t="array" ref="AD6">SUMPRODUCT(('Old CCC projections data'!$F$1:$BN$1=$B6)*('Old CCC projections data'!$A$2:$A$271=AD$2)*('Old CCC projections data'!$D$2:$D$271=AD$3)*('Old CCC projections data'!$F$2:$BN$271))*Model!$B$47</f>
        <v>54.971026696703426</v>
      </c>
      <c r="AE6" s="18" cm="1">
        <f t="array" ref="AE6">SUMPRODUCT(('Old CCC projections data'!$F$1:$BN$1=$B6)*('Old CCC projections data'!$A$2:$A$271=AE$2)*('Old CCC projections data'!$D$2:$D$271=AE$3)*('Old CCC projections data'!$F$2:$BN$271))*Model!$B$47</f>
        <v>54.971026696703426</v>
      </c>
      <c r="AF6" s="18" cm="1">
        <f t="array" ref="AF6">SUMPRODUCT(('Old CCC projections data'!$F$1:$BN$1=$B6)*('Old CCC projections data'!$A$2:$A$271=AF$2)*('Old CCC projections data'!$D$2:$D$271=AF$3)*('Old CCC projections data'!$F$2:$BN$271))*Model!$B$47</f>
        <v>54.971026696703426</v>
      </c>
      <c r="AG6" s="18" cm="1">
        <f t="array" ref="AG6">SUMPRODUCT(('Old CCC projections data'!$F$1:$BN$1=$B6)*('Old CCC projections data'!$A$2:$A$271=AG$2)*('Old CCC projections data'!$D$2:$D$271=AG$3)*('Old CCC projections data'!$F$2:$BN$271))*Model!$B$47</f>
        <v>54.971026696703426</v>
      </c>
      <c r="AH6" s="18" cm="1">
        <f t="array" ref="AH6">SUMPRODUCT(('Old CCC projections data'!$F$1:$BN$1=$B6)*('Old CCC projections data'!$A$2:$A$271=AH$2)*('Old CCC projections data'!$D$2:$D$271=AH$3)*('Old CCC projections data'!$F$2:$BN$271))*Model!$B$47</f>
        <v>54.971026696703426</v>
      </c>
      <c r="AI6" s="18" cm="1">
        <f t="array" ref="AI6">SUMPRODUCT(('Old CCC projections data'!$F$1:$BN$1=$B6)*('Old CCC projections data'!$A$2:$A$271=AI$2)*('Old CCC projections data'!$D$2:$D$271=AI$3)*('Old CCC projections data'!$F$2:$BN$271))*Model!$B$47</f>
        <v>54.971026696703426</v>
      </c>
      <c r="AJ6" s="18" cm="1">
        <f t="array" ref="AJ6">SUMPRODUCT(('Old CCC projections data'!$F$1:$BN$1=$B6)*('Old CCC projections data'!$A$2:$A$271=AJ$2)*('Old CCC projections data'!$D$2:$D$271=AJ$3)*('Old CCC projections data'!$F$2:$BN$271))*Model!$B$47</f>
        <v>54.971026696703426</v>
      </c>
      <c r="AK6" s="18" cm="1">
        <f t="array" ref="AK6">SUMPRODUCT(('Old CCC projections data'!$F$1:$BN$1=$B6)*('Old CCC projections data'!$A$2:$A$271=AK$2)*('Old CCC projections data'!$D$2:$D$271=AK$3)*('Old CCC projections data'!$F$2:$BN$271))*Model!$B$47</f>
        <v>54.971026696703426</v>
      </c>
      <c r="AL6" s="18" cm="1">
        <f t="array" ref="AL6">SUMPRODUCT(('Old CCC projections data'!$F$1:$BN$1=$B6)*('Old CCC projections data'!$A$2:$A$271=AL$2)*('Old CCC projections data'!$D$2:$D$271=AL$3)*('Old CCC projections data'!$F$2:$BN$271))*Model!$B$47</f>
        <v>54.971026696703426</v>
      </c>
      <c r="AM6" s="18" cm="1">
        <f t="array" ref="AM6">SUMPRODUCT(('Old CCC projections data'!$F$1:$BN$1=$B6)*('Old CCC projections data'!$A$2:$A$271=AM$2)*('Old CCC projections data'!$D$2:$D$271=AM$3)*('Old CCC projections data'!$F$2:$BN$271))*Model!$B$47</f>
        <v>54.971026696703426</v>
      </c>
      <c r="AN6" s="18" cm="1">
        <f t="array" ref="AN6">SUMPRODUCT(('Old CCC projections data'!$F$1:$BN$1=$B6)*('Old CCC projections data'!$A$2:$A$271=AN$2)*('Old CCC projections data'!$D$2:$D$271=AN$3)*('Old CCC projections data'!$F$2:$BN$271))*Model!$B$47</f>
        <v>54.971026696703426</v>
      </c>
      <c r="AO6" s="18" cm="1">
        <f t="array" ref="AO6">SUMPRODUCT(('Old CCC projections data'!$F$1:$BN$1=$B6)*('Old CCC projections data'!$A$2:$A$271=AO$2)*('Old CCC projections data'!$D$2:$D$271=AO$3)*('Old CCC projections data'!$F$2:$BN$271))*Model!$B$47</f>
        <v>54.971026696703426</v>
      </c>
      <c r="AP6" s="18" cm="1">
        <f t="array" ref="AP6">SUMPRODUCT(('Old CCC projections data'!$F$1:$BN$1=$B6)*('Old CCC projections data'!$A$2:$A$271=AP$2)*('Old CCC projections data'!$D$2:$D$271=AP$3)*('Old CCC projections data'!$F$2:$BN$271))*Model!$B$47</f>
        <v>54.971026696703426</v>
      </c>
      <c r="AQ6" s="18" cm="1">
        <f t="array" ref="AQ6">SUMPRODUCT(('Old CCC projections data'!$F$1:$BN$1=$B6)*('Old CCC projections data'!$A$2:$A$271=AQ$2)*('Old CCC projections data'!$D$2:$D$271=AQ$3)*('Old CCC projections data'!$F$2:$BN$271))*Model!$B$47</f>
        <v>54.971026696703426</v>
      </c>
      <c r="AR6" s="18" cm="1">
        <f t="array" ref="AR6">SUMPRODUCT(('Old CCC projections data'!$F$1:$BN$1=$B6)*('Old CCC projections data'!$A$2:$A$271=AR$2)*('Old CCC projections data'!$D$2:$D$271=AR$3)*('Old CCC projections data'!$F$2:$BN$271))*Model!$B$47</f>
        <v>54.971026696703426</v>
      </c>
      <c r="AS6" s="18" cm="1">
        <f t="array" ref="AS6">SUMPRODUCT(('Old CCC projections data'!$F$1:$BN$1=$B6)*('Old CCC projections data'!$A$2:$A$271=AS$2)*('Old CCC projections data'!$D$2:$D$271=AS$3)*('Old CCC projections data'!$F$2:$BN$271))*Model!$B$47</f>
        <v>54.971026696703426</v>
      </c>
      <c r="AT6" s="18" cm="1">
        <f t="array" ref="AT6">SUMPRODUCT(('Old CCC projections data'!$F$1:$BN$1=$B6)*('Old CCC projections data'!$A$2:$A$271=AT$2)*('Old CCC projections data'!$D$2:$D$271=AT$3)*('Old CCC projections data'!$F$2:$BN$271))*Model!$B$47</f>
        <v>54.971026696703426</v>
      </c>
      <c r="AU6" s="18" cm="1">
        <f t="array" ref="AU6">SUMPRODUCT(('Old CCC projections data'!$F$1:$BN$1=$B6)*('Old CCC projections data'!$A$2:$A$271=AU$2)*('Old CCC projections data'!$D$2:$D$271=AU$3)*('Old CCC projections data'!$F$2:$BN$271))*Model!$B$47</f>
        <v>54.971026696703426</v>
      </c>
      <c r="AV6" s="18" cm="1">
        <f t="array" ref="AV6">SUMPRODUCT(('Old CCC projections data'!$F$1:$BN$1=$B6)*('Old CCC projections data'!$A$2:$A$271=AV$2)*('Old CCC projections data'!$D$2:$D$271=AV$3)*('Old CCC projections data'!$F$2:$BN$271))*Model!$B$47</f>
        <v>54.971026696703426</v>
      </c>
      <c r="AW6" s="18" cm="1">
        <f t="array" ref="AW6">SUMPRODUCT(('Old CCC projections data'!$F$1:$BN$1=$B6)*('Old CCC projections data'!$A$2:$A$271=AW$2)*('Old CCC projections data'!$D$2:$D$271=AW$3)*('Old CCC projections data'!$F$2:$BN$271))*Model!$B$47</f>
        <v>54.971026696703426</v>
      </c>
      <c r="AX6" s="18" cm="1">
        <f t="array" ref="AX6">SUMPRODUCT(('Old CCC projections data'!$F$1:$BN$1=$B6)*('Old CCC projections data'!$A$2:$A$271=AX$2)*('Old CCC projections data'!$D$2:$D$271=AX$3)*('Old CCC projections data'!$F$2:$BN$271))*Model!$B$47</f>
        <v>54.971026696703426</v>
      </c>
      <c r="AY6" s="18">
        <v>54.971026696703426</v>
      </c>
      <c r="AZ6" s="18">
        <v>54.971026696703426</v>
      </c>
      <c r="BA6" s="18">
        <v>54.971026696703426</v>
      </c>
      <c r="BB6" s="20">
        <f>BM6</f>
        <v>38466.436975017779</v>
      </c>
      <c r="BC6" s="20" cm="1">
        <f t="array" ref="BC6">SUMPRODUCT(('Old CCC projections data'!$F$1:$BN$1=$B6)*('Old CCC projections data'!$A$2:$A$271=BC$2)*('Old CCC projections data'!$D$2:$D$271=BC$3)*('Old CCC projections data'!$F$2:$BN$271))</f>
        <v>38622.246872743861</v>
      </c>
      <c r="BD6" s="20" cm="1">
        <f t="array" ref="BD6">SUMPRODUCT(('Old CCC projections data'!$F$1:$BN$1=$B6)*('Old CCC projections data'!$A$2:$A$271=BD$2)*('Old CCC projections data'!$D$2:$D$271=BD$3)*('Old CCC projections data'!$F$2:$BN$271))</f>
        <v>38608.138350594621</v>
      </c>
      <c r="BE6" s="20">
        <f>BD6</f>
        <v>38608.138350594621</v>
      </c>
      <c r="BF6" s="20">
        <f>BE6</f>
        <v>38608.138350594621</v>
      </c>
      <c r="BG6" s="20" cm="1">
        <f t="array" ref="BG6">SUMPRODUCT(('Old CCC projections data'!$F$1:$BN$1=$B6)*('Old CCC projections data'!$A$2:$A$271=BG$2)*('Old CCC projections data'!$D$2:$D$271=BG$3)*('Old CCC projections data'!$F$2:$BN$271))</f>
        <v>38466.436975017779</v>
      </c>
      <c r="BH6" s="20" cm="1">
        <f t="array" ref="BH6">SUMPRODUCT(('Old CCC projections data'!$F$1:$BN$1=$B6)*('Old CCC projections data'!$A$2:$A$271=BH$2)*('Old CCC projections data'!$D$2:$D$271=BH$3)*('Old CCC projections data'!$F$2:$BN$271))</f>
        <v>38466.436975017779</v>
      </c>
      <c r="BI6" s="20" cm="1">
        <f t="array" ref="BI6">SUMPRODUCT(('Old CCC projections data'!$F$1:$BN$1=$B6)*('Old CCC projections data'!$A$2:$A$271=BI$2)*('Old CCC projections data'!$D$2:$D$271=BI$3)*('Old CCC projections data'!$F$2:$BN$271))</f>
        <v>38466.436975017779</v>
      </c>
      <c r="BJ6" s="20" cm="1">
        <f t="array" ref="BJ6">SUMPRODUCT(('Old CCC projections data'!$F$1:$BN$1=$B6)*('Old CCC projections data'!$A$2:$A$271=BJ$2)*('Old CCC projections data'!$D$2:$D$271=BJ$3)*('Old CCC projections data'!$F$2:$BN$271))</f>
        <v>38466.436975017779</v>
      </c>
      <c r="BK6" s="20" cm="1">
        <f t="array" ref="BK6">SUMPRODUCT(('Old CCC projections data'!$F$1:$BN$1=$B6)*('Old CCC projections data'!$A$2:$A$271=BK$2)*('Old CCC projections data'!$D$2:$D$271=BK$3)*('Old CCC projections data'!$F$2:$BN$271))</f>
        <v>38466.436975017779</v>
      </c>
      <c r="BL6" s="20" cm="1">
        <f t="array" ref="BL6">SUMPRODUCT(('Old CCC projections data'!$F$1:$BN$1=$B6)*('Old CCC projections data'!$A$2:$A$271=BL$2)*('Old CCC projections data'!$D$2:$D$271=BL$3)*('Old CCC projections data'!$F$2:$BN$271))</f>
        <v>38466.436975017779</v>
      </c>
      <c r="BM6" s="20" cm="1">
        <f t="array" ref="BM6">SUMPRODUCT(('Old CCC projections data'!$F$1:$BN$1=$B6)*('Old CCC projections data'!$A$2:$A$271=BM$2)*('Old CCC projections data'!$D$2:$D$271=BM$3)*('Old CCC projections data'!$F$2:$BN$271))</f>
        <v>38466.436975017779</v>
      </c>
      <c r="BN6" s="20" cm="1">
        <f t="array" ref="BN6">SUMPRODUCT(('Old CCC projections data'!$F$1:$BN$1=$B6)*('Old CCC projections data'!$A$2:$A$271=BN$2)*('Old CCC projections data'!$D$2:$D$271=BN$3)*('Old CCC projections data'!$F$2:$BN$271))</f>
        <v>38521.959707184818</v>
      </c>
      <c r="BO6" s="20" cm="1">
        <f t="array" ref="BO6">SUMPRODUCT(('Old CCC projections data'!$F$1:$BN$1=$B6)*('Old CCC projections data'!$A$2:$A$271=BO$2)*('Old CCC projections data'!$D$2:$D$271=BO$3)*('Old CCC projections data'!$F$2:$BN$271))</f>
        <v>38606.964987642532</v>
      </c>
      <c r="BP6" s="20" cm="1">
        <f t="array" ref="BP6">SUMPRODUCT(('Old CCC projections data'!$F$1:$BN$1=$B6)*('Old CCC projections data'!$A$2:$A$271=BP$2)*('Old CCC projections data'!$D$2:$D$271=BP$3)*('Old CCC projections data'!$F$2:$BN$271))</f>
        <v>38604.542843281895</v>
      </c>
      <c r="BQ6" s="20" cm="1">
        <f t="array" ref="BQ6">SUMPRODUCT(('Old CCC projections data'!$F$1:$BN$1=$B6)*('Old CCC projections data'!$A$2:$A$271=BQ$2)*('Old CCC projections data'!$D$2:$D$271=BQ$3)*('Old CCC projections data'!$F$2:$BN$271))</f>
        <v>38604.542843281895</v>
      </c>
      <c r="BR6" s="20" cm="1">
        <f t="array" ref="BR6">SUMPRODUCT(('Old CCC projections data'!$F$1:$BN$1=$B6)*('Old CCC projections data'!$A$2:$A$271=BR$2)*('Old CCC projections data'!$D$2:$D$271=BR$3)*('Old CCC projections data'!$F$2:$BN$271))</f>
        <v>38604.542843281895</v>
      </c>
      <c r="BS6" s="20" cm="1">
        <f t="array" ref="BS6">SUMPRODUCT(('Old CCC projections data'!$F$1:$BN$1=$B6)*('Old CCC projections data'!$A$2:$A$271=BS$2)*('Old CCC projections data'!$D$2:$D$271=BS$3)*('Old CCC projections data'!$F$2:$BN$271))</f>
        <v>38604.542843281895</v>
      </c>
      <c r="BT6" s="20" cm="1">
        <f t="array" ref="BT6">SUMPRODUCT(('Old CCC projections data'!$F$1:$BN$1=$B6)*('Old CCC projections data'!$A$2:$A$271=BT$2)*('Old CCC projections data'!$D$2:$D$271=BT$3)*('Old CCC projections data'!$F$2:$BN$271))</f>
        <v>38622.293148684505</v>
      </c>
      <c r="BU6" s="20" cm="1">
        <f t="array" ref="BU6">SUMPRODUCT(('Old CCC projections data'!$F$1:$BN$1=$B6)*('Old CCC projections data'!$A$2:$A$271=BU$2)*('Old CCC projections data'!$D$2:$D$271=BU$3)*('Old CCC projections data'!$F$2:$BN$271))</f>
        <v>38607.681254045776</v>
      </c>
      <c r="BV6" s="20" cm="1">
        <f t="array" ref="BV6">SUMPRODUCT(('Old CCC projections data'!$F$1:$BN$1=$B6)*('Old CCC projections data'!$A$2:$A$271=BV$2)*('Old CCC projections data'!$D$2:$D$271=BV$3)*('Old CCC projections data'!$F$2:$BN$271))</f>
        <v>38639.907908313493</v>
      </c>
      <c r="BW6" s="20" cm="1">
        <f t="array" ref="BW6">SUMPRODUCT(('Old CCC projections data'!$F$1:$BN$1=$B6)*('Old CCC projections data'!$A$2:$A$271=BW$2)*('Old CCC projections data'!$D$2:$D$271=BW$3)*('Old CCC projections data'!$F$2:$BN$271))</f>
        <v>38349.911210874074</v>
      </c>
      <c r="BX6" s="20" cm="1">
        <f t="array" ref="BX6">SUMPRODUCT(('Old CCC projections data'!$F$1:$BN$1=$B6)*('Old CCC projections data'!$A$2:$A$271=BX$2)*('Old CCC projections data'!$D$2:$D$271=BX$3)*('Old CCC projections data'!$F$2:$BN$271))</f>
        <v>38349.911210874074</v>
      </c>
      <c r="BY6" s="20" cm="1">
        <f t="array" ref="BY6">SUMPRODUCT(('Old CCC projections data'!$F$1:$BN$1=$B6)*('Old CCC projections data'!$A$2:$A$271=BY$2)*('Old CCC projections data'!$D$2:$D$271=BY$3)*('Old CCC projections data'!$F$2:$BN$271))</f>
        <v>38349.911210874074</v>
      </c>
      <c r="BZ6" s="20" cm="1">
        <f t="array" ref="BZ6">SUMPRODUCT(('Old CCC projections data'!$F$1:$BN$1=$B6)*('Old CCC projections data'!$A$2:$A$271=BZ$2)*('Old CCC projections data'!$D$2:$D$271=BZ$3)*('Old CCC projections data'!$F$2:$BN$271))</f>
        <v>38349.911210874074</v>
      </c>
      <c r="CA6" s="20" cm="1">
        <f t="array" ref="CA6">SUMPRODUCT(('Old CCC projections data'!$F$1:$BN$1=$B6)*('Old CCC projections data'!$A$2:$A$271=CA$2)*('Old CCC projections data'!$D$2:$D$271=CA$3)*('Old CCC projections data'!$F$2:$BN$271))</f>
        <v>38349.911210874074</v>
      </c>
      <c r="CB6" s="20" cm="1">
        <f t="array" ref="CB6">SUMPRODUCT(('Old CCC projections data'!$F$1:$BN$1=$B6)*('Old CCC projections data'!$A$2:$A$271=CB$2)*('Old CCC projections data'!$D$2:$D$271=CB$3)*('Old CCC projections data'!$F$2:$BN$271))</f>
        <v>38349.911210874074</v>
      </c>
      <c r="CC6" s="20" cm="1">
        <f t="array" ref="CC6">SUMPRODUCT(('Old CCC projections data'!$F$1:$BN$1=$B6)*('Old CCC projections data'!$A$2:$A$271=CC$2)*('Old CCC projections data'!$D$2:$D$271=CC$3)*('Old CCC projections data'!$F$2:$BN$271))</f>
        <v>38349.911210874074</v>
      </c>
      <c r="CD6" s="20" cm="1">
        <f t="array" ref="CD6">SUMPRODUCT(('Old CCC projections data'!$F$1:$BN$1=$B6)*('Old CCC projections data'!$A$2:$A$271=CD$2)*('Old CCC projections data'!$D$2:$D$271=CD$3)*('Old CCC projections data'!$F$2:$BN$271))</f>
        <v>38349.911210874074</v>
      </c>
      <c r="CE6" s="20" cm="1">
        <f t="array" ref="CE6">SUMPRODUCT(('Old CCC projections data'!$F$1:$BN$1=$B6)*('Old CCC projections data'!$A$2:$A$271=CE$2)*('Old CCC projections data'!$D$2:$D$271=CE$3)*('Old CCC projections data'!$F$2:$BN$271))</f>
        <v>38350.92059622184</v>
      </c>
      <c r="CF6" s="20" cm="1">
        <f t="array" ref="CF6">SUMPRODUCT(('Old CCC projections data'!$F$1:$BN$1=$B6)*('Old CCC projections data'!$A$2:$A$271=CF$2)*('Old CCC projections data'!$D$2:$D$271=CF$3)*('Old CCC projections data'!$F$2:$BN$271))</f>
        <v>38532.141411951452</v>
      </c>
      <c r="CG6" s="20" cm="1">
        <f t="array" ref="CG6">SUMPRODUCT(('Old CCC projections data'!$F$1:$BN$1=$B6)*('Old CCC projections data'!$A$2:$A$271=CG$2)*('Old CCC projections data'!$D$2:$D$271=CG$3)*('Old CCC projections data'!$F$2:$BN$271))</f>
        <v>38532.141411951452</v>
      </c>
      <c r="CH6" s="20" cm="1">
        <f t="array" ref="CH6">SUMPRODUCT(('Old CCC projections data'!$F$1:$BN$1=$B6)*('Old CCC projections data'!$A$2:$A$271=CH$2)*('Old CCC projections data'!$D$2:$D$271=CH$3)*('Old CCC projections data'!$F$2:$BN$271))</f>
        <v>38532.141411951452</v>
      </c>
      <c r="CI6" s="20" cm="1">
        <f t="array" ref="CI6">SUMPRODUCT(('Old CCC projections data'!$F$1:$BN$1=$B6)*('Old CCC projections data'!$A$2:$A$271=CI$2)*('Old CCC projections data'!$D$2:$D$271=CI$3)*('Old CCC projections data'!$F$2:$BN$271))</f>
        <v>38532.141411951452</v>
      </c>
      <c r="CJ6" s="20" cm="1">
        <f t="array" ref="CJ6">SUMPRODUCT(('Old CCC projections data'!$F$1:$BN$1=$B6)*('Old CCC projections data'!$A$2:$A$271=CJ$2)*('Old CCC projections data'!$D$2:$D$271=CJ$3)*('Old CCC projections data'!$F$2:$BN$271))</f>
        <v>38532.141411951452</v>
      </c>
      <c r="CK6" s="20" cm="1">
        <f t="array" ref="CK6">SUMPRODUCT(('Old CCC projections data'!$F$1:$BN$1=$B6)*('Old CCC projections data'!$A$2:$A$271=CK$2)*('Old CCC projections data'!$D$2:$D$271=CK$3)*('Old CCC projections data'!$F$2:$BN$271))</f>
        <v>38532.141411951452</v>
      </c>
      <c r="CL6" s="20" cm="1">
        <f t="array" ref="CL6">SUMPRODUCT(('Old CCC projections data'!$F$1:$BN$1=$B6)*('Old CCC projections data'!$A$2:$A$271=CL$2)*('Old CCC projections data'!$D$2:$D$271=CL$3)*('Old CCC projections data'!$F$2:$BN$271))</f>
        <v>38532.141411951452</v>
      </c>
      <c r="CM6" s="20" cm="1">
        <f t="array" ref="CM6">SUMPRODUCT(('Old CCC projections data'!$F$1:$BN$1=$B6)*('Old CCC projections data'!$A$2:$A$271=CM$2)*('Old CCC projections data'!$D$2:$D$271=CM$3)*('Old CCC projections data'!$F$2:$BN$271))</f>
        <v>38532.141411951452</v>
      </c>
      <c r="CN6" s="20" cm="1">
        <f t="array" ref="CN6">SUMPRODUCT(('Old CCC projections data'!$F$1:$BN$1=$B6)*('Old CCC projections data'!$A$2:$A$271=CN$2)*('Old CCC projections data'!$D$2:$D$271=CN$3)*('Old CCC projections data'!$F$2:$BN$271))</f>
        <v>38563.334611558996</v>
      </c>
      <c r="CO6" s="20" cm="1">
        <f t="array" ref="CO6">SUMPRODUCT(('Old CCC projections data'!$F$1:$BN$1=$B6)*('Old CCC projections data'!$A$2:$A$271=CO$2)*('Old CCC projections data'!$D$2:$D$271=CO$3)*('Old CCC projections data'!$F$2:$BN$271))</f>
        <v>38241.286789108599</v>
      </c>
      <c r="CP6" s="20" cm="1">
        <f t="array" ref="CP6">SUMPRODUCT(('Old CCC projections data'!$F$1:$BN$1=$B6)*('Old CCC projections data'!$A$2:$A$271=CP$2)*('Old CCC projections data'!$D$2:$D$271=CP$3)*('Old CCC projections data'!$F$2:$BN$271))</f>
        <v>38241.286789108599</v>
      </c>
      <c r="CQ6" s="20" cm="1">
        <f t="array" ref="CQ6">SUMPRODUCT(('Old CCC projections data'!$F$1:$BN$1=$B6)*('Old CCC projections data'!$A$2:$A$271=CQ$2)*('Old CCC projections data'!$D$2:$D$271=CQ$3)*('Old CCC projections data'!$F$2:$BN$271))</f>
        <v>38241.286789108599</v>
      </c>
      <c r="CR6" s="20" cm="1">
        <f t="array" ref="CR6">SUMPRODUCT(('Old CCC projections data'!$F$1:$BN$1=$B6)*('Old CCC projections data'!$A$2:$A$271=CR$2)*('Old CCC projections data'!$D$2:$D$271=CR$3)*('Old CCC projections data'!$F$2:$BN$271))</f>
        <v>38241.286789108599</v>
      </c>
      <c r="CS6" s="20" cm="1">
        <f t="array" ref="CS6">SUMPRODUCT(('Old CCC projections data'!$F$1:$BN$1=$B6)*('Old CCC projections data'!$A$2:$A$271=CS$2)*('Old CCC projections data'!$D$2:$D$271=CS$3)*('Old CCC projections data'!$F$2:$BN$271))</f>
        <v>38241.286789108599</v>
      </c>
      <c r="CT6" s="20" cm="1">
        <f t="array" ref="CT6">SUMPRODUCT(('Old CCC projections data'!$F$1:$BN$1=$B6)*('Old CCC projections data'!$A$2:$A$271=CT$2)*('Old CCC projections data'!$D$2:$D$271=CT$3)*('Old CCC projections data'!$F$2:$BN$271))</f>
        <v>38241.286789108599</v>
      </c>
      <c r="CU6" s="20" cm="1">
        <f t="array" ref="CU6">SUMPRODUCT(('Old CCC projections data'!$F$1:$BN$1=$B6)*('Old CCC projections data'!$A$2:$A$271=CU$2)*('Old CCC projections data'!$D$2:$D$271=CU$3)*('Old CCC projections data'!$F$2:$BN$271))</f>
        <v>38241.286789108599</v>
      </c>
      <c r="CV6" s="20" cm="1">
        <f t="array" ref="CV6">SUMPRODUCT(('Old CCC projections data'!$F$1:$BN$1=$B6)*('Old CCC projections data'!$A$2:$A$271=CV$2)*('Old CCC projections data'!$D$2:$D$271=CV$3)*('Old CCC projections data'!$F$2:$BN$271))</f>
        <v>38241.286789108599</v>
      </c>
      <c r="CW6" s="20" cm="1">
        <f t="array" ref="CW6">SUMPRODUCT(('Old CCC projections data'!$F$1:$BN$1=$B6)*('Old CCC projections data'!$A$2:$A$271=CW$2)*('Old CCC projections data'!$D$2:$D$271=CW$3)*('Old CCC projections data'!$F$2:$BN$271))</f>
        <v>38296.809521275645</v>
      </c>
      <c r="CX6" s="20">
        <f t="shared" ref="CX6:CX35" si="19">BN6-BM6</f>
        <v>55.522732167039067</v>
      </c>
      <c r="CY6" s="20" t="str">
        <f>CY5</f>
        <v>Demo path - C price $100 3%</v>
      </c>
      <c r="CZ6" s="3">
        <f>CZ5+1</f>
        <v>2024</v>
      </c>
      <c r="DA6" s="18">
        <f>DA5</f>
        <v>0</v>
      </c>
      <c r="DB6" s="18">
        <f ca="1">(H9+IF($DB$3&gt;0,NPV($DB$2,H10:OFFSET(H9,$DB$3,0)),0))/($DB$3+1)</f>
        <v>122.27485380116958</v>
      </c>
      <c r="DC6" s="18">
        <f t="shared" ref="DC6:DC69" ca="1" si="20">DB6-DD6</f>
        <v>22.274853801169584</v>
      </c>
      <c r="DD6" s="18">
        <f>DD5</f>
        <v>100</v>
      </c>
      <c r="DE6" s="20">
        <f t="shared" ref="DE6:DE32" si="21">BN9</f>
        <v>36520.25063854071</v>
      </c>
      <c r="DF6" s="20" cm="1">
        <f t="array" ref="DF6">SUMPRODUCT(($BG$2:$BM$2=CY6)*($B$5:$B$35=CZ6)*($BG$5:$BM$35))</f>
        <v>35613.664645981939</v>
      </c>
      <c r="DG6" s="20">
        <f t="shared" si="16"/>
        <v>906.58599255877198</v>
      </c>
      <c r="DH6" s="20" cm="1">
        <f t="array" ref="DH6">IF(CZ6=2023,SUMPRODUCT(($B$5:$B$35=CZ6-1)*($BN$5:$BN$35))-SUMPRODUCT(($BG$2:$BM$2=CY6)*($B$5:$B$35=CZ6-1)*($BG$5:$BM$35)),DG5)</f>
        <v>580.21032331786409</v>
      </c>
      <c r="DI6" s="18">
        <f t="shared" ca="1" si="17"/>
        <v>122.27485380116958</v>
      </c>
      <c r="DJ6" s="89">
        <f t="shared" ref="DJ6:DJ37" si="22">LN(DG6)</f>
        <v>6.8096858878676132</v>
      </c>
      <c r="DK6" s="89">
        <f t="shared" ref="DK6:DK69" si="23">LN(DH6)</f>
        <v>6.3633906642175093</v>
      </c>
      <c r="DL6" s="89">
        <f t="shared" ref="DL6:DL69" ca="1" si="24">LN(DI6)</f>
        <v>4.8062714107687636</v>
      </c>
      <c r="DM6" s="20">
        <f t="shared" ref="DM6:DM69" ca="1" si="25">IF($DP$1="Yes",$DT$32+IF(CZ6=2023,DH6,DM5)*$DT$33+DI6*$DT$34,$DT$88*IF(CZ6=2023,DH6,DM5)+$DT$89*DI6)</f>
        <v>472.91565135253995</v>
      </c>
      <c r="DN6" s="20">
        <f t="shared" ref="DN6:DN37" ca="1" si="26">EXP($DT$61+IF(CZ6=2023,DK6,LN(DN5))*$DT$62+DL6*$DT$63)</f>
        <v>1052.0888397006315</v>
      </c>
      <c r="DO6" s="20">
        <f t="shared" ref="DO6:DO69" ca="1" si="27">AVERAGE(DM6:DN6)</f>
        <v>762.50224552658574</v>
      </c>
      <c r="DP6" s="113"/>
      <c r="DQ6" s="18">
        <v>100</v>
      </c>
      <c r="DR6">
        <f t="shared" si="18"/>
        <v>0</v>
      </c>
      <c r="DS6" s="18" cm="1">
        <f t="array" aca="1" ref="DS6" ca="1">SUMPRODUCT(($DD$5:$DD$200=DQ6)*($CZ$5:$CZ$200=$DS$3)*($DB$5:$DB$200))</f>
        <v>146.00256998903427</v>
      </c>
      <c r="DT6" s="20" cm="1">
        <f t="array" ref="DT6">SUMPRODUCT(($DD$5:$DD$200=$DQ6)*($CZ$5:$CZ$200=$DS$3)*($DG$5:$DG$200))</f>
        <v>3712.1132365735393</v>
      </c>
      <c r="DU6" s="18" cm="1">
        <f t="array" aca="1" ref="DU6" ca="1">SUMPRODUCT(($DD$5:$DD$200=$DQ6)*($CZ$5:$CZ$200=$DU$3)*($DB$5:$DB$200))</f>
        <v>169.25699416945869</v>
      </c>
      <c r="DV6" s="20" cm="1">
        <f t="array" ref="DV6">SUMPRODUCT(($DD$5:$DD$200=$DQ6)*($CZ$5:$CZ$200=$DU$3)*($DG$5:$DG$200))</f>
        <v>3321.3593459939366</v>
      </c>
      <c r="DW6" s="18" cm="1">
        <f t="array" aca="1" ref="DW6" ca="1">SUMPRODUCT(($DD$5:$DD$200=$DQ6)*($CZ$5:$CZ$200=$DW$3)*($DB$5:$DB$200))</f>
        <v>23.972443813436573</v>
      </c>
      <c r="DX6" s="20" cm="1">
        <f t="array" ref="DX6">SUMPRODUCT(($DD$5:$DD$200=$DQ6)*($CZ$5:$CZ$200=$DW$3)*($DG$5:$DG$200))</f>
        <v>4773.4709044757619</v>
      </c>
    </row>
    <row r="7" spans="1:128" s="115" customFormat="1" x14ac:dyDescent="0.25">
      <c r="B7" s="8">
        <f t="shared" ref="B7:B35" si="28">B6+1</f>
        <v>2022</v>
      </c>
      <c r="C7" s="190">
        <f>Model!B22</f>
        <v>84.15</v>
      </c>
      <c r="D7" s="166" cm="1">
        <f t="array" ref="D7">SUMPRODUCT(('Old CCC projections data'!$F$1:$BN$1=$B7)*('Old CCC projections data'!$A$2:$A$271=D$2)*('Old CCC projections data'!$D$2:$D$271=D$3)*('Old CCC projections data'!$F$2:$BN$271))*Model!$B$47</f>
        <v>41.549707602339183</v>
      </c>
      <c r="E7" s="166" cm="1">
        <f t="array" ref="E7">SUMPRODUCT(('Old CCC projections data'!$F$1:$BN$1=$B7)*('Old CCC projections data'!$A$2:$A$271=E$2)*('Old CCC projections data'!$D$2:$D$271=E$3)*('Old CCC projections data'!$F$2:$BN$271))*Model!$B$47</f>
        <v>82.739190397305777</v>
      </c>
      <c r="F7" s="167"/>
      <c r="G7" s="167"/>
      <c r="H7" s="167" cm="1">
        <f t="array" ref="H7">SUMPRODUCT(('Old CCC projections data'!$F$1:$BN$1=$B7)*('Old CCC projections data'!$A$2:$A$271=H$2)*('Old CCC projections data'!$D$2:$D$271=H$3)*('Old CCC projections data'!$F$2:$BN$271))*Model!$B$47</f>
        <v>82.739190397305777</v>
      </c>
      <c r="I7" s="167" cm="1">
        <f t="array" ref="I7">SUMPRODUCT(('Old CCC projections data'!$F$1:$BN$1=$B7)*('Old CCC projections data'!$A$2:$A$271=I$2)*('Old CCC projections data'!$D$2:$D$271=I$3)*('Old CCC projections data'!$F$2:$BN$271))*Model!$B$47</f>
        <v>82.739190397305777</v>
      </c>
      <c r="J7" s="167" cm="1">
        <f t="array" ref="J7">SUMPRODUCT(('Old CCC projections data'!$F$1:$BN$1=$B7)*('Old CCC projections data'!$A$2:$A$271=J$2)*('Old CCC projections data'!$D$2:$D$271=J$3)*('Old CCC projections data'!$F$2:$BN$271))*Model!$B$47</f>
        <v>82.739190397305777</v>
      </c>
      <c r="K7" s="167" cm="1">
        <f t="array" ref="K7">SUMPRODUCT(('Old CCC projections data'!$F$1:$BN$1=$B7)*('Old CCC projections data'!$A$2:$A$271=K$2)*('Old CCC projections data'!$D$2:$D$271=K$3)*('Old CCC projections data'!$F$2:$BN$271))*Model!$B$47</f>
        <v>82.739190397305777</v>
      </c>
      <c r="L7" s="167" cm="1">
        <f t="array" ref="L7">SUMPRODUCT(('Old CCC projections data'!$F$1:$BN$1=$B7)*('Old CCC projections data'!$A$2:$A$271=L$2)*('Old CCC projections data'!$D$2:$D$271=L$3)*('Old CCC projections data'!$F$2:$BN$271))*Model!$B$47</f>
        <v>82.739190397305777</v>
      </c>
      <c r="M7" s="167" cm="1">
        <f t="array" ref="M7">SUMPRODUCT(('Old CCC projections data'!$F$1:$BN$1=$B7)*('Old CCC projections data'!$A$2:$A$271=M$2)*('Old CCC projections data'!$D$2:$D$271=M$3)*('Old CCC projections data'!$F$2:$BN$271))*Model!$B$47</f>
        <v>82.739190397305777</v>
      </c>
      <c r="N7" s="189" cm="1">
        <f t="array" ref="N7">SUMPRODUCT(('Old CCC projections data'!$F$1:$BN$1=$B7)*('Old CCC projections data'!$A$2:$A$271=N$2)*('Old CCC projections data'!$D$2:$D$271=N$3)*('Old CCC projections data'!$F$2:$BN$271))*Model!$B$47</f>
        <v>82.739190397305777</v>
      </c>
      <c r="O7" s="167" cm="1">
        <f t="array" ref="O7">SUMPRODUCT(('Old CCC projections data'!$F$1:$BN$1=$B7)*('Old CCC projections data'!$A$2:$A$271=O$2)*('Old CCC projections data'!$D$2:$D$271=O$3)*('Old CCC projections data'!$F$2:$BN$271))*Model!$B$47</f>
        <v>82.739190397305777</v>
      </c>
      <c r="P7" s="167" cm="1">
        <f t="array" ref="P7">SUMPRODUCT(('Old CCC projections data'!$F$1:$BN$1=$B7)*('Old CCC projections data'!$A$2:$A$271=P$2)*('Old CCC projections data'!$D$2:$D$271=P$3)*('Old CCC projections data'!$F$2:$BN$271))*Model!$B$47</f>
        <v>82.739190397305777</v>
      </c>
      <c r="Q7" s="167" cm="1">
        <f t="array" ref="Q7">SUMPRODUCT(('Old CCC projections data'!$F$1:$BN$1=$B7)*('Old CCC projections data'!$A$2:$A$271=Q$2)*('Old CCC projections data'!$D$2:$D$271=Q$3)*('Old CCC projections data'!$F$2:$BN$271))*Model!$B$47</f>
        <v>82.739190397305777</v>
      </c>
      <c r="R7" s="167" cm="1">
        <f t="array" ref="R7">SUMPRODUCT(('Old CCC projections data'!$F$1:$BN$1=$B7)*('Old CCC projections data'!$A$2:$A$271=R$2)*('Old CCC projections data'!$D$2:$D$271=R$3)*('Old CCC projections data'!$F$2:$BN$271))*Model!$B$47</f>
        <v>82.739190397305777</v>
      </c>
      <c r="S7" s="167" cm="1">
        <f t="array" ref="S7">SUMPRODUCT(('Old CCC projections data'!$F$1:$BN$1=$B7)*('Old CCC projections data'!$A$2:$A$271=S$2)*('Old CCC projections data'!$D$2:$D$271=S$3)*('Old CCC projections data'!$F$2:$BN$271))*Model!$B$47</f>
        <v>82.739190397305777</v>
      </c>
      <c r="T7" s="167" cm="1">
        <f t="array" ref="T7">SUMPRODUCT(('Old CCC projections data'!$F$1:$BN$1=$B7)*('Old CCC projections data'!$A$2:$A$271=T$2)*('Old CCC projections data'!$D$2:$D$271=T$3)*('Old CCC projections data'!$F$2:$BN$271))*Model!$B$47</f>
        <v>82.739190397305777</v>
      </c>
      <c r="U7" s="167" cm="1">
        <f t="array" ref="U7">SUMPRODUCT(('Old CCC projections data'!$F$1:$BN$1=$B7)*('Old CCC projections data'!$A$2:$A$271=U$2)*('Old CCC projections data'!$D$2:$D$271=U$3)*('Old CCC projections data'!$F$2:$BN$271))*Model!$B$47</f>
        <v>82.739190397305777</v>
      </c>
      <c r="V7" s="167" cm="1">
        <f t="array" ref="V7">SUMPRODUCT(('Old CCC projections data'!$F$1:$BN$1=$B7)*('Old CCC projections data'!$A$2:$A$271=V$2)*('Old CCC projections data'!$D$2:$D$271=V$3)*('Old CCC projections data'!$F$2:$BN$271))*Model!$B$47</f>
        <v>82.739190397305777</v>
      </c>
      <c r="W7" s="167" cm="1">
        <f t="array" ref="W7">SUMPRODUCT(('Old CCC projections data'!$F$1:$BN$1=$B7)*('Old CCC projections data'!$A$2:$A$271=W$2)*('Old CCC projections data'!$D$2:$D$271=W$3)*('Old CCC projections data'!$F$2:$BN$271))*Model!$B$47</f>
        <v>82.739190397305777</v>
      </c>
      <c r="X7" s="167" cm="1">
        <f t="array" ref="X7">SUMPRODUCT(('Old CCC projections data'!$F$1:$BN$1=$B7)*('Old CCC projections data'!$A$2:$A$271=X$2)*('Old CCC projections data'!$D$2:$D$271=X$3)*('Old CCC projections data'!$F$2:$BN$271))*Model!$B$47</f>
        <v>82.739190397305777</v>
      </c>
      <c r="Y7" s="167" cm="1">
        <f t="array" ref="Y7">SUMPRODUCT(('Old CCC projections data'!$F$1:$BN$1=$B7)*('Old CCC projections data'!$A$2:$A$271=Y$2)*('Old CCC projections data'!$D$2:$D$271=Y$3)*('Old CCC projections data'!$F$2:$BN$271))*Model!$B$47</f>
        <v>82.739190397305777</v>
      </c>
      <c r="Z7" s="167" cm="1">
        <f t="array" ref="Z7">SUMPRODUCT(('Old CCC projections data'!$F$1:$BN$1=$B7)*('Old CCC projections data'!$A$2:$A$271=Z$2)*('Old CCC projections data'!$D$2:$D$271=Z$3)*('Old CCC projections data'!$F$2:$BN$271))*Model!$B$47</f>
        <v>82.739190397305777</v>
      </c>
      <c r="AA7" s="167" cm="1">
        <f t="array" ref="AA7">SUMPRODUCT(('Old CCC projections data'!$F$1:$BN$1=$B7)*('Old CCC projections data'!$A$2:$A$271=AA$2)*('Old CCC projections data'!$D$2:$D$271=AA$3)*('Old CCC projections data'!$F$2:$BN$271))*Model!$B$47</f>
        <v>82.739190397305777</v>
      </c>
      <c r="AB7" s="167" cm="1">
        <f t="array" ref="AB7">SUMPRODUCT(('Old CCC projections data'!$F$1:$BN$1=$B7)*('Old CCC projections data'!$A$2:$A$271=AB$2)*('Old CCC projections data'!$D$2:$D$271=AB$3)*('Old CCC projections data'!$F$2:$BN$271))*Model!$B$47</f>
        <v>82.739190397305777</v>
      </c>
      <c r="AC7" s="167" cm="1">
        <f t="array" ref="AC7">SUMPRODUCT(('Old CCC projections data'!$F$1:$BN$1=$B7)*('Old CCC projections data'!$A$2:$A$271=AC$2)*('Old CCC projections data'!$D$2:$D$271=AC$3)*('Old CCC projections data'!$F$2:$BN$271))*Model!$B$47</f>
        <v>82.739190397305777</v>
      </c>
      <c r="AD7" s="167" cm="1">
        <f t="array" ref="AD7">SUMPRODUCT(('Old CCC projections data'!$F$1:$BN$1=$B7)*('Old CCC projections data'!$A$2:$A$271=AD$2)*('Old CCC projections data'!$D$2:$D$271=AD$3)*('Old CCC projections data'!$F$2:$BN$271))*Model!$B$47</f>
        <v>82.739190397305777</v>
      </c>
      <c r="AE7" s="167" cm="1">
        <f t="array" ref="AE7">SUMPRODUCT(('Old CCC projections data'!$F$1:$BN$1=$B7)*('Old CCC projections data'!$A$2:$A$271=AE$2)*('Old CCC projections data'!$D$2:$D$271=AE$3)*('Old CCC projections data'!$F$2:$BN$271))*Model!$B$47</f>
        <v>82.739190397305777</v>
      </c>
      <c r="AF7" s="167" cm="1">
        <f t="array" ref="AF7">SUMPRODUCT(('Old CCC projections data'!$F$1:$BN$1=$B7)*('Old CCC projections data'!$A$2:$A$271=AF$2)*('Old CCC projections data'!$D$2:$D$271=AF$3)*('Old CCC projections data'!$F$2:$BN$271))*Model!$B$47</f>
        <v>82.739190397305777</v>
      </c>
      <c r="AG7" s="167" cm="1">
        <f t="array" ref="AG7">SUMPRODUCT(('Old CCC projections data'!$F$1:$BN$1=$B7)*('Old CCC projections data'!$A$2:$A$271=AG$2)*('Old CCC projections data'!$D$2:$D$271=AG$3)*('Old CCC projections data'!$F$2:$BN$271))*Model!$B$47</f>
        <v>82.739190397305777</v>
      </c>
      <c r="AH7" s="167" cm="1">
        <f t="array" ref="AH7">SUMPRODUCT(('Old CCC projections data'!$F$1:$BN$1=$B7)*('Old CCC projections data'!$A$2:$A$271=AH$2)*('Old CCC projections data'!$D$2:$D$271=AH$3)*('Old CCC projections data'!$F$2:$BN$271))*Model!$B$47</f>
        <v>82.739190397305777</v>
      </c>
      <c r="AI7" s="167" cm="1">
        <f t="array" ref="AI7">SUMPRODUCT(('Old CCC projections data'!$F$1:$BN$1=$B7)*('Old CCC projections data'!$A$2:$A$271=AI$2)*('Old CCC projections data'!$D$2:$D$271=AI$3)*('Old CCC projections data'!$F$2:$BN$271))*Model!$B$47</f>
        <v>82.739190397305777</v>
      </c>
      <c r="AJ7" s="167" cm="1">
        <f t="array" ref="AJ7">SUMPRODUCT(('Old CCC projections data'!$F$1:$BN$1=$B7)*('Old CCC projections data'!$A$2:$A$271=AJ$2)*('Old CCC projections data'!$D$2:$D$271=AJ$3)*('Old CCC projections data'!$F$2:$BN$271))*Model!$B$47</f>
        <v>82.739190397305777</v>
      </c>
      <c r="AK7" s="167" cm="1">
        <f t="array" ref="AK7">SUMPRODUCT(('Old CCC projections data'!$F$1:$BN$1=$B7)*('Old CCC projections data'!$A$2:$A$271=AK$2)*('Old CCC projections data'!$D$2:$D$271=AK$3)*('Old CCC projections data'!$F$2:$BN$271))*Model!$B$47</f>
        <v>82.739190397305777</v>
      </c>
      <c r="AL7" s="167" cm="1">
        <f t="array" ref="AL7">SUMPRODUCT(('Old CCC projections data'!$F$1:$BN$1=$B7)*('Old CCC projections data'!$A$2:$A$271=AL$2)*('Old CCC projections data'!$D$2:$D$271=AL$3)*('Old CCC projections data'!$F$2:$BN$271))*Model!$B$47</f>
        <v>82.739190397305777</v>
      </c>
      <c r="AM7" s="167" cm="1">
        <f t="array" ref="AM7">SUMPRODUCT(('Old CCC projections data'!$F$1:$BN$1=$B7)*('Old CCC projections data'!$A$2:$A$271=AM$2)*('Old CCC projections data'!$D$2:$D$271=AM$3)*('Old CCC projections data'!$F$2:$BN$271))*Model!$B$47</f>
        <v>82.739190397305777</v>
      </c>
      <c r="AN7" s="167" cm="1">
        <f t="array" ref="AN7">SUMPRODUCT(('Old CCC projections data'!$F$1:$BN$1=$B7)*('Old CCC projections data'!$A$2:$A$271=AN$2)*('Old CCC projections data'!$D$2:$D$271=AN$3)*('Old CCC projections data'!$F$2:$BN$271))*Model!$B$47</f>
        <v>82.739190397305777</v>
      </c>
      <c r="AO7" s="167" cm="1">
        <f t="array" ref="AO7">SUMPRODUCT(('Old CCC projections data'!$F$1:$BN$1=$B7)*('Old CCC projections data'!$A$2:$A$271=AO$2)*('Old CCC projections data'!$D$2:$D$271=AO$3)*('Old CCC projections data'!$F$2:$BN$271))*Model!$B$47</f>
        <v>82.739190397305777</v>
      </c>
      <c r="AP7" s="167" cm="1">
        <f t="array" ref="AP7">SUMPRODUCT(('Old CCC projections data'!$F$1:$BN$1=$B7)*('Old CCC projections data'!$A$2:$A$271=AP$2)*('Old CCC projections data'!$D$2:$D$271=AP$3)*('Old CCC projections data'!$F$2:$BN$271))*Model!$B$47</f>
        <v>82.739190397305777</v>
      </c>
      <c r="AQ7" s="167" cm="1">
        <f t="array" ref="AQ7">SUMPRODUCT(('Old CCC projections data'!$F$1:$BN$1=$B7)*('Old CCC projections data'!$A$2:$A$271=AQ$2)*('Old CCC projections data'!$D$2:$D$271=AQ$3)*('Old CCC projections data'!$F$2:$BN$271))*Model!$B$47</f>
        <v>82.739190397305777</v>
      </c>
      <c r="AR7" s="167" cm="1">
        <f t="array" ref="AR7">SUMPRODUCT(('Old CCC projections data'!$F$1:$BN$1=$B7)*('Old CCC projections data'!$A$2:$A$271=AR$2)*('Old CCC projections data'!$D$2:$D$271=AR$3)*('Old CCC projections data'!$F$2:$BN$271))*Model!$B$47</f>
        <v>82.739190397305777</v>
      </c>
      <c r="AS7" s="167" cm="1">
        <f t="array" ref="AS7">SUMPRODUCT(('Old CCC projections data'!$F$1:$BN$1=$B7)*('Old CCC projections data'!$A$2:$A$271=AS$2)*('Old CCC projections data'!$D$2:$D$271=AS$3)*('Old CCC projections data'!$F$2:$BN$271))*Model!$B$47</f>
        <v>82.739190397305777</v>
      </c>
      <c r="AT7" s="167" cm="1">
        <f t="array" ref="AT7">SUMPRODUCT(('Old CCC projections data'!$F$1:$BN$1=$B7)*('Old CCC projections data'!$A$2:$A$271=AT$2)*('Old CCC projections data'!$D$2:$D$271=AT$3)*('Old CCC projections data'!$F$2:$BN$271))*Model!$B$47</f>
        <v>82.739190397305777</v>
      </c>
      <c r="AU7" s="167" cm="1">
        <f t="array" ref="AU7">SUMPRODUCT(('Old CCC projections data'!$F$1:$BN$1=$B7)*('Old CCC projections data'!$A$2:$A$271=AU$2)*('Old CCC projections data'!$D$2:$D$271=AU$3)*('Old CCC projections data'!$F$2:$BN$271))*Model!$B$47</f>
        <v>82.739190397305777</v>
      </c>
      <c r="AV7" s="167" cm="1">
        <f t="array" ref="AV7">SUMPRODUCT(('Old CCC projections data'!$F$1:$BN$1=$B7)*('Old CCC projections data'!$A$2:$A$271=AV$2)*('Old CCC projections data'!$D$2:$D$271=AV$3)*('Old CCC projections data'!$F$2:$BN$271))*Model!$B$47</f>
        <v>82.739190397305777</v>
      </c>
      <c r="AW7" s="167" cm="1">
        <f t="array" ref="AW7">SUMPRODUCT(('Old CCC projections data'!$F$1:$BN$1=$B7)*('Old CCC projections data'!$A$2:$A$271=AW$2)*('Old CCC projections data'!$D$2:$D$271=AW$3)*('Old CCC projections data'!$F$2:$BN$271))*Model!$B$47</f>
        <v>82.739190397305777</v>
      </c>
      <c r="AX7" s="167" cm="1">
        <f t="array" ref="AX7">SUMPRODUCT(('Old CCC projections data'!$F$1:$BN$1=$B7)*('Old CCC projections data'!$A$2:$A$271=AX$2)*('Old CCC projections data'!$D$2:$D$271=AX$3)*('Old CCC projections data'!$F$2:$BN$271))*Model!$B$47</f>
        <v>82.739190397305777</v>
      </c>
      <c r="AY7" s="167">
        <v>83</v>
      </c>
      <c r="AZ7" s="167">
        <v>83</v>
      </c>
      <c r="BA7" s="167">
        <v>83</v>
      </c>
      <c r="BB7" s="168">
        <f>BM7</f>
        <v>37742.236110792917</v>
      </c>
      <c r="BC7" s="168" cm="1">
        <f t="array" ref="BC7">SUMPRODUCT(('Old CCC projections data'!$F$1:$BN$1=$B7)*('Old CCC projections data'!$A$2:$A$271=BC$2)*('Old CCC projections data'!$D$2:$D$271=BC$3)*('Old CCC projections data'!$F$2:$BN$271))</f>
        <v>38220.161284166548</v>
      </c>
      <c r="BD7" s="168" cm="1">
        <f t="array" ref="BD7">SUMPRODUCT(('Old CCC projections data'!$F$1:$BN$1=$B7)*('Old CCC projections data'!$A$2:$A$271=BD$2)*('Old CCC projections data'!$D$2:$D$271=BD$3)*('Old CCC projections data'!$F$2:$BN$271))</f>
        <v>38103.68603900489</v>
      </c>
      <c r="BE7" s="168"/>
      <c r="BF7" s="168"/>
      <c r="BG7" s="168" cm="1">
        <f t="array" ref="BG7">SUMPRODUCT(('Old CCC projections data'!$F$1:$BN$1=$B7)*('Old CCC projections data'!$A$2:$A$271=BG$2)*('Old CCC projections data'!$D$2:$D$271=BG$3)*('Old CCC projections data'!$F$2:$BN$271))</f>
        <v>37759.908335461092</v>
      </c>
      <c r="BH7" s="168" cm="1">
        <f t="array" ref="BH7">SUMPRODUCT(('Old CCC projections data'!$F$1:$BN$1=$B7)*('Old CCC projections data'!$A$2:$A$271=BH$2)*('Old CCC projections data'!$D$2:$D$271=BH$3)*('Old CCC projections data'!$F$2:$BN$271))</f>
        <v>37709.897993678067</v>
      </c>
      <c r="BI7" s="168" cm="1">
        <f t="array" ref="BI7">SUMPRODUCT(('Old CCC projections data'!$F$1:$BN$1=$B7)*('Old CCC projections data'!$A$2:$A$271=BI$2)*('Old CCC projections data'!$D$2:$D$271=BI$3)*('Old CCC projections data'!$F$2:$BN$271))</f>
        <v>37675.41779681445</v>
      </c>
      <c r="BJ7" s="168" cm="1">
        <f t="array" ref="BJ7">SUMPRODUCT(('Old CCC projections data'!$F$1:$BN$1=$B7)*('Old CCC projections data'!$A$2:$A$271=BJ$2)*('Old CCC projections data'!$D$2:$D$271=BJ$3)*('Old CCC projections data'!$F$2:$BN$271))</f>
        <v>37675.879576072766</v>
      </c>
      <c r="BK7" s="168" cm="1">
        <f t="array" ref="BK7">SUMPRODUCT(('Old CCC projections data'!$F$1:$BN$1=$B7)*('Old CCC projections data'!$A$2:$A$271=BK$2)*('Old CCC projections data'!$D$2:$D$271=BK$3)*('Old CCC projections data'!$F$2:$BN$271))</f>
        <v>37675.879576072766</v>
      </c>
      <c r="BL7" s="168" cm="1">
        <f t="array" ref="BL7">SUMPRODUCT(('Old CCC projections data'!$F$1:$BN$1=$B7)*('Old CCC projections data'!$A$2:$A$271=BL$2)*('Old CCC projections data'!$D$2:$D$271=BL$3)*('Old CCC projections data'!$F$2:$BN$271))</f>
        <v>37813.476466651198</v>
      </c>
      <c r="BM7" s="168" cm="1">
        <f t="array" ref="BM7">SUMPRODUCT(('Old CCC projections data'!$F$1:$BN$1=$B7)*('Old CCC projections data'!$A$2:$A$271=BM$2)*('Old CCC projections data'!$D$2:$D$271=BM$3)*('Old CCC projections data'!$F$2:$BN$271))</f>
        <v>37742.236110792917</v>
      </c>
      <c r="BN7" s="168" cm="1">
        <f t="array" ref="BN7">SUMPRODUCT(('Old CCC projections data'!$F$1:$BN$1=$B7)*('Old CCC projections data'!$A$2:$A$271=BN$2)*('Old CCC projections data'!$D$2:$D$271=BN$3)*('Old CCC projections data'!$F$2:$BN$271))</f>
        <v>37913.089023107546</v>
      </c>
      <c r="BO7" s="168" cm="1">
        <f t="array" ref="BO7">SUMPRODUCT(('Old CCC projections data'!$F$1:$BN$1=$B7)*('Old CCC projections data'!$A$2:$A$271=BO$2)*('Old CCC projections data'!$D$2:$D$271=BO$3)*('Old CCC projections data'!$F$2:$BN$271))</f>
        <v>38069.353436997182</v>
      </c>
      <c r="BP7" s="168" cm="1">
        <f t="array" ref="BP7">SUMPRODUCT(('Old CCC projections data'!$F$1:$BN$1=$B7)*('Old CCC projections data'!$A$2:$A$271=BP$2)*('Old CCC projections data'!$D$2:$D$271=BP$3)*('Old CCC projections data'!$F$2:$BN$271))</f>
        <v>38030.087119904725</v>
      </c>
      <c r="BQ7" s="168" cm="1">
        <f t="array" ref="BQ7">SUMPRODUCT(('Old CCC projections data'!$F$1:$BN$1=$B7)*('Old CCC projections data'!$A$2:$A$271=BQ$2)*('Old CCC projections data'!$D$2:$D$271=BQ$3)*('Old CCC projections data'!$F$2:$BN$271))</f>
        <v>38019.683357518676</v>
      </c>
      <c r="BR7" s="168" cm="1">
        <f t="array" ref="BR7">SUMPRODUCT(('Old CCC projections data'!$F$1:$BN$1=$B7)*('Old CCC projections data'!$A$2:$A$271=BR$2)*('Old CCC projections data'!$D$2:$D$271=BR$3)*('Old CCC projections data'!$F$2:$BN$271))</f>
        <v>38016.653196191895</v>
      </c>
      <c r="BS7" s="168" cm="1">
        <f t="array" ref="BS7">SUMPRODUCT(('Old CCC projections data'!$F$1:$BN$1=$B7)*('Old CCC projections data'!$A$2:$A$271=BS$2)*('Old CCC projections data'!$D$2:$D$271=BS$3)*('Old CCC projections data'!$F$2:$BN$271))</f>
        <v>37992.277843098374</v>
      </c>
      <c r="BT7" s="168" cm="1">
        <f t="array" ref="BT7">SUMPRODUCT(('Old CCC projections data'!$F$1:$BN$1=$B7)*('Old CCC projections data'!$A$2:$A$271=BT$2)*('Old CCC projections data'!$D$2:$D$271=BT$3)*('Old CCC projections data'!$F$2:$BN$271))</f>
        <v>38110.302401371533</v>
      </c>
      <c r="BU7" s="168" cm="1">
        <f t="array" ref="BU7">SUMPRODUCT(('Old CCC projections data'!$F$1:$BN$1=$B7)*('Old CCC projections data'!$A$2:$A$271=BU$2)*('Old CCC projections data'!$D$2:$D$271=BU$3)*('Old CCC projections data'!$F$2:$BN$271))</f>
        <v>38050.334672681056</v>
      </c>
      <c r="BV7" s="168" cm="1">
        <f t="array" ref="BV7">SUMPRODUCT(('Old CCC projections data'!$F$1:$BN$1=$B7)*('Old CCC projections data'!$A$2:$A$271=BV$2)*('Old CCC projections data'!$D$2:$D$271=BV$3)*('Old CCC projections data'!$F$2:$BN$271))</f>
        <v>38172.031502880884</v>
      </c>
      <c r="BW7" s="168" cm="1">
        <f t="array" ref="BW7">SUMPRODUCT(('Old CCC projections data'!$F$1:$BN$1=$B7)*('Old CCC projections data'!$A$2:$A$271=BW$2)*('Old CCC projections data'!$D$2:$D$271=BW$3)*('Old CCC projections data'!$F$2:$BN$271))</f>
        <v>37494.965488079004</v>
      </c>
      <c r="BX7" s="168" cm="1">
        <f t="array" ref="BX7">SUMPRODUCT(('Old CCC projections data'!$F$1:$BN$1=$B7)*('Old CCC projections data'!$A$2:$A$271=BX$2)*('Old CCC projections data'!$D$2:$D$271=BX$3)*('Old CCC projections data'!$F$2:$BN$271))</f>
        <v>37406.745800931873</v>
      </c>
      <c r="BY7" s="168" cm="1">
        <f t="array" ref="BY7">SUMPRODUCT(('Old CCC projections data'!$F$1:$BN$1=$B7)*('Old CCC projections data'!$A$2:$A$271=BY$2)*('Old CCC projections data'!$D$2:$D$271=BY$3)*('Old CCC projections data'!$F$2:$BN$271))</f>
        <v>37409.548490366025</v>
      </c>
      <c r="BZ7" s="168" cm="1">
        <f t="array" ref="BZ7">SUMPRODUCT(('Old CCC projections data'!$F$1:$BN$1=$B7)*('Old CCC projections data'!$A$2:$A$271=BZ$2)*('Old CCC projections data'!$D$2:$D$271=BZ$3)*('Old CCC projections data'!$F$2:$BN$271))</f>
        <v>37412.661311828895</v>
      </c>
      <c r="CA7" s="168" cm="1">
        <f t="array" ref="CA7">SUMPRODUCT(('Old CCC projections data'!$F$1:$BN$1=$B7)*('Old CCC projections data'!$A$2:$A$271=CA$2)*('Old CCC projections data'!$D$2:$D$271=CA$3)*('Old CCC projections data'!$F$2:$BN$271))</f>
        <v>37412.661311828895</v>
      </c>
      <c r="CB7" s="168" cm="1">
        <f t="array" ref="CB7">SUMPRODUCT(('Old CCC projections data'!$F$1:$BN$1=$B7)*('Old CCC projections data'!$A$2:$A$271=CB$2)*('Old CCC projections data'!$D$2:$D$271=CB$3)*('Old CCC projections data'!$F$2:$BN$271))</f>
        <v>37543.144286029536</v>
      </c>
      <c r="CC7" s="168" cm="1">
        <f t="array" ref="CC7">SUMPRODUCT(('Old CCC projections data'!$F$1:$BN$1=$B7)*('Old CCC projections data'!$A$2:$A$271=CC$2)*('Old CCC projections data'!$D$2:$D$271=CC$3)*('Old CCC projections data'!$F$2:$BN$271))</f>
        <v>37534.775142229119</v>
      </c>
      <c r="CD7" s="168" cm="1">
        <f t="array" ref="CD7">SUMPRODUCT(('Old CCC projections data'!$F$1:$BN$1=$B7)*('Old CCC projections data'!$A$2:$A$271=CD$2)*('Old CCC projections data'!$D$2:$D$271=CD$3)*('Old CCC projections data'!$F$2:$BN$271))</f>
        <v>37448.326724564235</v>
      </c>
      <c r="CE7" s="168" cm="1">
        <f t="array" ref="CE7">SUMPRODUCT(('Old CCC projections data'!$F$1:$BN$1=$B7)*('Old CCC projections data'!$A$2:$A$271=CE$2)*('Old CCC projections data'!$D$2:$D$271=CE$3)*('Old CCC projections data'!$F$2:$BN$271))</f>
        <v>37606.599974107303</v>
      </c>
      <c r="CF7" s="168" cm="1">
        <f t="array" ref="CF7">SUMPRODUCT(('Old CCC projections data'!$F$1:$BN$1=$B7)*('Old CCC projections data'!$A$2:$A$271=CF$2)*('Old CCC projections data'!$D$2:$D$271=CF$3)*('Old CCC projections data'!$F$2:$BN$271))</f>
        <v>37901.594366070305</v>
      </c>
      <c r="CG7" s="168" cm="1">
        <f t="array" ref="CG7">SUMPRODUCT(('Old CCC projections data'!$F$1:$BN$1=$B7)*('Old CCC projections data'!$A$2:$A$271=CG$2)*('Old CCC projections data'!$D$2:$D$271=CG$3)*('Old CCC projections data'!$F$2:$BN$271))</f>
        <v>37880.302709905503</v>
      </c>
      <c r="CH7" s="168" cm="1">
        <f t="array" ref="CH7">SUMPRODUCT(('Old CCC projections data'!$F$1:$BN$1=$B7)*('Old CCC projections data'!$A$2:$A$271=CH$2)*('Old CCC projections data'!$D$2:$D$271=CH$3)*('Old CCC projections data'!$F$2:$BN$271))</f>
        <v>37860.940473545059</v>
      </c>
      <c r="CI7" s="168" cm="1">
        <f t="array" ref="CI7">SUMPRODUCT(('Old CCC projections data'!$F$1:$BN$1=$B7)*('Old CCC projections data'!$A$2:$A$271=CI$2)*('Old CCC projections data'!$D$2:$D$271=CI$3)*('Old CCC projections data'!$F$2:$BN$271))</f>
        <v>37862.127041336324</v>
      </c>
      <c r="CJ7" s="168" cm="1">
        <f t="array" ref="CJ7">SUMPRODUCT(('Old CCC projections data'!$F$1:$BN$1=$B7)*('Old CCC projections data'!$A$2:$A$271=CJ$2)*('Old CCC projections data'!$D$2:$D$271=CJ$3)*('Old CCC projections data'!$F$2:$BN$271))</f>
        <v>37862.127041336324</v>
      </c>
      <c r="CK7" s="168" cm="1">
        <f t="array" ref="CK7">SUMPRODUCT(('Old CCC projections data'!$F$1:$BN$1=$B7)*('Old CCC projections data'!$A$2:$A$271=CK$2)*('Old CCC projections data'!$D$2:$D$271=CK$3)*('Old CCC projections data'!$F$2:$BN$271))</f>
        <v>37862.127041336324</v>
      </c>
      <c r="CL7" s="168" cm="1">
        <f t="array" ref="CL7">SUMPRODUCT(('Old CCC projections data'!$F$1:$BN$1=$B7)*('Old CCC projections data'!$A$2:$A$271=CL$2)*('Old CCC projections data'!$D$2:$D$271=CL$3)*('Old CCC projections data'!$F$2:$BN$271))</f>
        <v>37931.678900679595</v>
      </c>
      <c r="CM7" s="168" cm="1">
        <f t="array" ref="CM7">SUMPRODUCT(('Old CCC projections data'!$F$1:$BN$1=$B7)*('Old CCC projections data'!$A$2:$A$271=CM$2)*('Old CCC projections data'!$D$2:$D$271=CM$3)*('Old CCC projections data'!$F$2:$BN$271))</f>
        <v>37894.943279941232</v>
      </c>
      <c r="CN7" s="168" cm="1">
        <f t="array" ref="CN7">SUMPRODUCT(('Old CCC projections data'!$F$1:$BN$1=$B7)*('Old CCC projections data'!$A$2:$A$271=CN$2)*('Old CCC projections data'!$D$2:$D$271=CN$3)*('Old CCC projections data'!$F$2:$BN$271))</f>
        <v>38014.570442304888</v>
      </c>
      <c r="CO7" s="168" cm="1">
        <f t="array" ref="CO7">SUMPRODUCT(('Old CCC projections data'!$F$1:$BN$1=$B7)*('Old CCC projections data'!$A$2:$A$271=CO$2)*('Old CCC projections data'!$D$2:$D$271=CO$3)*('Old CCC projections data'!$F$2:$BN$271))</f>
        <v>37570.114542537049</v>
      </c>
      <c r="CP7" s="168" cm="1">
        <f t="array" ref="CP7">SUMPRODUCT(('Old CCC projections data'!$F$1:$BN$1=$B7)*('Old CCC projections data'!$A$2:$A$271=CP$2)*('Old CCC projections data'!$D$2:$D$271=CP$3)*('Old CCC projections data'!$F$2:$BN$271))</f>
        <v>37520.115309217828</v>
      </c>
      <c r="CQ7" s="168" cm="1">
        <f t="array" ref="CQ7">SUMPRODUCT(('Old CCC projections data'!$F$1:$BN$1=$B7)*('Old CCC projections data'!$A$2:$A$271=CQ$2)*('Old CCC projections data'!$D$2:$D$271=CQ$3)*('Old CCC projections data'!$F$2:$BN$271))</f>
        <v>37485.604633836985</v>
      </c>
      <c r="CR7" s="168" cm="1">
        <f t="array" ref="CR7">SUMPRODUCT(('Old CCC projections data'!$F$1:$BN$1=$B7)*('Old CCC projections data'!$A$2:$A$271=CR$2)*('Old CCC projections data'!$D$2:$D$271=CR$3)*('Old CCC projections data'!$F$2:$BN$271))</f>
        <v>37486.084243656114</v>
      </c>
      <c r="CS7" s="168" cm="1">
        <f t="array" ref="CS7">SUMPRODUCT(('Old CCC projections data'!$F$1:$BN$1=$B7)*('Old CCC projections data'!$A$2:$A$271=CS$2)*('Old CCC projections data'!$D$2:$D$271=CS$3)*('Old CCC projections data'!$F$2:$BN$271))</f>
        <v>37486.084243656114</v>
      </c>
      <c r="CT7" s="168" cm="1">
        <f t="array" ref="CT7">SUMPRODUCT(('Old CCC projections data'!$F$1:$BN$1=$B7)*('Old CCC projections data'!$A$2:$A$271=CT$2)*('Old CCC projections data'!$D$2:$D$271=CT$3)*('Old CCC projections data'!$F$2:$BN$271))</f>
        <v>37623.578220490912</v>
      </c>
      <c r="CU7" s="168" cm="1">
        <f t="array" ref="CU7">SUMPRODUCT(('Old CCC projections data'!$F$1:$BN$1=$B7)*('Old CCC projections data'!$A$2:$A$271=CU$2)*('Old CCC projections data'!$D$2:$D$271=CU$3)*('Old CCC projections data'!$F$2:$BN$271))</f>
        <v>37614.369996157118</v>
      </c>
      <c r="CV7" s="168" cm="1">
        <f t="array" ref="CV7">SUMPRODUCT(('Old CCC projections data'!$F$1:$BN$1=$B7)*('Old CCC projections data'!$A$2:$A$271=CV$2)*('Old CCC projections data'!$D$2:$D$271=CV$3)*('Old CCC projections data'!$F$2:$BN$271))</f>
        <v>37552.443555748134</v>
      </c>
      <c r="CW7" s="168" cm="1">
        <f t="array" ref="CW7">SUMPRODUCT(('Old CCC projections data'!$F$1:$BN$1=$B7)*('Old CCC projections data'!$A$2:$A$271=CW$2)*('Old CCC projections data'!$D$2:$D$271=CW$3)*('Old CCC projections data'!$F$2:$BN$271))</f>
        <v>37723.084043805364</v>
      </c>
      <c r="CX7" s="168">
        <f t="shared" si="19"/>
        <v>170.85291231462907</v>
      </c>
      <c r="CY7" s="168" t="str">
        <f t="shared" ref="CY7:CY32" si="29">CY6</f>
        <v>Demo path - C price $100 3%</v>
      </c>
      <c r="CZ7" s="169">
        <f t="shared" ref="CZ7:CZ32" si="30">CZ6+1</f>
        <v>2025</v>
      </c>
      <c r="DA7" s="167">
        <f t="shared" ref="DA7:DA70" si="31">DA6</f>
        <v>0</v>
      </c>
      <c r="DB7" s="167">
        <f ca="1">(H10+IF($DB$3&gt;0,NPV($DB$2,H11:OFFSET(H10,$DB$3,0)),0))/($DB$3+1)</f>
        <v>125.94309941520464</v>
      </c>
      <c r="DC7" s="167">
        <f t="shared" ca="1" si="20"/>
        <v>25.943099415204642</v>
      </c>
      <c r="DD7" s="167">
        <f t="shared" ref="DD7:DD32" si="32">DD6</f>
        <v>100</v>
      </c>
      <c r="DE7" s="168">
        <f t="shared" si="21"/>
        <v>36119.314820792293</v>
      </c>
      <c r="DF7" s="168" cm="1">
        <f t="array" ref="DF7">SUMPRODUCT(($BG$2:$BM$2=CY7)*($B$5:$B$35=CZ7)*($BG$5:$BM$35))</f>
        <v>34544.237531608254</v>
      </c>
      <c r="DG7" s="168">
        <f t="shared" si="16"/>
        <v>1575.0772891840388</v>
      </c>
      <c r="DH7" s="168" cm="1">
        <f t="array" ref="DH7">IF(CZ7=2023,SUMPRODUCT(($B$5:$B$35=CZ7-1)*($BN$5:$BN$35))-SUMPRODUCT(($BG$2:$BM$2=CY7)*($B$5:$B$35=CZ7-1)*($BG$5:$BM$35)),DG6)</f>
        <v>906.58599255877198</v>
      </c>
      <c r="DI7" s="167">
        <f t="shared" ca="1" si="17"/>
        <v>125.94309941520464</v>
      </c>
      <c r="DJ7" s="170">
        <f t="shared" si="22"/>
        <v>7.3620596225535202</v>
      </c>
      <c r="DK7" s="170">
        <f t="shared" si="23"/>
        <v>6.8096858878676132</v>
      </c>
      <c r="DL7" s="170">
        <f t="shared" ca="1" si="24"/>
        <v>4.8358302130103077</v>
      </c>
      <c r="DM7" s="168">
        <f t="shared" ca="1" si="25"/>
        <v>626.36857106490515</v>
      </c>
      <c r="DN7" s="168">
        <f t="shared" ca="1" si="26"/>
        <v>1659.3809930341665</v>
      </c>
      <c r="DO7" s="168">
        <f t="shared" ca="1" si="27"/>
        <v>1142.874782049536</v>
      </c>
      <c r="DP7" s="113"/>
      <c r="DQ7" s="116">
        <f>DD173</f>
        <v>93.75863831252174</v>
      </c>
      <c r="DR7" s="115">
        <f t="shared" si="18"/>
        <v>0</v>
      </c>
      <c r="DS7" s="116" cm="1">
        <f t="array" aca="1" ref="DS7" ca="1">SUMPRODUCT(($DD$5:$DD$200=DQ7)*($CZ$5:$CZ$200=$DS$3)*($DB$5:$DB$200))</f>
        <v>170.89477371903351</v>
      </c>
      <c r="DT7" s="117" cm="1">
        <f t="array" ref="DT7">SUMPRODUCT(($DD$5:$DD$200=$DQ7)*($CZ$5:$CZ$200=$DS$3)*($DG$5:$DG$200))</f>
        <v>4085.2668055951399</v>
      </c>
      <c r="DU7" s="116" cm="1">
        <f t="array" aca="1" ref="DU7" ca="1">SUMPRODUCT(($DD$5:$DD$200=$DQ7)*($CZ$5:$CZ$200=$DU$3)*($DB$5:$DB$200))</f>
        <v>198.11388060584056</v>
      </c>
      <c r="DV7" s="117" cm="1">
        <f t="array" ref="DV7">SUMPRODUCT(($DD$5:$DD$200=$DQ7)*($CZ$5:$CZ$200=$DU$3)*($DG$5:$DG$200))</f>
        <v>4053.4975956828275</v>
      </c>
      <c r="DW7" s="116" cm="1">
        <f t="array" aca="1" ref="DW7" ca="1">SUMPRODUCT(($DD$5:$DD$200=$DQ7)*($CZ$5:$CZ$200=$DW$3)*($DB$5:$DB$200))</f>
        <v>308.65497076023405</v>
      </c>
      <c r="DX7" s="117" cm="1">
        <f t="array" ref="DX7">SUMPRODUCT(($DD$5:$DD$200=$DQ7)*($CZ$5:$CZ$200=$DW$3)*($DG$5:$DG$200))</f>
        <v>5241.263275278503</v>
      </c>
    </row>
    <row r="8" spans="1:128" x14ac:dyDescent="0.25">
      <c r="B8">
        <f t="shared" si="28"/>
        <v>2023</v>
      </c>
      <c r="C8" s="190">
        <v>63</v>
      </c>
      <c r="D8" s="18" cm="1">
        <f t="array" ref="D8">SUMPRODUCT(('Old CCC projections data'!$F$1:$BN$1=$B8)*('Old CCC projections data'!$A$2:$A$271=D$2)*('Old CCC projections data'!$D$2:$D$271=D$3)*('Old CCC projections data'!$F$2:$BN$271))*Model!$B$47</f>
        <v>41.549707602339183</v>
      </c>
      <c r="E8" s="18" cm="1">
        <f t="array" ref="E8">SUMPRODUCT(('Old CCC projections data'!$F$1:$BN$1=$B8)*('Old CCC projections data'!$A$2:$A$271=E$2)*('Old CCC projections data'!$D$2:$D$271=E$3)*('Old CCC projections data'!$F$2:$BN$271))*Model!$B$47</f>
        <v>1.1871345029239767E-2</v>
      </c>
      <c r="F8" s="18"/>
      <c r="G8" s="18"/>
      <c r="H8" s="18" cm="1">
        <f t="array" ref="H8">SUMPRODUCT(('Old CCC projections data'!$F$1:$BN$1=$B8)*('Old CCC projections data'!$A$2:$A$271=H$2)*('Old CCC projections data'!$D$2:$D$271=H$3)*('Old CCC projections data'!$F$2:$BN$271))*Model!$B$47</f>
        <v>118.71345029239765</v>
      </c>
      <c r="I8" s="18" cm="1">
        <f t="array" ref="I8">SUMPRODUCT(('Old CCC projections data'!$F$1:$BN$1=$B8)*('Old CCC projections data'!$A$2:$A$271=I$2)*('Old CCC projections data'!$D$2:$D$271=I$3)*('Old CCC projections data'!$F$2:$BN$271))*Model!$B$47</f>
        <v>178.07017543859649</v>
      </c>
      <c r="J8" s="18" cm="1">
        <f t="array" ref="J8">SUMPRODUCT(('Old CCC projections data'!$F$1:$BN$1=$B8)*('Old CCC projections data'!$A$2:$A$271=J$2)*('Old CCC projections data'!$D$2:$D$271=J$3)*('Old CCC projections data'!$F$2:$BN$271))*Model!$B$47</f>
        <v>237.42690058479531</v>
      </c>
      <c r="K8" s="18" cm="1">
        <f t="array" ref="K8">SUMPRODUCT(('Old CCC projections data'!$F$1:$BN$1=$B8)*('Old CCC projections data'!$A$2:$A$271=K$2)*('Old CCC projections data'!$D$2:$D$271=K$3)*('Old CCC projections data'!$F$2:$BN$271))*Model!$B$47</f>
        <v>296.78362573099417</v>
      </c>
      <c r="L8" s="18" cm="1">
        <f t="array" ref="L8">SUMPRODUCT(('Old CCC projections data'!$F$1:$BN$1=$B8)*('Old CCC projections data'!$A$2:$A$271=L$2)*('Old CCC projections data'!$D$2:$D$271=L$3)*('Old CCC projections data'!$F$2:$BN$271))*Model!$B$47</f>
        <v>356.14035087719299</v>
      </c>
      <c r="M8" s="18" cm="1">
        <f t="array" ref="M8">SUMPRODUCT(('Old CCC projections data'!$F$1:$BN$1=$B8)*('Old CCC projections data'!$A$2:$A$271=M$2)*('Old CCC projections data'!$D$2:$D$271=M$3)*('Old CCC projections data'!$F$2:$BN$271))*Model!$B$47</f>
        <v>59.356725146198826</v>
      </c>
      <c r="N8" s="189" cm="1">
        <f t="array" ref="N8">SUMPRODUCT(('Old CCC projections data'!$F$1:$BN$1=$B8)*('Old CCC projections data'!$A$2:$A$271=N$2)*('Old CCC projections data'!$D$2:$D$271=N$3)*('Old CCC projections data'!$F$2:$BN$271))*Model!$B$47</f>
        <v>93.75863831252174</v>
      </c>
      <c r="O8" s="18" cm="1">
        <f t="array" ref="O8">SUMPRODUCT(('Old CCC projections data'!$F$1:$BN$1=$B8)*('Old CCC projections data'!$A$2:$A$271=O$2)*('Old CCC projections data'!$D$2:$D$271=O$3)*('Old CCC projections data'!$F$2:$BN$271))*Model!$B$47</f>
        <v>1.1871345029239767E-2</v>
      </c>
      <c r="P8" s="18" cm="1">
        <f t="array" ref="P8">SUMPRODUCT(('Old CCC projections data'!$F$1:$BN$1=$B8)*('Old CCC projections data'!$A$2:$A$271=P$2)*('Old CCC projections data'!$D$2:$D$271=P$3)*('Old CCC projections data'!$F$2:$BN$271))*Model!$B$47</f>
        <v>118.71345029239765</v>
      </c>
      <c r="Q8" s="18" cm="1">
        <f t="array" ref="Q8">SUMPRODUCT(('Old CCC projections data'!$F$1:$BN$1=$B8)*('Old CCC projections data'!$A$2:$A$271=Q$2)*('Old CCC projections data'!$D$2:$D$271=Q$3)*('Old CCC projections data'!$F$2:$BN$271))*Model!$B$47</f>
        <v>178.07017543859649</v>
      </c>
      <c r="R8" s="18" cm="1">
        <f t="array" ref="R8">SUMPRODUCT(('Old CCC projections data'!$F$1:$BN$1=$B8)*('Old CCC projections data'!$A$2:$A$271=R$2)*('Old CCC projections data'!$D$2:$D$271=R$3)*('Old CCC projections data'!$F$2:$BN$271))*Model!$B$47</f>
        <v>237.42690058479531</v>
      </c>
      <c r="S8" s="18" cm="1">
        <f t="array" ref="S8">SUMPRODUCT(('Old CCC projections data'!$F$1:$BN$1=$B8)*('Old CCC projections data'!$A$2:$A$271=S$2)*('Old CCC projections data'!$D$2:$D$271=S$3)*('Old CCC projections data'!$F$2:$BN$271))*Model!$B$47</f>
        <v>296.78362573099417</v>
      </c>
      <c r="T8" s="18" cm="1">
        <f t="array" ref="T8">SUMPRODUCT(('Old CCC projections data'!$F$1:$BN$1=$B8)*('Old CCC projections data'!$A$2:$A$271=T$2)*('Old CCC projections data'!$D$2:$D$271=T$3)*('Old CCC projections data'!$F$2:$BN$271))*Model!$B$47</f>
        <v>356.14035087719299</v>
      </c>
      <c r="U8" s="18" cm="1">
        <f t="array" ref="U8">SUMPRODUCT(('Old CCC projections data'!$F$1:$BN$1=$B8)*('Old CCC projections data'!$A$2:$A$271=U$2)*('Old CCC projections data'!$D$2:$D$271=U$3)*('Old CCC projections data'!$F$2:$BN$271))*Model!$B$47</f>
        <v>59.356725146198826</v>
      </c>
      <c r="V8" s="18" cm="1">
        <f t="array" ref="V8">SUMPRODUCT(('Old CCC projections data'!$F$1:$BN$1=$B8)*('Old CCC projections data'!$A$2:$A$271=V$2)*('Old CCC projections data'!$D$2:$D$271=V$3)*('Old CCC projections data'!$F$2:$BN$271))*Model!$B$47</f>
        <v>93.75863831252174</v>
      </c>
      <c r="W8" s="18" cm="1">
        <f t="array" ref="W8">SUMPRODUCT(('Old CCC projections data'!$F$1:$BN$1=$B8)*('Old CCC projections data'!$A$2:$A$271=W$2)*('Old CCC projections data'!$D$2:$D$271=W$3)*('Old CCC projections data'!$F$2:$BN$271))*Model!$B$47</f>
        <v>1.1871345029239767E-2</v>
      </c>
      <c r="X8" s="18" cm="1">
        <f t="array" ref="X8">SUMPRODUCT(('Old CCC projections data'!$F$1:$BN$1=$B8)*('Old CCC projections data'!$A$2:$A$271=X$2)*('Old CCC projections data'!$D$2:$D$271=X$3)*('Old CCC projections data'!$F$2:$BN$271))*Model!$B$47</f>
        <v>118.71345029239765</v>
      </c>
      <c r="Y8" s="18" cm="1">
        <f t="array" ref="Y8">SUMPRODUCT(('Old CCC projections data'!$F$1:$BN$1=$B8)*('Old CCC projections data'!$A$2:$A$271=Y$2)*('Old CCC projections data'!$D$2:$D$271=Y$3)*('Old CCC projections data'!$F$2:$BN$271))*Model!$B$47</f>
        <v>178.07017543859649</v>
      </c>
      <c r="Z8" s="18" cm="1">
        <f t="array" ref="Z8">SUMPRODUCT(('Old CCC projections data'!$F$1:$BN$1=$B8)*('Old CCC projections data'!$A$2:$A$271=Z$2)*('Old CCC projections data'!$D$2:$D$271=Z$3)*('Old CCC projections data'!$F$2:$BN$271))*Model!$B$47</f>
        <v>237.42690058479531</v>
      </c>
      <c r="AA8" s="18" cm="1">
        <f t="array" ref="AA8">SUMPRODUCT(('Old CCC projections data'!$F$1:$BN$1=$B8)*('Old CCC projections data'!$A$2:$A$271=AA$2)*('Old CCC projections data'!$D$2:$D$271=AA$3)*('Old CCC projections data'!$F$2:$BN$271))*Model!$B$47</f>
        <v>296.78362573099417</v>
      </c>
      <c r="AB8" s="18" cm="1">
        <f t="array" ref="AB8">SUMPRODUCT(('Old CCC projections data'!$F$1:$BN$1=$B8)*('Old CCC projections data'!$A$2:$A$271=AB$2)*('Old CCC projections data'!$D$2:$D$271=AB$3)*('Old CCC projections data'!$F$2:$BN$271))*Model!$B$47</f>
        <v>356.14035087719299</v>
      </c>
      <c r="AC8" s="18" cm="1">
        <f t="array" ref="AC8">SUMPRODUCT(('Old CCC projections data'!$F$1:$BN$1=$B8)*('Old CCC projections data'!$A$2:$A$271=AC$2)*('Old CCC projections data'!$D$2:$D$271=AC$3)*('Old CCC projections data'!$F$2:$BN$271))*Model!$B$47</f>
        <v>59.356725146198826</v>
      </c>
      <c r="AD8" s="18" cm="1">
        <f t="array" ref="AD8">SUMPRODUCT(('Old CCC projections data'!$F$1:$BN$1=$B8)*('Old CCC projections data'!$A$2:$A$271=AD$2)*('Old CCC projections data'!$D$2:$D$271=AD$3)*('Old CCC projections data'!$F$2:$BN$271))*Model!$B$47</f>
        <v>65.292397660818708</v>
      </c>
      <c r="AE8" s="18" cm="1">
        <f t="array" ref="AE8">SUMPRODUCT(('Old CCC projections data'!$F$1:$BN$1=$B8)*('Old CCC projections data'!$A$2:$A$271=AE$2)*('Old CCC projections data'!$D$2:$D$271=AE$3)*('Old CCC projections data'!$F$2:$BN$271))*Model!$B$47</f>
        <v>93.75863831252174</v>
      </c>
      <c r="AF8" s="18" cm="1">
        <f t="array" ref="AF8">SUMPRODUCT(('Old CCC projections data'!$F$1:$BN$1=$B8)*('Old CCC projections data'!$A$2:$A$271=AF$2)*('Old CCC projections data'!$D$2:$D$271=AF$3)*('Old CCC projections data'!$F$2:$BN$271))*Model!$B$47</f>
        <v>1.1871345029239767E-2</v>
      </c>
      <c r="AG8" s="18" cm="1">
        <f t="array" ref="AG8">SUMPRODUCT(('Old CCC projections data'!$F$1:$BN$1=$B8)*('Old CCC projections data'!$A$2:$A$271=AG$2)*('Old CCC projections data'!$D$2:$D$271=AG$3)*('Old CCC projections data'!$F$2:$BN$271))*Model!$B$47</f>
        <v>118.71345029239765</v>
      </c>
      <c r="AH8" s="18" cm="1">
        <f t="array" ref="AH8">SUMPRODUCT(('Old CCC projections data'!$F$1:$BN$1=$B8)*('Old CCC projections data'!$A$2:$A$271=AH$2)*('Old CCC projections data'!$D$2:$D$271=AH$3)*('Old CCC projections data'!$F$2:$BN$271))*Model!$B$47</f>
        <v>178.07017543859649</v>
      </c>
      <c r="AI8" s="18" cm="1">
        <f t="array" ref="AI8">SUMPRODUCT(('Old CCC projections data'!$F$1:$BN$1=$B8)*('Old CCC projections data'!$A$2:$A$271=AI$2)*('Old CCC projections data'!$D$2:$D$271=AI$3)*('Old CCC projections data'!$F$2:$BN$271))*Model!$B$47</f>
        <v>237.42690058479531</v>
      </c>
      <c r="AJ8" s="18" cm="1">
        <f t="array" ref="AJ8">SUMPRODUCT(('Old CCC projections data'!$F$1:$BN$1=$B8)*('Old CCC projections data'!$A$2:$A$271=AJ$2)*('Old CCC projections data'!$D$2:$D$271=AJ$3)*('Old CCC projections data'!$F$2:$BN$271))*Model!$B$47</f>
        <v>296.78362573099417</v>
      </c>
      <c r="AK8" s="18" cm="1">
        <f t="array" ref="AK8">SUMPRODUCT(('Old CCC projections data'!$F$1:$BN$1=$B8)*('Old CCC projections data'!$A$2:$A$271=AK$2)*('Old CCC projections data'!$D$2:$D$271=AK$3)*('Old CCC projections data'!$F$2:$BN$271))*Model!$B$47</f>
        <v>320.5263157894737</v>
      </c>
      <c r="AL8" s="18" cm="1">
        <f t="array" ref="AL8">SUMPRODUCT(('Old CCC projections data'!$F$1:$BN$1=$B8)*('Old CCC projections data'!$A$2:$A$271=AL$2)*('Old CCC projections data'!$D$2:$D$271=AL$3)*('Old CCC projections data'!$F$2:$BN$271))*Model!$B$47</f>
        <v>356.14035087719299</v>
      </c>
      <c r="AM8" s="18" cm="1">
        <f t="array" ref="AM8">SUMPRODUCT(('Old CCC projections data'!$F$1:$BN$1=$B8)*('Old CCC projections data'!$A$2:$A$271=AM$2)*('Old CCC projections data'!$D$2:$D$271=AM$3)*('Old CCC projections data'!$F$2:$BN$271))*Model!$B$47</f>
        <v>59.356725146198826</v>
      </c>
      <c r="AN8" s="18" cm="1">
        <f t="array" ref="AN8">SUMPRODUCT(('Old CCC projections data'!$F$1:$BN$1=$B8)*('Old CCC projections data'!$A$2:$A$271=AN$2)*('Old CCC projections data'!$D$2:$D$271=AN$3)*('Old CCC projections data'!$F$2:$BN$271))*Model!$B$47</f>
        <v>93.75863831252174</v>
      </c>
      <c r="AO8" s="18" cm="1">
        <f t="array" ref="AO8">SUMPRODUCT(('Old CCC projections data'!$F$1:$BN$1=$B8)*('Old CCC projections data'!$A$2:$A$271=AO$2)*('Old CCC projections data'!$D$2:$D$271=AO$3)*('Old CCC projections data'!$F$2:$BN$271))*Model!$B$47</f>
        <v>1.1871345029239767E-2</v>
      </c>
      <c r="AP8" s="18" cm="1">
        <f t="array" ref="AP8">SUMPRODUCT(('Old CCC projections data'!$F$1:$BN$1=$B8)*('Old CCC projections data'!$A$2:$A$271=AP$2)*('Old CCC projections data'!$D$2:$D$271=AP$3)*('Old CCC projections data'!$F$2:$BN$271))*Model!$B$47</f>
        <v>118.71345029239765</v>
      </c>
      <c r="AQ8" s="18" cm="1">
        <f t="array" ref="AQ8">SUMPRODUCT(('Old CCC projections data'!$F$1:$BN$1=$B8)*('Old CCC projections data'!$A$2:$A$271=AQ$2)*('Old CCC projections data'!$D$2:$D$271=AQ$3)*('Old CCC projections data'!$F$2:$BN$271))*Model!$B$47</f>
        <v>178.07017543859649</v>
      </c>
      <c r="AR8" s="18" cm="1">
        <f t="array" ref="AR8">SUMPRODUCT(('Old CCC projections data'!$F$1:$BN$1=$B8)*('Old CCC projections data'!$A$2:$A$271=AR$2)*('Old CCC projections data'!$D$2:$D$271=AR$3)*('Old CCC projections data'!$F$2:$BN$271))*Model!$B$47</f>
        <v>237.42690058479531</v>
      </c>
      <c r="AS8" s="18" cm="1">
        <f t="array" ref="AS8">SUMPRODUCT(('Old CCC projections data'!$F$1:$BN$1=$B8)*('Old CCC projections data'!$A$2:$A$271=AS$2)*('Old CCC projections data'!$D$2:$D$271=AS$3)*('Old CCC projections data'!$F$2:$BN$271))*Model!$B$47</f>
        <v>296.78362573099417</v>
      </c>
      <c r="AT8" s="18" cm="1">
        <f t="array" ref="AT8">SUMPRODUCT(('Old CCC projections data'!$F$1:$BN$1=$B8)*('Old CCC projections data'!$A$2:$A$271=AT$2)*('Old CCC projections data'!$D$2:$D$271=AT$3)*('Old CCC projections data'!$F$2:$BN$271))*Model!$B$47</f>
        <v>356.14035087719299</v>
      </c>
      <c r="AU8" s="18" cm="1">
        <f t="array" ref="AU8">SUMPRODUCT(('Old CCC projections data'!$F$1:$BN$1=$B8)*('Old CCC projections data'!$A$2:$A$271=AU$2)*('Old CCC projections data'!$D$2:$D$271=AU$3)*('Old CCC projections data'!$F$2:$BN$271))*Model!$B$47</f>
        <v>59.356725146198826</v>
      </c>
      <c r="AV8" s="18" cm="1">
        <f t="array" ref="AV8">SUMPRODUCT(('Old CCC projections data'!$F$1:$BN$1=$B8)*('Old CCC projections data'!$A$2:$A$271=AV$2)*('Old CCC projections data'!$D$2:$D$271=AV$3)*('Old CCC projections data'!$F$2:$BN$271))*Model!$B$47</f>
        <v>65.292397660818708</v>
      </c>
      <c r="AW8" s="18" cm="1">
        <f t="array" ref="AW8">SUMPRODUCT(('Old CCC projections data'!$F$1:$BN$1=$B8)*('Old CCC projections data'!$A$2:$A$271=AW$2)*('Old CCC projections data'!$D$2:$D$271=AW$3)*('Old CCC projections data'!$F$2:$BN$271))*Model!$B$47</f>
        <v>93.75863831252174</v>
      </c>
      <c r="AX8" s="18" cm="1">
        <f t="array" ref="AX8">SUMPRODUCT(('Old CCC projections data'!$F$1:$BN$1=$B8)*('Old CCC projections data'!$A$2:$A$271=AX$2)*('Old CCC projections data'!$D$2:$D$271=AX$3)*('Old CCC projections data'!$F$2:$BN$271))*Model!$B$47</f>
        <v>1.1871345029239767E-2</v>
      </c>
      <c r="AY8" s="18">
        <v>63</v>
      </c>
      <c r="AZ8" s="18">
        <v>63</v>
      </c>
      <c r="BA8" s="18">
        <v>63</v>
      </c>
      <c r="BB8" s="18"/>
      <c r="BC8" s="20" cm="1">
        <f t="array" ref="BC8">SUMPRODUCT(('Old CCC projections data'!$F$1:$BN$1=$B8)*('Old CCC projections data'!$A$2:$A$271=BC$2)*('Old CCC projections data'!$D$2:$D$271=BC$3)*('Old CCC projections data'!$F$2:$BN$271))</f>
        <v>37837.482205111344</v>
      </c>
      <c r="BD8" s="20" cm="1">
        <f t="array" ref="BD8">SUMPRODUCT(('Old CCC projections data'!$F$1:$BN$1=$B8)*('Old CCC projections data'!$A$2:$A$271=BD$2)*('Old CCC projections data'!$D$2:$D$271=BD$3)*('Old CCC projections data'!$F$2:$BN$271))</f>
        <v>37944.784506780321</v>
      </c>
      <c r="BE8" s="20"/>
      <c r="BF8" s="20"/>
      <c r="BG8" s="20" cm="1">
        <f t="array" ref="BG8">SUMPRODUCT(('Old CCC projections data'!$F$1:$BN$1=$B8)*('Old CCC projections data'!$A$2:$A$271=BG$2)*('Old CCC projections data'!$D$2:$D$271=BG$3)*('Old CCC projections data'!$F$2:$BN$271))</f>
        <v>36774.391749126902</v>
      </c>
      <c r="BH8" s="20" cm="1">
        <f t="array" ref="BH8">SUMPRODUCT(('Old CCC projections data'!$F$1:$BN$1=$B8)*('Old CCC projections data'!$A$2:$A$271=BH$2)*('Old CCC projections data'!$D$2:$D$271=BH$3)*('Old CCC projections data'!$F$2:$BN$271))</f>
        <v>36627.395768995069</v>
      </c>
      <c r="BI8" s="20" cm="1">
        <f t="array" ref="BI8">SUMPRODUCT(('Old CCC projections data'!$F$1:$BN$1=$B8)*('Old CCC projections data'!$A$2:$A$271=BI$2)*('Old CCC projections data'!$D$2:$D$271=BI$3)*('Old CCC projections data'!$F$2:$BN$271))</f>
        <v>36820.305560037028</v>
      </c>
      <c r="BJ8" s="20" cm="1">
        <f t="array" ref="BJ8">SUMPRODUCT(('Old CCC projections data'!$F$1:$BN$1=$B8)*('Old CCC projections data'!$A$2:$A$271=BJ$2)*('Old CCC projections data'!$D$2:$D$271=BJ$3)*('Old CCC projections data'!$F$2:$BN$271))</f>
        <v>36531.255582014601</v>
      </c>
      <c r="BK8" s="20" cm="1">
        <f t="array" ref="BK8">SUMPRODUCT(('Old CCC projections data'!$F$1:$BN$1=$B8)*('Old CCC projections data'!$A$2:$A$271=BK$2)*('Old CCC projections data'!$D$2:$D$271=BK$3)*('Old CCC projections data'!$F$2:$BN$271))</f>
        <v>36251.285191763469</v>
      </c>
      <c r="BL8" s="20" cm="1">
        <f t="array" ref="BL8">SUMPRODUCT(('Old CCC projections data'!$F$1:$BN$1=$B8)*('Old CCC projections data'!$A$2:$A$271=BL$2)*('Old CCC projections data'!$D$2:$D$271=BL$3)*('Old CCC projections data'!$F$2:$BN$271))</f>
        <v>37091.146011130593</v>
      </c>
      <c r="BM8" s="20" cm="1">
        <f t="array" ref="BM8">SUMPRODUCT(('Old CCC projections data'!$F$1:$BN$1=$B8)*('Old CCC projections data'!$A$2:$A$271=BM$2)*('Old CCC projections data'!$D$2:$D$271=BM$3)*('Old CCC projections data'!$F$2:$BN$271))</f>
        <v>36832.278310175461</v>
      </c>
      <c r="BN8" s="20" cm="1">
        <f t="array" ref="BN8">SUMPRODUCT(('Old CCC projections data'!$F$1:$BN$1=$B8)*('Old CCC projections data'!$A$2:$A$271=BN$2)*('Old CCC projections data'!$D$2:$D$271=BN$3)*('Old CCC projections data'!$F$2:$BN$271))</f>
        <v>37354.602072444766</v>
      </c>
      <c r="BO8" s="20" cm="1">
        <f t="array" ref="BO8">SUMPRODUCT(('Old CCC projections data'!$F$1:$BN$1=$B8)*('Old CCC projections data'!$A$2:$A$271=BO$2)*('Old CCC projections data'!$D$2:$D$271=BO$3)*('Old CCC projections data'!$F$2:$BN$271))</f>
        <v>37233.103932593745</v>
      </c>
      <c r="BP8" s="20" cm="1">
        <f t="array" ref="BP8">SUMPRODUCT(('Old CCC projections data'!$F$1:$BN$1=$B8)*('Old CCC projections data'!$A$2:$A$271=BP$2)*('Old CCC projections data'!$D$2:$D$271=BP$3)*('Old CCC projections data'!$F$2:$BN$271))</f>
        <v>37122.152963180321</v>
      </c>
      <c r="BQ8" s="20" cm="1">
        <f t="array" ref="BQ8">SUMPRODUCT(('Old CCC projections data'!$F$1:$BN$1=$B8)*('Old CCC projections data'!$A$2:$A$271=BQ$2)*('Old CCC projections data'!$D$2:$D$271=BQ$3)*('Old CCC projections data'!$F$2:$BN$271))</f>
        <v>37352.753016843737</v>
      </c>
      <c r="BR8" s="20" cm="1">
        <f t="array" ref="BR8">SUMPRODUCT(('Old CCC projections data'!$F$1:$BN$1=$B8)*('Old CCC projections data'!$A$2:$A$271=BR$2)*('Old CCC projections data'!$D$2:$D$271=BR$3)*('Old CCC projections data'!$F$2:$BN$271))</f>
        <v>37057.001937518995</v>
      </c>
      <c r="BS8" s="20" cm="1">
        <f t="array" ref="BS8">SUMPRODUCT(('Old CCC projections data'!$F$1:$BN$1=$B8)*('Old CCC projections data'!$A$2:$A$271=BS$2)*('Old CCC projections data'!$D$2:$D$271=BS$3)*('Old CCC projections data'!$F$2:$BN$271))</f>
        <v>36745.030273762532</v>
      </c>
      <c r="BT8" s="20" cm="1">
        <f t="array" ref="BT8">SUMPRODUCT(('Old CCC projections data'!$F$1:$BN$1=$B8)*('Old CCC projections data'!$A$2:$A$271=BT$2)*('Old CCC projections data'!$D$2:$D$271=BT$3)*('Old CCC projections data'!$F$2:$BN$271))</f>
        <v>37542.45263336692</v>
      </c>
      <c r="BU8" s="20" cm="1">
        <f t="array" ref="BU8">SUMPRODUCT(('Old CCC projections data'!$F$1:$BN$1=$B8)*('Old CCC projections data'!$A$2:$A$271=BU$2)*('Old CCC projections data'!$D$2:$D$271=BU$3)*('Old CCC projections data'!$F$2:$BN$271))</f>
        <v>37283.410713651239</v>
      </c>
      <c r="BV8" s="20" cm="1">
        <f t="array" ref="BV8">SUMPRODUCT(('Old CCC projections data'!$F$1:$BN$1=$B8)*('Old CCC projections data'!$A$2:$A$271=BV$2)*('Old CCC projections data'!$D$2:$D$271=BV$3)*('Old CCC projections data'!$F$2:$BN$271))</f>
        <v>37691.889691750548</v>
      </c>
      <c r="BW8" s="20" cm="1">
        <f t="array" ref="BW8">SUMPRODUCT(('Old CCC projections data'!$F$1:$BN$1=$B8)*('Old CCC projections data'!$A$2:$A$271=BW$2)*('Old CCC projections data'!$D$2:$D$271=BW$3)*('Old CCC projections data'!$F$2:$BN$271))</f>
        <v>36378.228851097207</v>
      </c>
      <c r="BX8" s="20" cm="1">
        <f t="array" ref="BX8">SUMPRODUCT(('Old CCC projections data'!$F$1:$BN$1=$B8)*('Old CCC projections data'!$A$2:$A$271=BX$2)*('Old CCC projections data'!$D$2:$D$271=BX$3)*('Old CCC projections data'!$F$2:$BN$271))</f>
        <v>36232.783853669338</v>
      </c>
      <c r="BY8" s="20" cm="1">
        <f t="array" ref="BY8">SUMPRODUCT(('Old CCC projections data'!$F$1:$BN$1=$B8)*('Old CCC projections data'!$A$2:$A$271=BY$2)*('Old CCC projections data'!$D$2:$D$271=BY$3)*('Old CCC projections data'!$F$2:$BN$271))</f>
        <v>36477.780901848506</v>
      </c>
      <c r="BZ8" s="20" cm="1">
        <f t="array" ref="BZ8">SUMPRODUCT(('Old CCC projections data'!$F$1:$BN$1=$B8)*('Old CCC projections data'!$A$2:$A$271=BZ$2)*('Old CCC projections data'!$D$2:$D$271=BZ$3)*('Old CCC projections data'!$F$2:$BN$271))</f>
        <v>36170.661914767763</v>
      </c>
      <c r="CA8" s="20" cm="1">
        <f t="array" ref="CA8">SUMPRODUCT(('Old CCC projections data'!$F$1:$BN$1=$B8)*('Old CCC projections data'!$A$2:$A$271=CA$2)*('Old CCC projections data'!$D$2:$D$271=CA$3)*('Old CCC projections data'!$F$2:$BN$271))</f>
        <v>35908.925957504733</v>
      </c>
      <c r="CB8" s="20" cm="1">
        <f t="array" ref="CB8">SUMPRODUCT(('Old CCC projections data'!$F$1:$BN$1=$B8)*('Old CCC projections data'!$A$2:$A$271=CB$2)*('Old CCC projections data'!$D$2:$D$271=CB$3)*('Old CCC projections data'!$F$2:$BN$271))</f>
        <v>36697.449429077547</v>
      </c>
      <c r="CC8" s="20" cm="1">
        <f t="array" ref="CC8">SUMPRODUCT(('Old CCC projections data'!$F$1:$BN$1=$B8)*('Old CCC projections data'!$A$2:$A$271=CC$2)*('Old CCC projections data'!$D$2:$D$271=CC$3)*('Old CCC projections data'!$F$2:$BN$271))</f>
        <v>36658.100610013724</v>
      </c>
      <c r="CD8" s="20" cm="1">
        <f t="array" ref="CD8">SUMPRODUCT(('Old CCC projections data'!$F$1:$BN$1=$B8)*('Old CCC projections data'!$A$2:$A$271=CD$2)*('Old CCC projections data'!$D$2:$D$271=CD$3)*('Old CCC projections data'!$F$2:$BN$271))</f>
        <v>36438.080160422964</v>
      </c>
      <c r="CE8" s="20" cm="1">
        <f t="array" ref="CE8">SUMPRODUCT(('Old CCC projections data'!$F$1:$BN$1=$B8)*('Old CCC projections data'!$A$2:$A$271=CE$2)*('Old CCC projections data'!$D$2:$D$271=CE$3)*('Old CCC projections data'!$F$2:$BN$271))</f>
        <v>36975.50255489214</v>
      </c>
      <c r="CF8" s="20" cm="1">
        <f t="array" ref="CF8">SUMPRODUCT(('Old CCC projections data'!$F$1:$BN$1=$B8)*('Old CCC projections data'!$A$2:$A$271=CF$2)*('Old CCC projections data'!$D$2:$D$271=CF$3)*('Old CCC projections data'!$F$2:$BN$271))</f>
        <v>37088.515442561569</v>
      </c>
      <c r="CG8" s="20" cm="1">
        <f t="array" ref="CG8">SUMPRODUCT(('Old CCC projections data'!$F$1:$BN$1=$B8)*('Old CCC projections data'!$A$2:$A$271=CG$2)*('Old CCC projections data'!$D$2:$D$271=CG$3)*('Old CCC projections data'!$F$2:$BN$271))</f>
        <v>37003.206996841865</v>
      </c>
      <c r="CH8" s="20" cm="1">
        <f t="array" ref="CH8">SUMPRODUCT(('Old CCC projections data'!$F$1:$BN$1=$B8)*('Old CCC projections data'!$A$2:$A$271=CH$2)*('Old CCC projections data'!$D$2:$D$271=CH$3)*('Old CCC projections data'!$F$2:$BN$271))</f>
        <v>37219.788988701788</v>
      </c>
      <c r="CI8" s="20" cm="1">
        <f t="array" ref="CI8">SUMPRODUCT(('Old CCC projections data'!$F$1:$BN$1=$B8)*('Old CCC projections data'!$A$2:$A$271=CI$2)*('Old CCC projections data'!$D$2:$D$271=CI$3)*('Old CCC projections data'!$F$2:$BN$271))</f>
        <v>36943.84500164193</v>
      </c>
      <c r="CJ8" s="20" cm="1">
        <f t="array" ref="CJ8">SUMPRODUCT(('Old CCC projections data'!$F$1:$BN$1=$B8)*('Old CCC projections data'!$A$2:$A$271=CJ$2)*('Old CCC projections data'!$D$2:$D$271=CJ$3)*('Old CCC projections data'!$F$2:$BN$271))</f>
        <v>36799.63273814592</v>
      </c>
      <c r="CK8" s="20" cm="1">
        <f t="array" ref="CK8">SUMPRODUCT(('Old CCC projections data'!$F$1:$BN$1=$B8)*('Old CCC projections data'!$A$2:$A$271=CK$2)*('Old CCC projections data'!$D$2:$D$271=CK$3)*('Old CCC projections data'!$F$2:$BN$271))</f>
        <v>36653.247169227317</v>
      </c>
      <c r="CL8" s="20" cm="1">
        <f t="array" ref="CL8">SUMPRODUCT(('Old CCC projections data'!$F$1:$BN$1=$B8)*('Old CCC projections data'!$A$2:$A$271=CL$2)*('Old CCC projections data'!$D$2:$D$271=CL$3)*('Old CCC projections data'!$F$2:$BN$271))</f>
        <v>37363.674434238907</v>
      </c>
      <c r="CM8" s="20" cm="1">
        <f t="array" ref="CM8">SUMPRODUCT(('Old CCC projections data'!$F$1:$BN$1=$B8)*('Old CCC projections data'!$A$2:$A$271=CM$2)*('Old CCC projections data'!$D$2:$D$271=CM$3)*('Old CCC projections data'!$F$2:$BN$271))</f>
        <v>37153.402851893647</v>
      </c>
      <c r="CN8" s="20" cm="1">
        <f t="array" ref="CN8">SUMPRODUCT(('Old CCC projections data'!$F$1:$BN$1=$B8)*('Old CCC projections data'!$A$2:$A$271=CN$2)*('Old CCC projections data'!$D$2:$D$271=CN$3)*('Old CCC projections data'!$F$2:$BN$271))</f>
        <v>37595.931246785687</v>
      </c>
      <c r="CO8" s="20" cm="1">
        <f t="array" ref="CO8">SUMPRODUCT(('Old CCC projections data'!$F$1:$BN$1=$B8)*('Old CCC projections data'!$A$2:$A$271=CO$2)*('Old CCC projections data'!$D$2:$D$271=CO$3)*('Old CCC projections data'!$F$2:$BN$271))</f>
        <v>36544.21766118861</v>
      </c>
      <c r="CP8" s="20" cm="1">
        <f t="array" ref="CP8">SUMPRODUCT(('Old CCC projections data'!$F$1:$BN$1=$B8)*('Old CCC projections data'!$A$2:$A$271=CP$2)*('Old CCC projections data'!$D$2:$D$271=CP$3)*('Old CCC projections data'!$F$2:$BN$271))</f>
        <v>36414.923685336609</v>
      </c>
      <c r="CQ8" s="20" cm="1">
        <f t="array" ref="CQ8">SUMPRODUCT(('Old CCC projections data'!$F$1:$BN$1=$B8)*('Old CCC projections data'!$A$2:$A$271=CQ$2)*('Old CCC projections data'!$D$2:$D$271=CQ$3)*('Old CCC projections data'!$F$2:$BN$271))</f>
        <v>36613.712412531917</v>
      </c>
      <c r="CR8" s="20" cm="1">
        <f t="array" ref="CR8">SUMPRODUCT(('Old CCC projections data'!$F$1:$BN$1=$B8)*('Old CCC projections data'!$A$2:$A$271=CR$2)*('Old CCC projections data'!$D$2:$D$271=CR$3)*('Old CCC projections data'!$F$2:$BN$271))</f>
        <v>36321.97010095085</v>
      </c>
      <c r="CS8" s="20" cm="1">
        <f t="array" ref="CS8">SUMPRODUCT(('Old CCC projections data'!$F$1:$BN$1=$B8)*('Old CCC projections data'!$A$2:$A$271=CS$2)*('Old CCC projections data'!$D$2:$D$271=CS$3)*('Old CCC projections data'!$F$2:$BN$271))</f>
        <v>36042.427443953653</v>
      </c>
      <c r="CT8" s="20" cm="1">
        <f t="array" ref="CT8">SUMPRODUCT(('Old CCC projections data'!$F$1:$BN$1=$B8)*('Old CCC projections data'!$A$2:$A$271=CT$2)*('Old CCC projections data'!$D$2:$D$271=CT$3)*('Old CCC projections data'!$F$2:$BN$271))</f>
        <v>36698.35482836482</v>
      </c>
      <c r="CU8" s="20" cm="1">
        <f t="array" ref="CU8">SUMPRODUCT(('Old CCC projections data'!$F$1:$BN$1=$B8)*('Old CCC projections data'!$A$2:$A$271=CU$2)*('Old CCC projections data'!$D$2:$D$271=CU$3)*('Old CCC projections data'!$F$2:$BN$271))</f>
        <v>36667.84616672335</v>
      </c>
      <c r="CV8" s="20" cm="1">
        <f t="array" ref="CV8">SUMPRODUCT(('Old CCC projections data'!$F$1:$BN$1=$B8)*('Old CCC projections data'!$A$2:$A$271=CV$2)*('Old CCC projections data'!$D$2:$D$271=CV$3)*('Old CCC projections data'!$F$2:$BN$271))</f>
        <v>36534.886003263731</v>
      </c>
      <c r="CW8" s="20" cm="1">
        <f t="array" ref="CW8">SUMPRODUCT(('Old CCC projections data'!$F$1:$BN$1=$B8)*('Old CCC projections data'!$A$2:$A$271=CW$2)*('Old CCC projections data'!$D$2:$D$271=CW$3)*('Old CCC projections data'!$F$2:$BN$271))</f>
        <v>37171.845521695919</v>
      </c>
      <c r="CX8" s="20">
        <f t="shared" si="19"/>
        <v>522.32376226930501</v>
      </c>
      <c r="CY8" s="20" t="str">
        <f t="shared" si="29"/>
        <v>Demo path - C price $100 3%</v>
      </c>
      <c r="CZ8" s="3">
        <f t="shared" si="30"/>
        <v>2026</v>
      </c>
      <c r="DA8" s="18">
        <f t="shared" si="31"/>
        <v>0</v>
      </c>
      <c r="DB8" s="18">
        <f ca="1">(H11+IF($DB$3&gt;0,NPV($DB$2,H12:OFFSET(H11,$DB$3,0)),0))/($DB$3+1)</f>
        <v>129.72139239766082</v>
      </c>
      <c r="DC8" s="18">
        <f t="shared" ca="1" si="20"/>
        <v>29.721392397660821</v>
      </c>
      <c r="DD8" s="18">
        <f t="shared" si="32"/>
        <v>100</v>
      </c>
      <c r="DE8" s="20">
        <f t="shared" si="21"/>
        <v>35989.651978621361</v>
      </c>
      <c r="DF8" s="20" cm="1">
        <f t="array" ref="DF8">SUMPRODUCT(($BG$2:$BM$2=CY8)*($B$5:$B$35=CZ8)*($BG$5:$BM$35))</f>
        <v>34005.645184696397</v>
      </c>
      <c r="DG8" s="20">
        <f t="shared" si="16"/>
        <v>1984.0067939249639</v>
      </c>
      <c r="DH8" s="20" cm="1">
        <f t="array" ref="DH8">IF(CZ8=2023,SUMPRODUCT(($B$5:$B$35=CZ8-1)*($BN$5:$BN$35))-SUMPRODUCT(($BG$2:$BM$2=CY8)*($B$5:$B$35=CZ8-1)*($BG$5:$BM$35)),DG7)</f>
        <v>1575.0772891840388</v>
      </c>
      <c r="DI8" s="18">
        <f t="shared" ca="1" si="17"/>
        <v>129.72139239766082</v>
      </c>
      <c r="DJ8" s="89">
        <f t="shared" si="22"/>
        <v>7.5928737121962957</v>
      </c>
      <c r="DK8" s="89">
        <f t="shared" si="23"/>
        <v>7.3620596225535202</v>
      </c>
      <c r="DL8" s="89">
        <f t="shared" ca="1" si="24"/>
        <v>4.8653890152518517</v>
      </c>
      <c r="DM8" s="20">
        <f t="shared" ca="1" si="25"/>
        <v>776.09358672219514</v>
      </c>
      <c r="DN8" s="20">
        <f t="shared" ca="1" si="26"/>
        <v>2208.3270249656425</v>
      </c>
      <c r="DO8" s="20">
        <f t="shared" ca="1" si="27"/>
        <v>1492.2103058439188</v>
      </c>
      <c r="DP8" s="113"/>
      <c r="DQ8" s="18">
        <v>150</v>
      </c>
      <c r="DR8">
        <f t="shared" si="18"/>
        <v>0</v>
      </c>
      <c r="DS8" s="18" cm="1">
        <f t="array" aca="1" ref="DS8" ca="1">SUMPRODUCT(($DD$5:$DD$200=DQ8)*($CZ$5:$CZ$200=$DS$3)*($DB$5:$DB$200))</f>
        <v>219.00385498355143</v>
      </c>
      <c r="DT8" s="20" cm="1">
        <f t="array" ref="DT8">SUMPRODUCT(($DD$5:$DD$200=$DQ8)*($CZ$5:$CZ$200=$DS$3)*($DG$5:$DG$200))</f>
        <v>5215.6782353470262</v>
      </c>
      <c r="DU8" s="18" cm="1">
        <f t="array" aca="1" ref="DU8" ca="1">SUMPRODUCT(($DD$5:$DD$200=$DQ8)*($CZ$5:$CZ$200=$DU$3)*($DB$5:$DB$200))</f>
        <v>253.88549125418805</v>
      </c>
      <c r="DV8" s="20" cm="1">
        <f t="array" ref="DV8">SUMPRODUCT(($DD$5:$DD$200=$DQ8)*($CZ$5:$CZ$200=$DU$3)*($DG$5:$DG$200))</f>
        <v>5174.1794277371955</v>
      </c>
      <c r="DW8" s="18" cm="1">
        <f t="array" aca="1" ref="DW8" ca="1">SUMPRODUCT(($DD$5:$DD$200=$DQ8)*($CZ$5:$CZ$200=$DW$3)*($DB$5:$DB$200))</f>
        <v>395.54532292170347</v>
      </c>
      <c r="DX8" s="20" cm="1">
        <f t="array" ref="DX8">SUMPRODUCT(($DD$5:$DD$200=$DQ8)*($CZ$5:$CZ$200=$DW$3)*($DG$5:$DG$200))</f>
        <v>5843.4569974139758</v>
      </c>
    </row>
    <row r="9" spans="1:128" x14ac:dyDescent="0.25">
      <c r="A9">
        <v>-1</v>
      </c>
      <c r="B9">
        <f t="shared" si="28"/>
        <v>2024</v>
      </c>
      <c r="C9" s="190">
        <v>62</v>
      </c>
      <c r="D9" s="18" cm="1">
        <f t="array" ref="D9">SUMPRODUCT(('Old CCC projections data'!$F$1:$BN$1=$B9)*('Old CCC projections data'!$A$2:$A$271=D$2)*('Old CCC projections data'!$D$2:$D$271=D$3)*('Old CCC projections data'!$F$2:$BN$271))*Model!$B$47</f>
        <v>41.549707602339183</v>
      </c>
      <c r="E9" s="18" cm="1">
        <f t="array" ref="E9">SUMPRODUCT(('Old CCC projections data'!$F$1:$BN$1=$B9)*('Old CCC projections data'!$A$2:$A$271=E$2)*('Old CCC projections data'!$D$2:$D$271=E$3)*('Old CCC projections data'!$F$2:$BN$271))*Model!$B$47</f>
        <v>1.1871345029239767E-2</v>
      </c>
      <c r="F9" s="18"/>
      <c r="G9" s="18"/>
      <c r="H9" s="18" cm="1">
        <f t="array" ref="H9">SUMPRODUCT(('Old CCC projections data'!$F$1:$BN$1=$B9)*('Old CCC projections data'!$A$2:$A$271=H$2)*('Old CCC projections data'!$D$2:$D$271=H$3)*('Old CCC projections data'!$F$2:$BN$271))*Model!$B$47</f>
        <v>122.27485380116958</v>
      </c>
      <c r="I9" s="18" cm="1">
        <f t="array" ref="I9">SUMPRODUCT(('Old CCC projections data'!$F$1:$BN$1=$B9)*('Old CCC projections data'!$A$2:$A$271=I$2)*('Old CCC projections data'!$D$2:$D$271=I$3)*('Old CCC projections data'!$F$2:$BN$271))*Model!$B$47</f>
        <v>183.41228070175438</v>
      </c>
      <c r="J9" s="18" cm="1">
        <f t="array" ref="J9">SUMPRODUCT(('Old CCC projections data'!$F$1:$BN$1=$B9)*('Old CCC projections data'!$A$2:$A$271=J$2)*('Old CCC projections data'!$D$2:$D$271=J$3)*('Old CCC projections data'!$F$2:$BN$271))*Model!$B$47</f>
        <v>244.54970760233917</v>
      </c>
      <c r="K9" s="18" cm="1">
        <f t="array" ref="K9">SUMPRODUCT(('Old CCC projections data'!$F$1:$BN$1=$B9)*('Old CCC projections data'!$A$2:$A$271=K$2)*('Old CCC projections data'!$D$2:$D$271=K$3)*('Old CCC projections data'!$F$2:$BN$271))*Model!$B$47</f>
        <v>305.68713450292398</v>
      </c>
      <c r="L9" s="18" cm="1">
        <f t="array" ref="L9">SUMPRODUCT(('Old CCC projections data'!$F$1:$BN$1=$B9)*('Old CCC projections data'!$A$2:$A$271=L$2)*('Old CCC projections data'!$D$2:$D$271=L$3)*('Old CCC projections data'!$F$2:$BN$271))*Model!$B$47</f>
        <v>366.82456140350877</v>
      </c>
      <c r="M9" s="18" cm="1">
        <f t="array" ref="M9">SUMPRODUCT(('Old CCC projections data'!$F$1:$BN$1=$B9)*('Old CCC projections data'!$A$2:$A$271=M$2)*('Old CCC projections data'!$D$2:$D$271=M$3)*('Old CCC projections data'!$F$2:$BN$271))*Model!$B$47</f>
        <v>61.137426900584792</v>
      </c>
      <c r="N9" s="189" cm="1">
        <f t="array" ref="N9">SUMPRODUCT(('Old CCC projections data'!$F$1:$BN$1=$B9)*('Old CCC projections data'!$A$2:$A$271=N$2)*('Old CCC projections data'!$D$2:$D$271=N$3)*('Old CCC projections data'!$F$2:$BN$271))*Model!$B$47</f>
        <v>104.77808622773772</v>
      </c>
      <c r="O9" s="18" cm="1">
        <f t="array" ref="O9">SUMPRODUCT(('Old CCC projections data'!$F$1:$BN$1=$B9)*('Old CCC projections data'!$A$2:$A$271=O$2)*('Old CCC projections data'!$D$2:$D$271=O$3)*('Old CCC projections data'!$F$2:$BN$271))*Model!$B$47</f>
        <v>1.1871345029239767E-2</v>
      </c>
      <c r="P9" s="18" cm="1">
        <f t="array" ref="P9">SUMPRODUCT(('Old CCC projections data'!$F$1:$BN$1=$B9)*('Old CCC projections data'!$A$2:$A$271=P$2)*('Old CCC projections data'!$D$2:$D$271=P$3)*('Old CCC projections data'!$F$2:$BN$271))*Model!$B$47</f>
        <v>122.27485380116958</v>
      </c>
      <c r="Q9" s="18" cm="1">
        <f t="array" ref="Q9">SUMPRODUCT(('Old CCC projections data'!$F$1:$BN$1=$B9)*('Old CCC projections data'!$A$2:$A$271=Q$2)*('Old CCC projections data'!$D$2:$D$271=Q$3)*('Old CCC projections data'!$F$2:$BN$271))*Model!$B$47</f>
        <v>183.41228070175438</v>
      </c>
      <c r="R9" s="18" cm="1">
        <f t="array" ref="R9">SUMPRODUCT(('Old CCC projections data'!$F$1:$BN$1=$B9)*('Old CCC projections data'!$A$2:$A$271=R$2)*('Old CCC projections data'!$D$2:$D$271=R$3)*('Old CCC projections data'!$F$2:$BN$271))*Model!$B$47</f>
        <v>244.54970760233917</v>
      </c>
      <c r="S9" s="18" cm="1">
        <f t="array" ref="S9">SUMPRODUCT(('Old CCC projections data'!$F$1:$BN$1=$B9)*('Old CCC projections data'!$A$2:$A$271=S$2)*('Old CCC projections data'!$D$2:$D$271=S$3)*('Old CCC projections data'!$F$2:$BN$271))*Model!$B$47</f>
        <v>305.68713450292398</v>
      </c>
      <c r="T9" s="18" cm="1">
        <f t="array" ref="T9">SUMPRODUCT(('Old CCC projections data'!$F$1:$BN$1=$B9)*('Old CCC projections data'!$A$2:$A$271=T$2)*('Old CCC projections data'!$D$2:$D$271=T$3)*('Old CCC projections data'!$F$2:$BN$271))*Model!$B$47</f>
        <v>366.82456140350877</v>
      </c>
      <c r="U9" s="18" cm="1">
        <f t="array" ref="U9">SUMPRODUCT(('Old CCC projections data'!$F$1:$BN$1=$B9)*('Old CCC projections data'!$A$2:$A$271=U$2)*('Old CCC projections data'!$D$2:$D$271=U$3)*('Old CCC projections data'!$F$2:$BN$271))*Model!$B$47</f>
        <v>61.137426900584792</v>
      </c>
      <c r="V9" s="18" cm="1">
        <f t="array" ref="V9">SUMPRODUCT(('Old CCC projections data'!$F$1:$BN$1=$B9)*('Old CCC projections data'!$A$2:$A$271=V$2)*('Old CCC projections data'!$D$2:$D$271=V$3)*('Old CCC projections data'!$F$2:$BN$271))*Model!$B$47</f>
        <v>104.77808622773772</v>
      </c>
      <c r="W9" s="18" cm="1">
        <f t="array" ref="W9">SUMPRODUCT(('Old CCC projections data'!$F$1:$BN$1=$B9)*('Old CCC projections data'!$A$2:$A$271=W$2)*('Old CCC projections data'!$D$2:$D$271=W$3)*('Old CCC projections data'!$F$2:$BN$271))*Model!$B$47</f>
        <v>1.1871345029239767E-2</v>
      </c>
      <c r="X9" s="18" cm="1">
        <f t="array" ref="X9">SUMPRODUCT(('Old CCC projections data'!$F$1:$BN$1=$B9)*('Old CCC projections data'!$A$2:$A$271=X$2)*('Old CCC projections data'!$D$2:$D$271=X$3)*('Old CCC projections data'!$F$2:$BN$271))*Model!$B$47</f>
        <v>122.27485380116958</v>
      </c>
      <c r="Y9" s="18" cm="1">
        <f t="array" ref="Y9">SUMPRODUCT(('Old CCC projections data'!$F$1:$BN$1=$B9)*('Old CCC projections data'!$A$2:$A$271=Y$2)*('Old CCC projections data'!$D$2:$D$271=Y$3)*('Old CCC projections data'!$F$2:$BN$271))*Model!$B$47</f>
        <v>183.41228070175438</v>
      </c>
      <c r="Z9" s="18" cm="1">
        <f t="array" ref="Z9">SUMPRODUCT(('Old CCC projections data'!$F$1:$BN$1=$B9)*('Old CCC projections data'!$A$2:$A$271=Z$2)*('Old CCC projections data'!$D$2:$D$271=Z$3)*('Old CCC projections data'!$F$2:$BN$271))*Model!$B$47</f>
        <v>244.54970760233917</v>
      </c>
      <c r="AA9" s="18" cm="1">
        <f t="array" ref="AA9">SUMPRODUCT(('Old CCC projections data'!$F$1:$BN$1=$B9)*('Old CCC projections data'!$A$2:$A$271=AA$2)*('Old CCC projections data'!$D$2:$D$271=AA$3)*('Old CCC projections data'!$F$2:$BN$271))*Model!$B$47</f>
        <v>305.68713450292398</v>
      </c>
      <c r="AB9" s="18" cm="1">
        <f t="array" ref="AB9">SUMPRODUCT(('Old CCC projections data'!$F$1:$BN$1=$B9)*('Old CCC projections data'!$A$2:$A$271=AB$2)*('Old CCC projections data'!$D$2:$D$271=AB$3)*('Old CCC projections data'!$F$2:$BN$271))*Model!$B$47</f>
        <v>366.82456140350877</v>
      </c>
      <c r="AC9" s="18" cm="1">
        <f t="array" ref="AC9">SUMPRODUCT(('Old CCC projections data'!$F$1:$BN$1=$B9)*('Old CCC projections data'!$A$2:$A$271=AC$2)*('Old CCC projections data'!$D$2:$D$271=AC$3)*('Old CCC projections data'!$F$2:$BN$271))*Model!$B$47</f>
        <v>61.137426900584792</v>
      </c>
      <c r="AD9" s="18" cm="1">
        <f t="array" ref="AD9">SUMPRODUCT(('Old CCC projections data'!$F$1:$BN$1=$B9)*('Old CCC projections data'!$A$2:$A$271=AD$2)*('Old CCC projections data'!$D$2:$D$271=AD$3)*('Old CCC projections data'!$F$2:$BN$271))*Model!$B$47</f>
        <v>67.251169590643272</v>
      </c>
      <c r="AE9" s="18" cm="1">
        <f t="array" ref="AE9">SUMPRODUCT(('Old CCC projections data'!$F$1:$BN$1=$B9)*('Old CCC projections data'!$A$2:$A$271=AE$2)*('Old CCC projections data'!$D$2:$D$271=AE$3)*('Old CCC projections data'!$F$2:$BN$271))*Model!$B$47</f>
        <v>104.77808622773772</v>
      </c>
      <c r="AF9" s="18" cm="1">
        <f t="array" ref="AF9">SUMPRODUCT(('Old CCC projections data'!$F$1:$BN$1=$B9)*('Old CCC projections data'!$A$2:$A$271=AF$2)*('Old CCC projections data'!$D$2:$D$271=AF$3)*('Old CCC projections data'!$F$2:$BN$271))*Model!$B$47</f>
        <v>1.1871345029239767E-2</v>
      </c>
      <c r="AG9" s="18" cm="1">
        <f t="array" ref="AG9">SUMPRODUCT(('Old CCC projections data'!$F$1:$BN$1=$B9)*('Old CCC projections data'!$A$2:$A$271=AG$2)*('Old CCC projections data'!$D$2:$D$271=AG$3)*('Old CCC projections data'!$F$2:$BN$271))*Model!$B$47</f>
        <v>122.27485380116958</v>
      </c>
      <c r="AH9" s="18" cm="1">
        <f t="array" ref="AH9">SUMPRODUCT(('Old CCC projections data'!$F$1:$BN$1=$B9)*('Old CCC projections data'!$A$2:$A$271=AH$2)*('Old CCC projections data'!$D$2:$D$271=AH$3)*('Old CCC projections data'!$F$2:$BN$271))*Model!$B$47</f>
        <v>183.41228070175438</v>
      </c>
      <c r="AI9" s="18" cm="1">
        <f t="array" ref="AI9">SUMPRODUCT(('Old CCC projections data'!$F$1:$BN$1=$B9)*('Old CCC projections data'!$A$2:$A$271=AI$2)*('Old CCC projections data'!$D$2:$D$271=AI$3)*('Old CCC projections data'!$F$2:$BN$271))*Model!$B$47</f>
        <v>244.54970760233917</v>
      </c>
      <c r="AJ9" s="18" cm="1">
        <f t="array" ref="AJ9">SUMPRODUCT(('Old CCC projections data'!$F$1:$BN$1=$B9)*('Old CCC projections data'!$A$2:$A$271=AJ$2)*('Old CCC projections data'!$D$2:$D$271=AJ$3)*('Old CCC projections data'!$F$2:$BN$271))*Model!$B$47</f>
        <v>305.68713450292398</v>
      </c>
      <c r="AK9" s="18" cm="1">
        <f t="array" ref="AK9">SUMPRODUCT(('Old CCC projections data'!$F$1:$BN$1=$B9)*('Old CCC projections data'!$A$2:$A$271=AK$2)*('Old CCC projections data'!$D$2:$D$271=AK$3)*('Old CCC projections data'!$F$2:$BN$271))*Model!$B$47</f>
        <v>330.14210526315793</v>
      </c>
      <c r="AL9" s="18" cm="1">
        <f t="array" ref="AL9">SUMPRODUCT(('Old CCC projections data'!$F$1:$BN$1=$B9)*('Old CCC projections data'!$A$2:$A$271=AL$2)*('Old CCC projections data'!$D$2:$D$271=AL$3)*('Old CCC projections data'!$F$2:$BN$271))*Model!$B$47</f>
        <v>366.82456140350877</v>
      </c>
      <c r="AM9" s="18" cm="1">
        <f t="array" ref="AM9">SUMPRODUCT(('Old CCC projections data'!$F$1:$BN$1=$B9)*('Old CCC projections data'!$A$2:$A$271=AM$2)*('Old CCC projections data'!$D$2:$D$271=AM$3)*('Old CCC projections data'!$F$2:$BN$271))*Model!$B$47</f>
        <v>61.137426900584792</v>
      </c>
      <c r="AN9" s="18" cm="1">
        <f t="array" ref="AN9">SUMPRODUCT(('Old CCC projections data'!$F$1:$BN$1=$B9)*('Old CCC projections data'!$A$2:$A$271=AN$2)*('Old CCC projections data'!$D$2:$D$271=AN$3)*('Old CCC projections data'!$F$2:$BN$271))*Model!$B$47</f>
        <v>104.77808622773772</v>
      </c>
      <c r="AO9" s="18" cm="1">
        <f t="array" ref="AO9">SUMPRODUCT(('Old CCC projections data'!$F$1:$BN$1=$B9)*('Old CCC projections data'!$A$2:$A$271=AO$2)*('Old CCC projections data'!$D$2:$D$271=AO$3)*('Old CCC projections data'!$F$2:$BN$271))*Model!$B$47</f>
        <v>1.1871345029239767E-2</v>
      </c>
      <c r="AP9" s="18" cm="1">
        <f t="array" ref="AP9">SUMPRODUCT(('Old CCC projections data'!$F$1:$BN$1=$B9)*('Old CCC projections data'!$A$2:$A$271=AP$2)*('Old CCC projections data'!$D$2:$D$271=AP$3)*('Old CCC projections data'!$F$2:$BN$271))*Model!$B$47</f>
        <v>122.27485380116958</v>
      </c>
      <c r="AQ9" s="18" cm="1">
        <f t="array" ref="AQ9">SUMPRODUCT(('Old CCC projections data'!$F$1:$BN$1=$B9)*('Old CCC projections data'!$A$2:$A$271=AQ$2)*('Old CCC projections data'!$D$2:$D$271=AQ$3)*('Old CCC projections data'!$F$2:$BN$271))*Model!$B$47</f>
        <v>183.41228070175438</v>
      </c>
      <c r="AR9" s="18" cm="1">
        <f t="array" ref="AR9">SUMPRODUCT(('Old CCC projections data'!$F$1:$BN$1=$B9)*('Old CCC projections data'!$A$2:$A$271=AR$2)*('Old CCC projections data'!$D$2:$D$271=AR$3)*('Old CCC projections data'!$F$2:$BN$271))*Model!$B$47</f>
        <v>244.54970760233917</v>
      </c>
      <c r="AS9" s="18" cm="1">
        <f t="array" ref="AS9">SUMPRODUCT(('Old CCC projections data'!$F$1:$BN$1=$B9)*('Old CCC projections data'!$A$2:$A$271=AS$2)*('Old CCC projections data'!$D$2:$D$271=AS$3)*('Old CCC projections data'!$F$2:$BN$271))*Model!$B$47</f>
        <v>305.68713450292398</v>
      </c>
      <c r="AT9" s="18" cm="1">
        <f t="array" ref="AT9">SUMPRODUCT(('Old CCC projections data'!$F$1:$BN$1=$B9)*('Old CCC projections data'!$A$2:$A$271=AT$2)*('Old CCC projections data'!$D$2:$D$271=AT$3)*('Old CCC projections data'!$F$2:$BN$271))*Model!$B$47</f>
        <v>366.82456140350877</v>
      </c>
      <c r="AU9" s="18" cm="1">
        <f t="array" ref="AU9">SUMPRODUCT(('Old CCC projections data'!$F$1:$BN$1=$B9)*('Old CCC projections data'!$A$2:$A$271=AU$2)*('Old CCC projections data'!$D$2:$D$271=AU$3)*('Old CCC projections data'!$F$2:$BN$271))*Model!$B$47</f>
        <v>61.137426900584792</v>
      </c>
      <c r="AV9" s="18" cm="1">
        <f t="array" ref="AV9">SUMPRODUCT(('Old CCC projections data'!$F$1:$BN$1=$B9)*('Old CCC projections data'!$A$2:$A$271=AV$2)*('Old CCC projections data'!$D$2:$D$271=AV$3)*('Old CCC projections data'!$F$2:$BN$271))*Model!$B$47</f>
        <v>67.251169590643272</v>
      </c>
      <c r="AW9" s="18" cm="1">
        <f t="array" ref="AW9">SUMPRODUCT(('Old CCC projections data'!$F$1:$BN$1=$B9)*('Old CCC projections data'!$A$2:$A$271=AW$2)*('Old CCC projections data'!$D$2:$D$271=AW$3)*('Old CCC projections data'!$F$2:$BN$271))*Model!$B$47</f>
        <v>104.77808622773772</v>
      </c>
      <c r="AX9" s="18" cm="1">
        <f t="array" ref="AX9">SUMPRODUCT(('Old CCC projections data'!$F$1:$BN$1=$B9)*('Old CCC projections data'!$A$2:$A$271=AX$2)*('Old CCC projections data'!$D$2:$D$271=AX$3)*('Old CCC projections data'!$F$2:$BN$271))*Model!$B$47</f>
        <v>1.1871345029239767E-2</v>
      </c>
      <c r="AY9" s="18">
        <v>65.400000000000006</v>
      </c>
      <c r="AZ9" s="18">
        <v>60.666666666666664</v>
      </c>
      <c r="BA9" s="18">
        <v>64.400000000000006</v>
      </c>
      <c r="BB9" s="18"/>
      <c r="BC9" s="20" cm="1">
        <f t="array" ref="BC9">SUMPRODUCT(('Old CCC projections data'!$F$1:$BN$1=$B9)*('Old CCC projections data'!$A$2:$A$271=BC$2)*('Old CCC projections data'!$D$2:$D$271=BC$3)*('Old CCC projections data'!$F$2:$BN$271))</f>
        <v>37349.398660800616</v>
      </c>
      <c r="BD9" s="20" cm="1">
        <f t="array" ref="BD9">SUMPRODUCT(('Old CCC projections data'!$F$1:$BN$1=$B9)*('Old CCC projections data'!$A$2:$A$271=BD$2)*('Old CCC projections data'!$D$2:$D$271=BD$3)*('Old CCC projections data'!$F$2:$BN$271))</f>
        <v>37465.542235083827</v>
      </c>
      <c r="BE9" s="20"/>
      <c r="BF9" s="20"/>
      <c r="BG9" s="20" cm="1">
        <f t="array" ref="BG9">SUMPRODUCT(('Old CCC projections data'!$F$1:$BN$1=$B9)*('Old CCC projections data'!$A$2:$A$271=BG$2)*('Old CCC projections data'!$D$2:$D$271=BG$3)*('Old CCC projections data'!$F$2:$BN$271))</f>
        <v>35613.664645981939</v>
      </c>
      <c r="BH9" s="20" cm="1">
        <f t="array" ref="BH9">SUMPRODUCT(('Old CCC projections data'!$F$1:$BN$1=$B9)*('Old CCC projections data'!$A$2:$A$271=BH$2)*('Old CCC projections data'!$D$2:$D$271=BH$3)*('Old CCC projections data'!$F$2:$BN$271))</f>
        <v>35161.34183969038</v>
      </c>
      <c r="BI9" s="20" cm="1">
        <f t="array" ref="BI9">SUMPRODUCT(('Old CCC projections data'!$F$1:$BN$1=$B9)*('Old CCC projections data'!$A$2:$A$271=BI$2)*('Old CCC projections data'!$D$2:$D$271=BI$3)*('Old CCC projections data'!$F$2:$BN$271))</f>
        <v>34496.909196382592</v>
      </c>
      <c r="BJ9" s="20" cm="1">
        <f t="array" ref="BJ9">SUMPRODUCT(('Old CCC projections data'!$F$1:$BN$1=$B9)*('Old CCC projections data'!$A$2:$A$271=BJ$2)*('Old CCC projections data'!$D$2:$D$271=BJ$3)*('Old CCC projections data'!$F$2:$BN$271))</f>
        <v>33930.191224539114</v>
      </c>
      <c r="BK9" s="20" cm="1">
        <f t="array" ref="BK9">SUMPRODUCT(('Old CCC projections data'!$F$1:$BN$1=$B9)*('Old CCC projections data'!$A$2:$A$271=BK$2)*('Old CCC projections data'!$D$2:$D$271=BK$3)*('Old CCC projections data'!$F$2:$BN$271))</f>
        <v>33475.924942439015</v>
      </c>
      <c r="BL9" s="20" cm="1">
        <f t="array" ref="BL9">SUMPRODUCT(('Old CCC projections data'!$F$1:$BN$1=$B9)*('Old CCC projections data'!$A$2:$A$271=BL$2)*('Old CCC projections data'!$D$2:$D$271=BL$3)*('Old CCC projections data'!$F$2:$BN$271))</f>
        <v>36198.691736115929</v>
      </c>
      <c r="BM9" s="20" cm="1">
        <f t="array" ref="BM9">SUMPRODUCT(('Old CCC projections data'!$F$1:$BN$1=$B9)*('Old CCC projections data'!$A$2:$A$271=BM$2)*('Old CCC projections data'!$D$2:$D$271=BM$3)*('Old CCC projections data'!$F$2:$BN$271))</f>
        <v>35750.689873770811</v>
      </c>
      <c r="BN9" s="20" cm="1">
        <f t="array" ref="BN9">SUMPRODUCT(('Old CCC projections data'!$F$1:$BN$1=$B9)*('Old CCC projections data'!$A$2:$A$271=BN$2)*('Old CCC projections data'!$D$2:$D$271=BN$3)*('Old CCC projections data'!$F$2:$BN$271))</f>
        <v>36520.25063854071</v>
      </c>
      <c r="BO9" s="20" cm="1">
        <f t="array" ref="BO9">SUMPRODUCT(('Old CCC projections data'!$F$1:$BN$1=$B9)*('Old CCC projections data'!$A$2:$A$271=BO$2)*('Old CCC projections data'!$D$2:$D$271=BO$3)*('Old CCC projections data'!$F$2:$BN$271))</f>
        <v>36169.565710018869</v>
      </c>
      <c r="BP9" s="20" cm="1">
        <f t="array" ref="BP9">SUMPRODUCT(('Old CCC projections data'!$F$1:$BN$1=$B9)*('Old CCC projections data'!$A$2:$A$271=BP$2)*('Old CCC projections data'!$D$2:$D$271=BP$3)*('Old CCC projections data'!$F$2:$BN$271))</f>
        <v>35769.505608849104</v>
      </c>
      <c r="BQ9" s="20" cm="1">
        <f t="array" ref="BQ9">SUMPRODUCT(('Old CCC projections data'!$F$1:$BN$1=$B9)*('Old CCC projections data'!$A$2:$A$271=BQ$2)*('Old CCC projections data'!$D$2:$D$271=BQ$3)*('Old CCC projections data'!$F$2:$BN$271))</f>
        <v>35649.171139153732</v>
      </c>
      <c r="BR9" s="20" cm="1">
        <f t="array" ref="BR9">SUMPRODUCT(('Old CCC projections data'!$F$1:$BN$1=$B9)*('Old CCC projections data'!$A$2:$A$271=BR$2)*('Old CCC projections data'!$D$2:$D$271=BR$3)*('Old CCC projections data'!$F$2:$BN$271))</f>
        <v>35308.35651239752</v>
      </c>
      <c r="BS9" s="20" cm="1">
        <f t="array" ref="BS9">SUMPRODUCT(('Old CCC projections data'!$F$1:$BN$1=$B9)*('Old CCC projections data'!$A$2:$A$271=BS$2)*('Old CCC projections data'!$D$2:$D$271=BS$3)*('Old CCC projections data'!$F$2:$BN$271))</f>
        <v>35006.98795830633</v>
      </c>
      <c r="BT9" s="20" cm="1">
        <f t="array" ref="BT9">SUMPRODUCT(('Old CCC projections data'!$F$1:$BN$1=$B9)*('Old CCC projections data'!$A$2:$A$271=BT$2)*('Old CCC projections data'!$D$2:$D$271=BT$3)*('Old CCC projections data'!$F$2:$BN$271))</f>
        <v>36799.07374626409</v>
      </c>
      <c r="BU9" s="20" cm="1">
        <f t="array" ref="BU9">SUMPRODUCT(('Old CCC projections data'!$F$1:$BN$1=$B9)*('Old CCC projections data'!$A$2:$A$271=BU$2)*('Old CCC projections data'!$D$2:$D$271=BU$3)*('Old CCC projections data'!$F$2:$BN$271))</f>
        <v>36314.215632659776</v>
      </c>
      <c r="BV9" s="20" cm="1">
        <f t="array" ref="BV9">SUMPRODUCT(('Old CCC projections data'!$F$1:$BN$1=$B9)*('Old CCC projections data'!$A$2:$A$271=BV$2)*('Old CCC projections data'!$D$2:$D$271=BV$3)*('Old CCC projections data'!$F$2:$BN$271))</f>
        <v>36980.711133026234</v>
      </c>
      <c r="BW9" s="20" cm="1">
        <f t="array" ref="BW9">SUMPRODUCT(('Old CCC projections data'!$F$1:$BN$1=$B9)*('Old CCC projections data'!$A$2:$A$271=BW$2)*('Old CCC projections data'!$D$2:$D$271=BW$3)*('Old CCC projections data'!$F$2:$BN$271))</f>
        <v>35148.320593033393</v>
      </c>
      <c r="BX9" s="20" cm="1">
        <f t="array" ref="BX9">SUMPRODUCT(('Old CCC projections data'!$F$1:$BN$1=$B9)*('Old CCC projections data'!$A$2:$A$271=BX$2)*('Old CCC projections data'!$D$2:$D$271=BX$3)*('Old CCC projections data'!$F$2:$BN$271))</f>
        <v>34710.658551383167</v>
      </c>
      <c r="BY9" s="20" cm="1">
        <f t="array" ref="BY9">SUMPRODUCT(('Old CCC projections data'!$F$1:$BN$1=$B9)*('Old CCC projections data'!$A$2:$A$271=BY$2)*('Old CCC projections data'!$D$2:$D$271=BY$3)*('Old CCC projections data'!$F$2:$BN$271))</f>
        <v>34130.887386768612</v>
      </c>
      <c r="BZ9" s="20" cm="1">
        <f t="array" ref="BZ9">SUMPRODUCT(('Old CCC projections data'!$F$1:$BN$1=$B9)*('Old CCC projections data'!$A$2:$A$271=BZ$2)*('Old CCC projections data'!$D$2:$D$271=BZ$3)*('Old CCC projections data'!$F$2:$BN$271))</f>
        <v>33538.995726144276</v>
      </c>
      <c r="CA9" s="20" cm="1">
        <f t="array" ref="CA9">SUMPRODUCT(('Old CCC projections data'!$F$1:$BN$1=$B9)*('Old CCC projections data'!$A$2:$A$271=CA$2)*('Old CCC projections data'!$D$2:$D$271=CA$3)*('Old CCC projections data'!$F$2:$BN$271))</f>
        <v>33173.485973404444</v>
      </c>
      <c r="CB9" s="20" cm="1">
        <f t="array" ref="CB9">SUMPRODUCT(('Old CCC projections data'!$F$1:$BN$1=$B9)*('Old CCC projections data'!$A$2:$A$271=CB$2)*('Old CCC projections data'!$D$2:$D$271=CB$3)*('Old CCC projections data'!$F$2:$BN$271))</f>
        <v>35660.185758466585</v>
      </c>
      <c r="CC9" s="20" cm="1">
        <f t="array" ref="CC9">SUMPRODUCT(('Old CCC projections data'!$F$1:$BN$1=$B9)*('Old CCC projections data'!$A$2:$A$271=CC$2)*('Old CCC projections data'!$D$2:$D$271=CC$3)*('Old CCC projections data'!$F$2:$BN$271))</f>
        <v>35611.726018376095</v>
      </c>
      <c r="CD9" s="20" cm="1">
        <f t="array" ref="CD9">SUMPRODUCT(('Old CCC projections data'!$F$1:$BN$1=$B9)*('Old CCC projections data'!$A$2:$A$271=CD$2)*('Old CCC projections data'!$D$2:$D$271=CD$3)*('Old CCC projections data'!$F$2:$BN$271))</f>
        <v>35271.231150378597</v>
      </c>
      <c r="CE9" s="20" cm="1">
        <f t="array" ref="CE9">SUMPRODUCT(('Old CCC projections data'!$F$1:$BN$1=$B9)*('Old CCC projections data'!$A$2:$A$271=CE$2)*('Old CCC projections data'!$D$2:$D$271=CE$3)*('Old CCC projections data'!$F$2:$BN$271))</f>
        <v>36013.904268327839</v>
      </c>
      <c r="CF9" s="20" cm="1">
        <f t="array" ref="CF9">SUMPRODUCT(('Old CCC projections data'!$F$1:$BN$1=$B9)*('Old CCC projections data'!$A$2:$A$271=CF$2)*('Old CCC projections data'!$D$2:$D$271=CF$3)*('Old CCC projections data'!$F$2:$BN$271))</f>
        <v>36048.569382894675</v>
      </c>
      <c r="CG9" s="20" cm="1">
        <f t="array" ref="CG9">SUMPRODUCT(('Old CCC projections data'!$F$1:$BN$1=$B9)*('Old CCC projections data'!$A$2:$A$271=CG$2)*('Old CCC projections data'!$D$2:$D$271=CG$3)*('Old CCC projections data'!$F$2:$BN$271))</f>
        <v>35685.184386477624</v>
      </c>
      <c r="CH9" s="20" cm="1">
        <f t="array" ref="CH9">SUMPRODUCT(('Old CCC projections data'!$F$1:$BN$1=$B9)*('Old CCC projections data'!$A$2:$A$271=CH$2)*('Old CCC projections data'!$D$2:$D$271=CH$3)*('Old CCC projections data'!$F$2:$BN$271))</f>
        <v>35514.350852144315</v>
      </c>
      <c r="CI9" s="20" cm="1">
        <f t="array" ref="CI9">SUMPRODUCT(('Old CCC projections data'!$F$1:$BN$1=$B9)*('Old CCC projections data'!$A$2:$A$271=CI$2)*('Old CCC projections data'!$D$2:$D$271=CI$3)*('Old CCC projections data'!$F$2:$BN$271))</f>
        <v>35210.795936482689</v>
      </c>
      <c r="CJ9" s="20" cm="1">
        <f t="array" ref="CJ9">SUMPRODUCT(('Old CCC projections data'!$F$1:$BN$1=$B9)*('Old CCC projections data'!$A$2:$A$271=CJ$2)*('Old CCC projections data'!$D$2:$D$271=CJ$3)*('Old CCC projections data'!$F$2:$BN$271))</f>
        <v>35051.5552638831</v>
      </c>
      <c r="CK9" s="20" cm="1">
        <f t="array" ref="CK9">SUMPRODUCT(('Old CCC projections data'!$F$1:$BN$1=$B9)*('Old CCC projections data'!$A$2:$A$271=CK$2)*('Old CCC projections data'!$D$2:$D$271=CK$3)*('Old CCC projections data'!$F$2:$BN$271))</f>
        <v>34917.830438906094</v>
      </c>
      <c r="CL9" s="20" cm="1">
        <f t="array" ref="CL9">SUMPRODUCT(('Old CCC projections data'!$F$1:$BN$1=$B9)*('Old CCC projections data'!$A$2:$A$271=CL$2)*('Old CCC projections data'!$D$2:$D$271=CL$3)*('Old CCC projections data'!$F$2:$BN$271))</f>
        <v>36603.497922629751</v>
      </c>
      <c r="CM9" s="20" cm="1">
        <f t="array" ref="CM9">SUMPRODUCT(('Old CCC projections data'!$F$1:$BN$1=$B9)*('Old CCC projections data'!$A$2:$A$271=CM$2)*('Old CCC projections data'!$D$2:$D$271=CM$3)*('Old CCC projections data'!$F$2:$BN$271))</f>
        <v>36207.545599131547</v>
      </c>
      <c r="CN9" s="20" cm="1">
        <f t="array" ref="CN9">SUMPRODUCT(('Old CCC projections data'!$F$1:$BN$1=$B9)*('Old CCC projections data'!$A$2:$A$271=CN$2)*('Old CCC projections data'!$D$2:$D$271=CN$3)*('Old CCC projections data'!$F$2:$BN$271))</f>
        <v>36881.470207628074</v>
      </c>
      <c r="CO9" s="20" cm="1">
        <f t="array" ref="CO9">SUMPRODUCT(('Old CCC projections data'!$F$1:$BN$1=$B9)*('Old CCC projections data'!$A$2:$A$271=CO$2)*('Old CCC projections data'!$D$2:$D$271=CO$3)*('Old CCC projections data'!$F$2:$BN$271))</f>
        <v>35214.518625080476</v>
      </c>
      <c r="CP9" s="20" cm="1">
        <f t="array" ref="CP9">SUMPRODUCT(('Old CCC projections data'!$F$1:$BN$1=$B9)*('Old CCC projections data'!$A$2:$A$271=CP$2)*('Old CCC projections data'!$D$2:$D$271=CP$3)*('Old CCC projections data'!$F$2:$BN$271))</f>
        <v>34758.330633126978</v>
      </c>
      <c r="CQ9" s="20" cm="1">
        <f t="array" ref="CQ9">SUMPRODUCT(('Old CCC projections data'!$F$1:$BN$1=$B9)*('Old CCC projections data'!$A$2:$A$271=CQ$2)*('Old CCC projections data'!$D$2:$D$271=CQ$3)*('Old CCC projections data'!$F$2:$BN$271))</f>
        <v>34095.288415377931</v>
      </c>
      <c r="CR9" s="20" cm="1">
        <f t="array" ref="CR9">SUMPRODUCT(('Old CCC projections data'!$F$1:$BN$1=$B9)*('Old CCC projections data'!$A$2:$A$271=CR$2)*('Old CCC projections data'!$D$2:$D$271=CR$3)*('Old CCC projections data'!$F$2:$BN$271))</f>
        <v>33521.273609217489</v>
      </c>
      <c r="CS9" s="20" cm="1">
        <f t="array" ref="CS9">SUMPRODUCT(('Old CCC projections data'!$F$1:$BN$1=$B9)*('Old CCC projections data'!$A$2:$A$271=CS$2)*('Old CCC projections data'!$D$2:$D$271=CS$3)*('Old CCC projections data'!$F$2:$BN$271))</f>
        <v>33064.919424113868</v>
      </c>
      <c r="CT9" s="20" cm="1">
        <f t="array" ref="CT9">SUMPRODUCT(('Old CCC projections data'!$F$1:$BN$1=$B9)*('Old CCC projections data'!$A$2:$A$271=CT$2)*('Old CCC projections data'!$D$2:$D$271=CT$3)*('Old CCC projections data'!$F$2:$BN$271))</f>
        <v>35681.297285865636</v>
      </c>
      <c r="CU9" s="20" cm="1">
        <f t="array" ref="CU9">SUMPRODUCT(('Old CCC projections data'!$F$1:$BN$1=$B9)*('Old CCC projections data'!$A$2:$A$271=CU$2)*('Old CCC projections data'!$D$2:$D$271=CU$3)*('Old CCC projections data'!$F$2:$BN$271))</f>
        <v>35643.149053291854</v>
      </c>
      <c r="CV9" s="20" cm="1">
        <f t="array" ref="CV9">SUMPRODUCT(('Old CCC projections data'!$F$1:$BN$1=$B9)*('Old CCC projections data'!$A$2:$A$271=CV$2)*('Old CCC projections data'!$D$2:$D$271=CV$3)*('Old CCC projections data'!$F$2:$BN$271))</f>
        <v>35338.478237971627</v>
      </c>
      <c r="CW9" s="20" cm="1">
        <f t="array" ref="CW9">SUMPRODUCT(('Old CCC projections data'!$F$1:$BN$1=$B9)*('Old CCC projections data'!$A$2:$A$271=CW$2)*('Old CCC projections data'!$D$2:$D$271=CW$3)*('Old CCC projections data'!$F$2:$BN$271))</f>
        <v>36210.06818519369</v>
      </c>
      <c r="CX9" s="20">
        <f t="shared" si="19"/>
        <v>769.56076476989983</v>
      </c>
      <c r="CY9" s="20" t="str">
        <f t="shared" si="29"/>
        <v>Demo path - C price $100 3%</v>
      </c>
      <c r="CZ9" s="3">
        <f t="shared" si="30"/>
        <v>2027</v>
      </c>
      <c r="DA9" s="18">
        <f t="shared" si="31"/>
        <v>0</v>
      </c>
      <c r="DB9" s="18">
        <f ca="1">(H12+IF($DB$3&gt;0,NPV($DB$2,H13:OFFSET(H12,$DB$3,0)),0))/($DB$3+1)</f>
        <v>133.61303416959063</v>
      </c>
      <c r="DC9" s="18">
        <f t="shared" ca="1" si="20"/>
        <v>33.613034169590634</v>
      </c>
      <c r="DD9" s="18">
        <f t="shared" si="32"/>
        <v>100</v>
      </c>
      <c r="DE9" s="20">
        <f t="shared" si="21"/>
        <v>35793.252751753469</v>
      </c>
      <c r="DF9" s="20" cm="1">
        <f t="array" ref="DF9">SUMPRODUCT(($BG$2:$BM$2=CY9)*($B$5:$B$35=CZ9)*($BG$5:$BM$35))</f>
        <v>33389.193780975183</v>
      </c>
      <c r="DG9" s="20">
        <f t="shared" si="16"/>
        <v>2404.0589707782856</v>
      </c>
      <c r="DH9" s="20" cm="1">
        <f t="array" ref="DH9">IF(CZ9=2023,SUMPRODUCT(($B$5:$B$35=CZ9-1)*($BN$5:$BN$35))-SUMPRODUCT(($BG$2:$BM$2=CY9)*($B$5:$B$35=CZ9-1)*($BG$5:$BM$35)),DG8)</f>
        <v>1984.0067939249639</v>
      </c>
      <c r="DI9" s="18">
        <f t="shared" ca="1" si="17"/>
        <v>133.61303416959063</v>
      </c>
      <c r="DJ9" s="89">
        <f t="shared" si="22"/>
        <v>7.784913825628065</v>
      </c>
      <c r="DK9" s="89">
        <f t="shared" si="23"/>
        <v>7.5928737121962957</v>
      </c>
      <c r="DL9" s="89">
        <f t="shared" ca="1" si="24"/>
        <v>4.8949478174933967</v>
      </c>
      <c r="DM9" s="20">
        <f t="shared" ca="1" si="25"/>
        <v>922.47728886711502</v>
      </c>
      <c r="DN9" s="20">
        <f t="shared" ca="1" si="26"/>
        <v>2649.966714773378</v>
      </c>
      <c r="DO9" s="20">
        <f t="shared" ca="1" si="27"/>
        <v>1786.2220018202465</v>
      </c>
      <c r="DP9" s="113"/>
      <c r="DQ9" s="18">
        <v>200</v>
      </c>
      <c r="DR9">
        <f t="shared" si="18"/>
        <v>0</v>
      </c>
      <c r="DS9" s="18" cm="1">
        <f t="array" aca="1" ref="DS9" ca="1">SUMPRODUCT(($DD$5:$DD$200=DQ9)*($CZ$5:$CZ$200=$DS$3)*($DB$5:$DB$200))</f>
        <v>292.00513997806854</v>
      </c>
      <c r="DT9" s="20" cm="1">
        <f t="array" ref="DT9">SUMPRODUCT(($DD$5:$DD$200=$DQ9)*($CZ$5:$CZ$200=$DS$3)*($DG$5:$DG$200))</f>
        <v>6391.0408467528141</v>
      </c>
      <c r="DU9" s="18" cm="1">
        <f t="array" aca="1" ref="DU9" ca="1">SUMPRODUCT(($DD$5:$DD$200=$DQ9)*($CZ$5:$CZ$200=$DU$3)*($DB$5:$DB$200))</f>
        <v>338.51398833891739</v>
      </c>
      <c r="DV9" s="20" cm="1">
        <f t="array" ref="DV9">SUMPRODUCT(($DD$5:$DD$200=$DQ9)*($CZ$5:$CZ$200=$DU$3)*($DG$5:$DG$200))</f>
        <v>6489.8995507785257</v>
      </c>
      <c r="DW9" s="18" cm="1">
        <f t="array" aca="1" ref="DW9" ca="1">SUMPRODUCT(($DD$5:$DD$200=$DQ9)*($CZ$5:$CZ$200=$DW$3)*($DB$5:$DB$200))</f>
        <v>527.39376389560471</v>
      </c>
      <c r="DX9" s="20" cm="1">
        <f t="array" ref="DX9">SUMPRODUCT(($DD$5:$DD$200=$DQ9)*($CZ$5:$CZ$200=$DW$3)*($DG$5:$DG$200))</f>
        <v>6341.2282011830675</v>
      </c>
    </row>
    <row r="10" spans="1:128" x14ac:dyDescent="0.25">
      <c r="A10">
        <v>-1</v>
      </c>
      <c r="B10">
        <f t="shared" si="28"/>
        <v>2025</v>
      </c>
      <c r="C10" s="190">
        <f>IF(C9*(1+A10*Model!$B$19*IF(Model!$B$28=0,1,((Model!$B$28-B10)/(Model!$B$28-$B$9))))&gt;Model!$B$44,C9*(1+A10*Model!$B$19*IF(Model!$B$28=0,1,((Model!$B$28-B10)/(Model!$B$28-$B$9)))),Model!$B$44)</f>
        <v>65.037999999999997</v>
      </c>
      <c r="D10" s="18" cm="1">
        <f t="array" ref="D10">SUMPRODUCT(('Old CCC projections data'!$F$1:$BN$1=$B10)*('Old CCC projections data'!$A$2:$A$271=D$2)*('Old CCC projections data'!$D$2:$D$271=D$3)*('Old CCC projections data'!$F$2:$BN$271))*Model!$B$47</f>
        <v>41.549707602339183</v>
      </c>
      <c r="E10" s="18" cm="1">
        <f t="array" ref="E10">SUMPRODUCT(('Old CCC projections data'!$F$1:$BN$1=$B10)*('Old CCC projections data'!$A$2:$A$271=E$2)*('Old CCC projections data'!$D$2:$D$271=E$3)*('Old CCC projections data'!$F$2:$BN$271))*Model!$B$47</f>
        <v>1.1871345029239767E-2</v>
      </c>
      <c r="F10" s="18"/>
      <c r="G10" s="18"/>
      <c r="H10" s="18" cm="1">
        <f t="array" ref="H10">SUMPRODUCT(('Old CCC projections data'!$F$1:$BN$1=$B10)*('Old CCC projections data'!$A$2:$A$271=H$2)*('Old CCC projections data'!$D$2:$D$271=H$3)*('Old CCC projections data'!$F$2:$BN$271))*Model!$B$47</f>
        <v>125.94309941520468</v>
      </c>
      <c r="I10" s="18" cm="1">
        <f t="array" ref="I10">SUMPRODUCT(('Old CCC projections data'!$F$1:$BN$1=$B10)*('Old CCC projections data'!$A$2:$A$271=I$2)*('Old CCC projections data'!$D$2:$D$271=I$3)*('Old CCC projections data'!$F$2:$BN$271))*Model!$B$47</f>
        <v>188.91464912280699</v>
      </c>
      <c r="J10" s="18" cm="1">
        <f t="array" ref="J10">SUMPRODUCT(('Old CCC projections data'!$F$1:$BN$1=$B10)*('Old CCC projections data'!$A$2:$A$271=J$2)*('Old CCC projections data'!$D$2:$D$271=J$3)*('Old CCC projections data'!$F$2:$BN$271))*Model!$B$47</f>
        <v>251.88619883040937</v>
      </c>
      <c r="K10" s="18" cm="1">
        <f t="array" ref="K10">SUMPRODUCT(('Old CCC projections data'!$F$1:$BN$1=$B10)*('Old CCC projections data'!$A$2:$A$271=K$2)*('Old CCC projections data'!$D$2:$D$271=K$3)*('Old CCC projections data'!$F$2:$BN$271))*Model!$B$47</f>
        <v>314.85774853801172</v>
      </c>
      <c r="L10" s="18" cm="1">
        <f t="array" ref="L10">SUMPRODUCT(('Old CCC projections data'!$F$1:$BN$1=$B10)*('Old CCC projections data'!$A$2:$A$271=L$2)*('Old CCC projections data'!$D$2:$D$271=L$3)*('Old CCC projections data'!$F$2:$BN$271))*Model!$B$47</f>
        <v>377.82929824561398</v>
      </c>
      <c r="M10" s="18" cm="1">
        <f t="array" ref="M10">SUMPRODUCT(('Old CCC projections data'!$F$1:$BN$1=$B10)*('Old CCC projections data'!$A$2:$A$271=M$2)*('Old CCC projections data'!$D$2:$D$271=M$3)*('Old CCC projections data'!$F$2:$BN$271))*Model!$B$47</f>
        <v>62.971549707602342</v>
      </c>
      <c r="N10" s="189" cm="1">
        <f t="array" ref="N10">SUMPRODUCT(('Old CCC projections data'!$F$1:$BN$1=$B10)*('Old CCC projections data'!$A$2:$A$271=N$2)*('Old CCC projections data'!$D$2:$D$271=N$3)*('Old CCC projections data'!$F$2:$BN$271))*Model!$B$47</f>
        <v>115.79753414295368</v>
      </c>
      <c r="O10" s="18" cm="1">
        <f t="array" ref="O10">SUMPRODUCT(('Old CCC projections data'!$F$1:$BN$1=$B10)*('Old CCC projections data'!$A$2:$A$271=O$2)*('Old CCC projections data'!$D$2:$D$271=O$3)*('Old CCC projections data'!$F$2:$BN$271))*Model!$B$47</f>
        <v>1.1871345029239767E-2</v>
      </c>
      <c r="P10" s="18" cm="1">
        <f t="array" ref="P10">SUMPRODUCT(('Old CCC projections data'!$F$1:$BN$1=$B10)*('Old CCC projections data'!$A$2:$A$271=P$2)*('Old CCC projections data'!$D$2:$D$271=P$3)*('Old CCC projections data'!$F$2:$BN$271))*Model!$B$47</f>
        <v>125.94309941520468</v>
      </c>
      <c r="Q10" s="18" cm="1">
        <f t="array" ref="Q10">SUMPRODUCT(('Old CCC projections data'!$F$1:$BN$1=$B10)*('Old CCC projections data'!$A$2:$A$271=Q$2)*('Old CCC projections data'!$D$2:$D$271=Q$3)*('Old CCC projections data'!$F$2:$BN$271))*Model!$B$47</f>
        <v>188.91464912280699</v>
      </c>
      <c r="R10" s="18" cm="1">
        <f t="array" ref="R10">SUMPRODUCT(('Old CCC projections data'!$F$1:$BN$1=$B10)*('Old CCC projections data'!$A$2:$A$271=R$2)*('Old CCC projections data'!$D$2:$D$271=R$3)*('Old CCC projections data'!$F$2:$BN$271))*Model!$B$47</f>
        <v>251.88619883040937</v>
      </c>
      <c r="S10" s="18" cm="1">
        <f t="array" ref="S10">SUMPRODUCT(('Old CCC projections data'!$F$1:$BN$1=$B10)*('Old CCC projections data'!$A$2:$A$271=S$2)*('Old CCC projections data'!$D$2:$D$271=S$3)*('Old CCC projections data'!$F$2:$BN$271))*Model!$B$47</f>
        <v>314.85774853801172</v>
      </c>
      <c r="T10" s="18" cm="1">
        <f t="array" ref="T10">SUMPRODUCT(('Old CCC projections data'!$F$1:$BN$1=$B10)*('Old CCC projections data'!$A$2:$A$271=T$2)*('Old CCC projections data'!$D$2:$D$271=T$3)*('Old CCC projections data'!$F$2:$BN$271))*Model!$B$47</f>
        <v>377.82929824561398</v>
      </c>
      <c r="U10" s="18" cm="1">
        <f t="array" ref="U10">SUMPRODUCT(('Old CCC projections data'!$F$1:$BN$1=$B10)*('Old CCC projections data'!$A$2:$A$271=U$2)*('Old CCC projections data'!$D$2:$D$271=U$3)*('Old CCC projections data'!$F$2:$BN$271))*Model!$B$47</f>
        <v>62.971549707602342</v>
      </c>
      <c r="V10" s="18" cm="1">
        <f t="array" ref="V10">SUMPRODUCT(('Old CCC projections data'!$F$1:$BN$1=$B10)*('Old CCC projections data'!$A$2:$A$271=V$2)*('Old CCC projections data'!$D$2:$D$271=V$3)*('Old CCC projections data'!$F$2:$BN$271))*Model!$B$47</f>
        <v>115.79753414295368</v>
      </c>
      <c r="W10" s="18" cm="1">
        <f t="array" ref="W10">SUMPRODUCT(('Old CCC projections data'!$F$1:$BN$1=$B10)*('Old CCC projections data'!$A$2:$A$271=W$2)*('Old CCC projections data'!$D$2:$D$271=W$3)*('Old CCC projections data'!$F$2:$BN$271))*Model!$B$47</f>
        <v>1.1871345029239767E-2</v>
      </c>
      <c r="X10" s="18" cm="1">
        <f t="array" ref="X10">SUMPRODUCT(('Old CCC projections data'!$F$1:$BN$1=$B10)*('Old CCC projections data'!$A$2:$A$271=X$2)*('Old CCC projections data'!$D$2:$D$271=X$3)*('Old CCC projections data'!$F$2:$BN$271))*Model!$B$47</f>
        <v>125.94309941520468</v>
      </c>
      <c r="Y10" s="18" cm="1">
        <f t="array" ref="Y10">SUMPRODUCT(('Old CCC projections data'!$F$1:$BN$1=$B10)*('Old CCC projections data'!$A$2:$A$271=Y$2)*('Old CCC projections data'!$D$2:$D$271=Y$3)*('Old CCC projections data'!$F$2:$BN$271))*Model!$B$47</f>
        <v>188.91464912280699</v>
      </c>
      <c r="Z10" s="18" cm="1">
        <f t="array" ref="Z10">SUMPRODUCT(('Old CCC projections data'!$F$1:$BN$1=$B10)*('Old CCC projections data'!$A$2:$A$271=Z$2)*('Old CCC projections data'!$D$2:$D$271=Z$3)*('Old CCC projections data'!$F$2:$BN$271))*Model!$B$47</f>
        <v>251.88619883040937</v>
      </c>
      <c r="AA10" s="18" cm="1">
        <f t="array" ref="AA10">SUMPRODUCT(('Old CCC projections data'!$F$1:$BN$1=$B10)*('Old CCC projections data'!$A$2:$A$271=AA$2)*('Old CCC projections data'!$D$2:$D$271=AA$3)*('Old CCC projections data'!$F$2:$BN$271))*Model!$B$47</f>
        <v>314.85774853801172</v>
      </c>
      <c r="AB10" s="18" cm="1">
        <f t="array" ref="AB10">SUMPRODUCT(('Old CCC projections data'!$F$1:$BN$1=$B10)*('Old CCC projections data'!$A$2:$A$271=AB$2)*('Old CCC projections data'!$D$2:$D$271=AB$3)*('Old CCC projections data'!$F$2:$BN$271))*Model!$B$47</f>
        <v>377.82929824561398</v>
      </c>
      <c r="AC10" s="18" cm="1">
        <f t="array" ref="AC10">SUMPRODUCT(('Old CCC projections data'!$F$1:$BN$1=$B10)*('Old CCC projections data'!$A$2:$A$271=AC$2)*('Old CCC projections data'!$D$2:$D$271=AC$3)*('Old CCC projections data'!$F$2:$BN$271))*Model!$B$47</f>
        <v>62.971549707602342</v>
      </c>
      <c r="AD10" s="18" cm="1">
        <f t="array" ref="AD10">SUMPRODUCT(('Old CCC projections data'!$F$1:$BN$1=$B10)*('Old CCC projections data'!$A$2:$A$271=AD$2)*('Old CCC projections data'!$D$2:$D$271=AD$3)*('Old CCC projections data'!$F$2:$BN$271))*Model!$B$47</f>
        <v>69.268704678362568</v>
      </c>
      <c r="AE10" s="18" cm="1">
        <f t="array" ref="AE10">SUMPRODUCT(('Old CCC projections data'!$F$1:$BN$1=$B10)*('Old CCC projections data'!$A$2:$A$271=AE$2)*('Old CCC projections data'!$D$2:$D$271=AE$3)*('Old CCC projections data'!$F$2:$BN$271))*Model!$B$47</f>
        <v>115.79753414295368</v>
      </c>
      <c r="AF10" s="18" cm="1">
        <f t="array" ref="AF10">SUMPRODUCT(('Old CCC projections data'!$F$1:$BN$1=$B10)*('Old CCC projections data'!$A$2:$A$271=AF$2)*('Old CCC projections data'!$D$2:$D$271=AF$3)*('Old CCC projections data'!$F$2:$BN$271))*Model!$B$47</f>
        <v>1.1871345029239767E-2</v>
      </c>
      <c r="AG10" s="18" cm="1">
        <f t="array" ref="AG10">SUMPRODUCT(('Old CCC projections data'!$F$1:$BN$1=$B10)*('Old CCC projections data'!$A$2:$A$271=AG$2)*('Old CCC projections data'!$D$2:$D$271=AG$3)*('Old CCC projections data'!$F$2:$BN$271))*Model!$B$47</f>
        <v>125.94309941520468</v>
      </c>
      <c r="AH10" s="18" cm="1">
        <f t="array" ref="AH10">SUMPRODUCT(('Old CCC projections data'!$F$1:$BN$1=$B10)*('Old CCC projections data'!$A$2:$A$271=AH$2)*('Old CCC projections data'!$D$2:$D$271=AH$3)*('Old CCC projections data'!$F$2:$BN$271))*Model!$B$47</f>
        <v>188.91464912280699</v>
      </c>
      <c r="AI10" s="18" cm="1">
        <f t="array" ref="AI10">SUMPRODUCT(('Old CCC projections data'!$F$1:$BN$1=$B10)*('Old CCC projections data'!$A$2:$A$271=AI$2)*('Old CCC projections data'!$D$2:$D$271=AI$3)*('Old CCC projections data'!$F$2:$BN$271))*Model!$B$47</f>
        <v>251.88619883040937</v>
      </c>
      <c r="AJ10" s="18" cm="1">
        <f t="array" ref="AJ10">SUMPRODUCT(('Old CCC projections data'!$F$1:$BN$1=$B10)*('Old CCC projections data'!$A$2:$A$271=AJ$2)*('Old CCC projections data'!$D$2:$D$271=AJ$3)*('Old CCC projections data'!$F$2:$BN$271))*Model!$B$47</f>
        <v>314.85774853801172</v>
      </c>
      <c r="AK10" s="18" cm="1">
        <f t="array" ref="AK10">SUMPRODUCT(('Old CCC projections data'!$F$1:$BN$1=$B10)*('Old CCC projections data'!$A$2:$A$271=AK$2)*('Old CCC projections data'!$D$2:$D$271=AK$3)*('Old CCC projections data'!$F$2:$BN$271))*Model!$B$47</f>
        <v>340.0463684210527</v>
      </c>
      <c r="AL10" s="18" cm="1">
        <f t="array" ref="AL10">SUMPRODUCT(('Old CCC projections data'!$F$1:$BN$1=$B10)*('Old CCC projections data'!$A$2:$A$271=AL$2)*('Old CCC projections data'!$D$2:$D$271=AL$3)*('Old CCC projections data'!$F$2:$BN$271))*Model!$B$47</f>
        <v>377.82929824561398</v>
      </c>
      <c r="AM10" s="18" cm="1">
        <f t="array" ref="AM10">SUMPRODUCT(('Old CCC projections data'!$F$1:$BN$1=$B10)*('Old CCC projections data'!$A$2:$A$271=AM$2)*('Old CCC projections data'!$D$2:$D$271=AM$3)*('Old CCC projections data'!$F$2:$BN$271))*Model!$B$47</f>
        <v>62.971549707602342</v>
      </c>
      <c r="AN10" s="18" cm="1">
        <f t="array" ref="AN10">SUMPRODUCT(('Old CCC projections data'!$F$1:$BN$1=$B10)*('Old CCC projections data'!$A$2:$A$271=AN$2)*('Old CCC projections data'!$D$2:$D$271=AN$3)*('Old CCC projections data'!$F$2:$BN$271))*Model!$B$47</f>
        <v>115.79753414295368</v>
      </c>
      <c r="AO10" s="18" cm="1">
        <f t="array" ref="AO10">SUMPRODUCT(('Old CCC projections data'!$F$1:$BN$1=$B10)*('Old CCC projections data'!$A$2:$A$271=AO$2)*('Old CCC projections data'!$D$2:$D$271=AO$3)*('Old CCC projections data'!$F$2:$BN$271))*Model!$B$47</f>
        <v>1.1871345029239767E-2</v>
      </c>
      <c r="AP10" s="18" cm="1">
        <f t="array" ref="AP10">SUMPRODUCT(('Old CCC projections data'!$F$1:$BN$1=$B10)*('Old CCC projections data'!$A$2:$A$271=AP$2)*('Old CCC projections data'!$D$2:$D$271=AP$3)*('Old CCC projections data'!$F$2:$BN$271))*Model!$B$47</f>
        <v>125.94309941520468</v>
      </c>
      <c r="AQ10" s="18" cm="1">
        <f t="array" ref="AQ10">SUMPRODUCT(('Old CCC projections data'!$F$1:$BN$1=$B10)*('Old CCC projections data'!$A$2:$A$271=AQ$2)*('Old CCC projections data'!$D$2:$D$271=AQ$3)*('Old CCC projections data'!$F$2:$BN$271))*Model!$B$47</f>
        <v>188.91464912280699</v>
      </c>
      <c r="AR10" s="18" cm="1">
        <f t="array" ref="AR10">SUMPRODUCT(('Old CCC projections data'!$F$1:$BN$1=$B10)*('Old CCC projections data'!$A$2:$A$271=AR$2)*('Old CCC projections data'!$D$2:$D$271=AR$3)*('Old CCC projections data'!$F$2:$BN$271))*Model!$B$47</f>
        <v>251.88619883040937</v>
      </c>
      <c r="AS10" s="18" cm="1">
        <f t="array" ref="AS10">SUMPRODUCT(('Old CCC projections data'!$F$1:$BN$1=$B10)*('Old CCC projections data'!$A$2:$A$271=AS$2)*('Old CCC projections data'!$D$2:$D$271=AS$3)*('Old CCC projections data'!$F$2:$BN$271))*Model!$B$47</f>
        <v>314.85774853801172</v>
      </c>
      <c r="AT10" s="18" cm="1">
        <f t="array" ref="AT10">SUMPRODUCT(('Old CCC projections data'!$F$1:$BN$1=$B10)*('Old CCC projections data'!$A$2:$A$271=AT$2)*('Old CCC projections data'!$D$2:$D$271=AT$3)*('Old CCC projections data'!$F$2:$BN$271))*Model!$B$47</f>
        <v>377.82929824561398</v>
      </c>
      <c r="AU10" s="18" cm="1">
        <f t="array" ref="AU10">SUMPRODUCT(('Old CCC projections data'!$F$1:$BN$1=$B10)*('Old CCC projections data'!$A$2:$A$271=AU$2)*('Old CCC projections data'!$D$2:$D$271=AU$3)*('Old CCC projections data'!$F$2:$BN$271))*Model!$B$47</f>
        <v>62.971549707602342</v>
      </c>
      <c r="AV10" s="18" cm="1">
        <f t="array" ref="AV10">SUMPRODUCT(('Old CCC projections data'!$F$1:$BN$1=$B10)*('Old CCC projections data'!$A$2:$A$271=AV$2)*('Old CCC projections data'!$D$2:$D$271=AV$3)*('Old CCC projections data'!$F$2:$BN$271))*Model!$B$47</f>
        <v>69.268704678362568</v>
      </c>
      <c r="AW10" s="18" cm="1">
        <f t="array" ref="AW10">SUMPRODUCT(('Old CCC projections data'!$F$1:$BN$1=$B10)*('Old CCC projections data'!$A$2:$A$271=AW$2)*('Old CCC projections data'!$D$2:$D$271=AW$3)*('Old CCC projections data'!$F$2:$BN$271))*Model!$B$47</f>
        <v>115.79753414295368</v>
      </c>
      <c r="AX10" s="18" cm="1">
        <f t="array" ref="AX10">SUMPRODUCT(('Old CCC projections data'!$F$1:$BN$1=$B10)*('Old CCC projections data'!$A$2:$A$271=AX$2)*('Old CCC projections data'!$D$2:$D$271=AX$3)*('Old CCC projections data'!$F$2:$BN$271))*Model!$B$47</f>
        <v>1.1871345029239767E-2</v>
      </c>
      <c r="AY10" s="18">
        <v>67.800000000000011</v>
      </c>
      <c r="AZ10" s="18">
        <v>58.333333333333329</v>
      </c>
      <c r="BA10" s="18">
        <v>65.800000000000011</v>
      </c>
      <c r="BB10" s="18"/>
      <c r="BC10" s="20" cm="1">
        <f t="array" ref="BC10">SUMPRODUCT(('Old CCC projections data'!$F$1:$BN$1=$B10)*('Old CCC projections data'!$A$2:$A$271=BC$2)*('Old CCC projections data'!$D$2:$D$271=BC$3)*('Old CCC projections data'!$F$2:$BN$271))</f>
        <v>36961.408894031556</v>
      </c>
      <c r="BD10" s="20" cm="1">
        <f t="array" ref="BD10">SUMPRODUCT(('Old CCC projections data'!$F$1:$BN$1=$B10)*('Old CCC projections data'!$A$2:$A$271=BD$2)*('Old CCC projections data'!$D$2:$D$271=BD$3)*('Old CCC projections data'!$F$2:$BN$271))</f>
        <v>37346.560634782145</v>
      </c>
      <c r="BE10" s="20"/>
      <c r="BF10" s="20"/>
      <c r="BG10" s="20" cm="1">
        <f t="array" ref="BG10">SUMPRODUCT(('Old CCC projections data'!$F$1:$BN$1=$B10)*('Old CCC projections data'!$A$2:$A$271=BG$2)*('Old CCC projections data'!$D$2:$D$271=BG$3)*('Old CCC projections data'!$F$2:$BN$271))</f>
        <v>34544.237531608254</v>
      </c>
      <c r="BH10" s="20" cm="1">
        <f t="array" ref="BH10">SUMPRODUCT(('Old CCC projections data'!$F$1:$BN$1=$B10)*('Old CCC projections data'!$A$2:$A$271=BH$2)*('Old CCC projections data'!$D$2:$D$271=BH$3)*('Old CCC projections data'!$F$2:$BN$271))</f>
        <v>33913.273544402873</v>
      </c>
      <c r="BI10" s="20" cm="1">
        <f t="array" ref="BI10">SUMPRODUCT(('Old CCC projections data'!$F$1:$BN$1=$B10)*('Old CCC projections data'!$A$2:$A$271=BI$2)*('Old CCC projections data'!$D$2:$D$271=BI$3)*('Old CCC projections data'!$F$2:$BN$271))</f>
        <v>33227.104559905834</v>
      </c>
      <c r="BJ10" s="20" cm="1">
        <f t="array" ref="BJ10">SUMPRODUCT(('Old CCC projections data'!$F$1:$BN$1=$B10)*('Old CCC projections data'!$A$2:$A$271=BJ$2)*('Old CCC projections data'!$D$2:$D$271=BJ$3)*('Old CCC projections data'!$F$2:$BN$271))</f>
        <v>32606.211080286925</v>
      </c>
      <c r="BK10" s="20" cm="1">
        <f t="array" ref="BK10">SUMPRODUCT(('Old CCC projections data'!$F$1:$BN$1=$B10)*('Old CCC projections data'!$A$2:$A$271=BK$2)*('Old CCC projections data'!$D$2:$D$271=BK$3)*('Old CCC projections data'!$F$2:$BN$271))</f>
        <v>32216.995648548684</v>
      </c>
      <c r="BL10" s="20" cm="1">
        <f t="array" ref="BL10">SUMPRODUCT(('Old CCC projections data'!$F$1:$BN$1=$B10)*('Old CCC projections data'!$A$2:$A$271=BL$2)*('Old CCC projections data'!$D$2:$D$271=BL$3)*('Old CCC projections data'!$F$2:$BN$271))</f>
        <v>35449.977426677535</v>
      </c>
      <c r="BM10" s="20" cm="1">
        <f t="array" ref="BM10">SUMPRODUCT(('Old CCC projections data'!$F$1:$BN$1=$B10)*('Old CCC projections data'!$A$2:$A$271=BM$2)*('Old CCC projections data'!$D$2:$D$271=BM$3)*('Old CCC projections data'!$F$2:$BN$271))</f>
        <v>34568.220278447727</v>
      </c>
      <c r="BN10" s="20" cm="1">
        <f t="array" ref="BN10">SUMPRODUCT(('Old CCC projections data'!$F$1:$BN$1=$B10)*('Old CCC projections data'!$A$2:$A$271=BN$2)*('Old CCC projections data'!$D$2:$D$271=BN$3)*('Old CCC projections data'!$F$2:$BN$271))</f>
        <v>36119.314820792293</v>
      </c>
      <c r="BO10" s="20" cm="1">
        <f t="array" ref="BO10">SUMPRODUCT(('Old CCC projections data'!$F$1:$BN$1=$B10)*('Old CCC projections data'!$A$2:$A$271=BO$2)*('Old CCC projections data'!$D$2:$D$271=BO$3)*('Old CCC projections data'!$F$2:$BN$271))</f>
        <v>35275.593303201778</v>
      </c>
      <c r="BP10" s="20" cm="1">
        <f t="array" ref="BP10">SUMPRODUCT(('Old CCC projections data'!$F$1:$BN$1=$B10)*('Old CCC projections data'!$A$2:$A$271=BP$2)*('Old CCC projections data'!$D$2:$D$271=BP$3)*('Old CCC projections data'!$F$2:$BN$271))</f>
        <v>34735.587621558232</v>
      </c>
      <c r="BQ10" s="20" cm="1">
        <f t="array" ref="BQ10">SUMPRODUCT(('Old CCC projections data'!$F$1:$BN$1=$B10)*('Old CCC projections data'!$A$2:$A$271=BQ$2)*('Old CCC projections data'!$D$2:$D$271=BQ$3)*('Old CCC projections data'!$F$2:$BN$271))</f>
        <v>34166.892486327793</v>
      </c>
      <c r="BR10" s="20" cm="1">
        <f t="array" ref="BR10">SUMPRODUCT(('Old CCC projections data'!$F$1:$BN$1=$B10)*('Old CCC projections data'!$A$2:$A$271=BR$2)*('Old CCC projections data'!$D$2:$D$271=BR$3)*('Old CCC projections data'!$F$2:$BN$271))</f>
        <v>33598.581588886256</v>
      </c>
      <c r="BS10" s="20" cm="1">
        <f t="array" ref="BS10">SUMPRODUCT(('Old CCC projections data'!$F$1:$BN$1=$B10)*('Old CCC projections data'!$A$2:$A$271=BS$2)*('Old CCC projections data'!$D$2:$D$271=BS$3)*('Old CCC projections data'!$F$2:$BN$271))</f>
        <v>33145.134888132241</v>
      </c>
      <c r="BT10" s="20" cm="1">
        <f t="array" ref="BT10">SUMPRODUCT(('Old CCC projections data'!$F$1:$BN$1=$B10)*('Old CCC projections data'!$A$2:$A$271=BT$2)*('Old CCC projections data'!$D$2:$D$271=BT$3)*('Old CCC projections data'!$F$2:$BN$271))</f>
        <v>36112.152666523929</v>
      </c>
      <c r="BU10" s="20" cm="1">
        <f t="array" ref="BU10">SUMPRODUCT(('Old CCC projections data'!$F$1:$BN$1=$B10)*('Old CCC projections data'!$A$2:$A$271=BU$2)*('Old CCC projections data'!$D$2:$D$271=BU$3)*('Old CCC projections data'!$F$2:$BN$271))</f>
        <v>35305.583396225207</v>
      </c>
      <c r="BV10" s="20" cm="1">
        <f t="array" ref="BV10">SUMPRODUCT(('Old CCC projections data'!$F$1:$BN$1=$B10)*('Old CCC projections data'!$A$2:$A$271=BV$2)*('Old CCC projections data'!$D$2:$D$271=BV$3)*('Old CCC projections data'!$F$2:$BN$271))</f>
        <v>36709.706798143125</v>
      </c>
      <c r="BW10" s="20" cm="1">
        <f t="array" ref="BW10">SUMPRODUCT(('Old CCC projections data'!$F$1:$BN$1=$B10)*('Old CCC projections data'!$A$2:$A$271=BW$2)*('Old CCC projections data'!$D$2:$D$271=BW$3)*('Old CCC projections data'!$F$2:$BN$271))</f>
        <v>33913.745077376916</v>
      </c>
      <c r="BX10" s="20" cm="1">
        <f t="array" ref="BX10">SUMPRODUCT(('Old CCC projections data'!$F$1:$BN$1=$B10)*('Old CCC projections data'!$A$2:$A$271=BX$2)*('Old CCC projections data'!$D$2:$D$271=BX$3)*('Old CCC projections data'!$F$2:$BN$271))</f>
        <v>33317.038378824596</v>
      </c>
      <c r="BY10" s="20" cm="1">
        <f t="array" ref="BY10">SUMPRODUCT(('Old CCC projections data'!$F$1:$BN$1=$B10)*('Old CCC projections data'!$A$2:$A$271=BY$2)*('Old CCC projections data'!$D$2:$D$271=BY$3)*('Old CCC projections data'!$F$2:$BN$271))</f>
        <v>32702.596327500138</v>
      </c>
      <c r="BZ10" s="20" cm="1">
        <f t="array" ref="BZ10">SUMPRODUCT(('Old CCC projections data'!$F$1:$BN$1=$B10)*('Old CCC projections data'!$A$2:$A$271=BZ$2)*('Old CCC projections data'!$D$2:$D$271=BZ$3)*('Old CCC projections data'!$F$2:$BN$271))</f>
        <v>32059.551627874171</v>
      </c>
      <c r="CA10" s="20" cm="1">
        <f t="array" ref="CA10">SUMPRODUCT(('Old CCC projections data'!$F$1:$BN$1=$B10)*('Old CCC projections data'!$A$2:$A$271=CA$2)*('Old CCC projections data'!$D$2:$D$271=CA$3)*('Old CCC projections data'!$F$2:$BN$271))</f>
        <v>31774.315894951589</v>
      </c>
      <c r="CB10" s="20" cm="1">
        <f t="array" ref="CB10">SUMPRODUCT(('Old CCC projections data'!$F$1:$BN$1=$B10)*('Old CCC projections data'!$A$2:$A$271=CB$2)*('Old CCC projections data'!$D$2:$D$271=CB$3)*('Old CCC projections data'!$F$2:$BN$271))</f>
        <v>34791.052285276433</v>
      </c>
      <c r="CC10" s="20" cm="1">
        <f t="array" ref="CC10">SUMPRODUCT(('Old CCC projections data'!$F$1:$BN$1=$B10)*('Old CCC projections data'!$A$2:$A$271=CC$2)*('Old CCC projections data'!$D$2:$D$271=CC$3)*('Old CCC projections data'!$F$2:$BN$271))</f>
        <v>34663.911453598761</v>
      </c>
      <c r="CD10" s="20" cm="1">
        <f t="array" ref="CD10">SUMPRODUCT(('Old CCC projections data'!$F$1:$BN$1=$B10)*('Old CCC projections data'!$A$2:$A$271=CD$2)*('Old CCC projections data'!$D$2:$D$271=CD$3)*('Old CCC projections data'!$F$2:$BN$271))</f>
        <v>33936.715103703602</v>
      </c>
      <c r="CE10" s="20" cm="1">
        <f t="array" ref="CE10">SUMPRODUCT(('Old CCC projections data'!$F$1:$BN$1=$B10)*('Old CCC projections data'!$A$2:$A$271=CE$2)*('Old CCC projections data'!$D$2:$D$271=CE$3)*('Old CCC projections data'!$F$2:$BN$271))</f>
        <v>35452.217515133016</v>
      </c>
      <c r="CF10" s="20" cm="1">
        <f t="array" ref="CF10">SUMPRODUCT(('Old CCC projections data'!$F$1:$BN$1=$B10)*('Old CCC projections data'!$A$2:$A$271=CF$2)*('Old CCC projections data'!$D$2:$D$271=CF$3)*('Old CCC projections data'!$F$2:$BN$271))</f>
        <v>35172.197441117452</v>
      </c>
      <c r="CG10" s="20" cm="1">
        <f t="array" ref="CG10">SUMPRODUCT(('Old CCC projections data'!$F$1:$BN$1=$B10)*('Old CCC projections data'!$A$2:$A$271=CG$2)*('Old CCC projections data'!$D$2:$D$271=CG$3)*('Old CCC projections data'!$F$2:$BN$271))</f>
        <v>34674.168565724329</v>
      </c>
      <c r="CH10" s="20" cm="1">
        <f t="array" ref="CH10">SUMPRODUCT(('Old CCC projections data'!$F$1:$BN$1=$B10)*('Old CCC projections data'!$A$2:$A$271=CH$2)*('Old CCC projections data'!$D$2:$D$271=CH$3)*('Old CCC projections data'!$F$2:$BN$271))</f>
        <v>34116.35598896999</v>
      </c>
      <c r="CI10" s="20" cm="1">
        <f t="array" ref="CI10">SUMPRODUCT(('Old CCC projections data'!$F$1:$BN$1=$B10)*('Old CCC projections data'!$A$2:$A$271=CI$2)*('Old CCC projections data'!$D$2:$D$271=CI$3)*('Old CCC projections data'!$F$2:$BN$271))</f>
        <v>33653.977494379651</v>
      </c>
      <c r="CJ10" s="20" cm="1">
        <f t="array" ref="CJ10">SUMPRODUCT(('Old CCC projections data'!$F$1:$BN$1=$B10)*('Old CCC projections data'!$A$2:$A$271=CJ$2)*('Old CCC projections data'!$D$2:$D$271=CJ$3)*('Old CCC projections data'!$F$2:$BN$271))</f>
        <v>33410.708348915759</v>
      </c>
      <c r="CK10" s="20" cm="1">
        <f t="array" ref="CK10">SUMPRODUCT(('Old CCC projections data'!$F$1:$BN$1=$B10)*('Old CCC projections data'!$A$2:$A$271=CK$2)*('Old CCC projections data'!$D$2:$D$271=CK$3)*('Old CCC projections data'!$F$2:$BN$271))</f>
        <v>33198.851796010764</v>
      </c>
      <c r="CL10" s="20" cm="1">
        <f t="array" ref="CL10">SUMPRODUCT(('Old CCC projections data'!$F$1:$BN$1=$B10)*('Old CCC projections data'!$A$2:$A$271=CL$2)*('Old CCC projections data'!$D$2:$D$271=CL$3)*('Old CCC projections data'!$F$2:$BN$271))</f>
        <v>35988.501461066873</v>
      </c>
      <c r="CM10" s="20" cm="1">
        <f t="array" ref="CM10">SUMPRODUCT(('Old CCC projections data'!$F$1:$BN$1=$B10)*('Old CCC projections data'!$A$2:$A$271=CM$2)*('Old CCC projections data'!$D$2:$D$271=CM$3)*('Old CCC projections data'!$F$2:$BN$271))</f>
        <v>35225.380583973514</v>
      </c>
      <c r="CN10" s="20" cm="1">
        <f t="array" ref="CN10">SUMPRODUCT(('Old CCC projections data'!$F$1:$BN$1=$B10)*('Old CCC projections data'!$A$2:$A$271=CN$2)*('Old CCC projections data'!$D$2:$D$271=CN$3)*('Old CCC projections data'!$F$2:$BN$271))</f>
        <v>36603.149013165952</v>
      </c>
      <c r="CO10" s="20" cm="1">
        <f t="array" ref="CO10">SUMPRODUCT(('Old CCC projections data'!$F$1:$BN$1=$B10)*('Old CCC projections data'!$A$2:$A$271=CO$2)*('Old CCC projections data'!$D$2:$D$271=CO$3)*('Old CCC projections data'!$F$2:$BN$271))</f>
        <v>33946.011315936936</v>
      </c>
      <c r="CP10" s="20" cm="1">
        <f t="array" ref="CP10">SUMPRODUCT(('Old CCC projections data'!$F$1:$BN$1=$B10)*('Old CCC projections data'!$A$2:$A$271=CP$2)*('Old CCC projections data'!$D$2:$D$271=CP$3)*('Old CCC projections data'!$F$2:$BN$271))</f>
        <v>33285.073863265388</v>
      </c>
      <c r="CQ10" s="20" cm="1">
        <f t="array" ref="CQ10">SUMPRODUCT(('Old CCC projections data'!$F$1:$BN$1=$B10)*('Old CCC projections data'!$A$2:$A$271=CQ$2)*('Old CCC projections data'!$D$2:$D$271=CQ$3)*('Old CCC projections data'!$F$2:$BN$271))</f>
        <v>32595.163199553019</v>
      </c>
      <c r="CR10" s="20" cm="1">
        <f t="array" ref="CR10">SUMPRODUCT(('Old CCC projections data'!$F$1:$BN$1=$B10)*('Old CCC projections data'!$A$2:$A$271=CR$2)*('Old CCC projections data'!$D$2:$D$271=CR$3)*('Old CCC projections data'!$F$2:$BN$271))</f>
        <v>31939.869213839676</v>
      </c>
      <c r="CS10" s="20" cm="1">
        <f t="array" ref="CS10">SUMPRODUCT(('Old CCC projections data'!$F$1:$BN$1=$B10)*('Old CCC projections data'!$A$2:$A$271=CS$2)*('Old CCC projections data'!$D$2:$D$271=CS$3)*('Old CCC projections data'!$F$2:$BN$271))</f>
        <v>31533.310133463932</v>
      </c>
      <c r="CT10" s="20" cm="1">
        <f t="array" ref="CT10">SUMPRODUCT(('Old CCC projections data'!$F$1:$BN$1=$B10)*('Old CCC projections data'!$A$2:$A$271=CT$2)*('Old CCC projections data'!$D$2:$D$271=CT$3)*('Old CCC projections data'!$F$2:$BN$271))</f>
        <v>34749.307012004327</v>
      </c>
      <c r="CU10" s="20" cm="1">
        <f t="array" ref="CU10">SUMPRODUCT(('Old CCC projections data'!$F$1:$BN$1=$B10)*('Old CCC projections data'!$A$2:$A$271=CU$2)*('Old CCC projections data'!$D$2:$D$271=CU$3)*('Old CCC projections data'!$F$2:$BN$271))</f>
        <v>34623.188556514375</v>
      </c>
      <c r="CV10" s="20" cm="1">
        <f t="array" ref="CV10">SUMPRODUCT(('Old CCC projections data'!$F$1:$BN$1=$B10)*('Old CCC projections data'!$A$2:$A$271=CV$2)*('Old CCC projections data'!$D$2:$D$271=CV$3)*('Old CCC projections data'!$F$2:$BN$271))</f>
        <v>34003.297955240057</v>
      </c>
      <c r="CW10" s="20" cm="1">
        <f t="array" ref="CW10">SUMPRODUCT(('Old CCC projections data'!$F$1:$BN$1=$B10)*('Old CCC projections data'!$A$2:$A$271=CW$2)*('Old CCC projections data'!$D$2:$D$271=CW$3)*('Old CCC projections data'!$F$2:$BN$271))</f>
        <v>35662.591292813973</v>
      </c>
      <c r="CX10" s="20">
        <f t="shared" si="19"/>
        <v>1551.0945423445664</v>
      </c>
      <c r="CY10" s="20" t="str">
        <f t="shared" si="29"/>
        <v>Demo path - C price $100 3%</v>
      </c>
      <c r="CZ10" s="3">
        <f t="shared" si="30"/>
        <v>2028</v>
      </c>
      <c r="DA10" s="18">
        <f t="shared" si="31"/>
        <v>0</v>
      </c>
      <c r="DB10" s="18">
        <f ca="1">(H13+IF($DB$3&gt;0,NPV($DB$2,H14:OFFSET(H13,$DB$3,0)),0))/($DB$3+1)</f>
        <v>137.62142519467838</v>
      </c>
      <c r="DC10" s="18">
        <f t="shared" ca="1" si="20"/>
        <v>37.62142519467838</v>
      </c>
      <c r="DD10" s="18">
        <f t="shared" si="32"/>
        <v>100</v>
      </c>
      <c r="DE10" s="20">
        <f t="shared" si="21"/>
        <v>35511.189170281767</v>
      </c>
      <c r="DF10" s="20" cm="1">
        <f t="array" ref="DF10">SUMPRODUCT(($BG$2:$BM$2=CY10)*($B$5:$B$35=CZ10)*($BG$5:$BM$35))</f>
        <v>32661.749512637278</v>
      </c>
      <c r="DG10" s="20">
        <f t="shared" si="16"/>
        <v>2849.4396576444888</v>
      </c>
      <c r="DH10" s="20" cm="1">
        <f t="array" ref="DH10">IF(CZ10=2023,SUMPRODUCT(($B$5:$B$35=CZ10-1)*($BN$5:$BN$35))-SUMPRODUCT(($BG$2:$BM$2=CY10)*($B$5:$B$35=CZ10-1)*($BG$5:$BM$35)),DG9)</f>
        <v>2404.0589707782856</v>
      </c>
      <c r="DI10" s="18">
        <f t="shared" ca="1" si="17"/>
        <v>137.62142519467838</v>
      </c>
      <c r="DJ10" s="89">
        <f t="shared" si="22"/>
        <v>7.9548776425793397</v>
      </c>
      <c r="DK10" s="89">
        <f t="shared" si="23"/>
        <v>7.784913825628065</v>
      </c>
      <c r="DL10" s="89">
        <f t="shared" ca="1" si="24"/>
        <v>4.9245066197349407</v>
      </c>
      <c r="DM10" s="20">
        <f t="shared" ca="1" si="25"/>
        <v>1065.8880475523636</v>
      </c>
      <c r="DN10" s="20">
        <f t="shared" ca="1" si="26"/>
        <v>2985.6748139561323</v>
      </c>
      <c r="DO10" s="20">
        <f t="shared" ca="1" si="27"/>
        <v>2025.781430754248</v>
      </c>
      <c r="DP10" s="113"/>
      <c r="DQ10" s="18">
        <v>250</v>
      </c>
      <c r="DR10">
        <f t="shared" si="18"/>
        <v>0</v>
      </c>
      <c r="DS10" s="18" cm="1">
        <f t="array" aca="1" ref="DS10" ca="1">SUMPRODUCT(($DD$5:$DD$200=DQ10)*($CZ$5:$CZ$200=$DS$3)*($DB$5:$DB$200))</f>
        <v>365.00642497258576</v>
      </c>
      <c r="DT10" s="20" cm="1">
        <f t="array" ref="DT10">SUMPRODUCT(($DD$5:$DD$200=$DQ10)*($CZ$5:$CZ$200=$DS$3)*($DG$5:$DG$200))</f>
        <v>7147.0074387769309</v>
      </c>
      <c r="DU10" s="18" cm="1">
        <f t="array" aca="1" ref="DU10" ca="1">SUMPRODUCT(($DD$5:$DD$200=$DQ10)*($CZ$5:$CZ$200=$DU$3)*($DB$5:$DB$200))</f>
        <v>423.1424854236468</v>
      </c>
      <c r="DV10" s="20" cm="1">
        <f t="array" ref="DV10">SUMPRODUCT(($DD$5:$DD$200=$DQ10)*($CZ$5:$CZ$200=$DU$3)*($DG$5:$DG$200))</f>
        <v>7527.2104315758443</v>
      </c>
      <c r="DW10" s="18" cm="1">
        <f t="array" aca="1" ref="DW10" ca="1">SUMPRODUCT(($DD$5:$DD$200=$DQ10)*($CZ$5:$CZ$200=$DW$3)*($DB$5:$DB$200))</f>
        <v>659.24220486950583</v>
      </c>
      <c r="DX10" s="20" cm="1">
        <f t="array" ref="DX10">SUMPRODUCT(($DD$5:$DD$200=$DQ10)*($CZ$5:$CZ$200=$DW$3)*($DG$5:$DG$200))</f>
        <v>6530.0093205987114</v>
      </c>
    </row>
    <row r="11" spans="1:128" x14ac:dyDescent="0.25">
      <c r="A11">
        <v>-1</v>
      </c>
      <c r="B11">
        <f t="shared" si="28"/>
        <v>2026</v>
      </c>
      <c r="C11" s="190">
        <f>IF(C10*(1+A11*Model!$B$19*IF(Model!$B$28=0,1,((Model!$B$28-B11)/(Model!$B$28-$B$9))))&gt;Model!$B$44,C10*(1+A11*Model!$B$19*IF(Model!$B$28=0,1,((Model!$B$28-B11)/(Model!$B$28-$B$9)))),Model!$B$44)</f>
        <v>68.224861999999987</v>
      </c>
      <c r="D11" s="18" cm="1">
        <f t="array" ref="D11">SUMPRODUCT(('Old CCC projections data'!$F$1:$BN$1=$B11)*('Old CCC projections data'!$A$2:$A$271=D$2)*('Old CCC projections data'!$D$2:$D$271=D$3)*('Old CCC projections data'!$F$2:$BN$271))*Model!$B$47</f>
        <v>41.549707602339183</v>
      </c>
      <c r="E11" s="18" cm="1">
        <f t="array" ref="E11">SUMPRODUCT(('Old CCC projections data'!$F$1:$BN$1=$B11)*('Old CCC projections data'!$A$2:$A$271=E$2)*('Old CCC projections data'!$D$2:$D$271=E$3)*('Old CCC projections data'!$F$2:$BN$271))*Model!$B$47</f>
        <v>1.1871345029239767E-2</v>
      </c>
      <c r="F11" s="18"/>
      <c r="G11" s="18"/>
      <c r="H11" s="18" cm="1">
        <f t="array" ref="H11">SUMPRODUCT(('Old CCC projections data'!$F$1:$BN$1=$B11)*('Old CCC projections data'!$A$2:$A$271=H$2)*('Old CCC projections data'!$D$2:$D$271=H$3)*('Old CCC projections data'!$F$2:$BN$271))*Model!$B$47</f>
        <v>129.72139239766082</v>
      </c>
      <c r="I11" s="18" cm="1">
        <f t="array" ref="I11">SUMPRODUCT(('Old CCC projections data'!$F$1:$BN$1=$B11)*('Old CCC projections data'!$A$2:$A$271=I$2)*('Old CCC projections data'!$D$2:$D$271=I$3)*('Old CCC projections data'!$F$2:$BN$271))*Model!$B$47</f>
        <v>194.58208859649125</v>
      </c>
      <c r="J11" s="18" cm="1">
        <f t="array" ref="J11">SUMPRODUCT(('Old CCC projections data'!$F$1:$BN$1=$B11)*('Old CCC projections data'!$A$2:$A$271=J$2)*('Old CCC projections data'!$D$2:$D$271=J$3)*('Old CCC projections data'!$F$2:$BN$271))*Model!$B$47</f>
        <v>259.44278479532164</v>
      </c>
      <c r="K11" s="18" cm="1">
        <f t="array" ref="K11">SUMPRODUCT(('Old CCC projections data'!$F$1:$BN$1=$B11)*('Old CCC projections data'!$A$2:$A$271=K$2)*('Old CCC projections data'!$D$2:$D$271=K$3)*('Old CCC projections data'!$F$2:$BN$271))*Model!$B$47</f>
        <v>324.3034809941521</v>
      </c>
      <c r="L11" s="18" cm="1">
        <f t="array" ref="L11">SUMPRODUCT(('Old CCC projections data'!$F$1:$BN$1=$B11)*('Old CCC projections data'!$A$2:$A$271=L$2)*('Old CCC projections data'!$D$2:$D$271=L$3)*('Old CCC projections data'!$F$2:$BN$271))*Model!$B$47</f>
        <v>389.16417719298249</v>
      </c>
      <c r="M11" s="18" cm="1">
        <f t="array" ref="M11">SUMPRODUCT(('Old CCC projections data'!$F$1:$BN$1=$B11)*('Old CCC projections data'!$A$2:$A$271=M$2)*('Old CCC projections data'!$D$2:$D$271=M$3)*('Old CCC projections data'!$F$2:$BN$271))*Model!$B$47</f>
        <v>64.860696198830411</v>
      </c>
      <c r="N11" s="189" cm="1">
        <f t="array" ref="N11">SUMPRODUCT(('Old CCC projections data'!$F$1:$BN$1=$B11)*('Old CCC projections data'!$A$2:$A$271=N$2)*('Old CCC projections data'!$D$2:$D$271=N$3)*('Old CCC projections data'!$F$2:$BN$271))*Model!$B$47</f>
        <v>126.81698205816964</v>
      </c>
      <c r="O11" s="18" cm="1">
        <f t="array" ref="O11">SUMPRODUCT(('Old CCC projections data'!$F$1:$BN$1=$B11)*('Old CCC projections data'!$A$2:$A$271=O$2)*('Old CCC projections data'!$D$2:$D$271=O$3)*('Old CCC projections data'!$F$2:$BN$271))*Model!$B$47</f>
        <v>1.1871345029239767E-2</v>
      </c>
      <c r="P11" s="18" cm="1">
        <f t="array" ref="P11">SUMPRODUCT(('Old CCC projections data'!$F$1:$BN$1=$B11)*('Old CCC projections data'!$A$2:$A$271=P$2)*('Old CCC projections data'!$D$2:$D$271=P$3)*('Old CCC projections data'!$F$2:$BN$271))*Model!$B$47</f>
        <v>129.72139239766082</v>
      </c>
      <c r="Q11" s="18" cm="1">
        <f t="array" ref="Q11">SUMPRODUCT(('Old CCC projections data'!$F$1:$BN$1=$B11)*('Old CCC projections data'!$A$2:$A$271=Q$2)*('Old CCC projections data'!$D$2:$D$271=Q$3)*('Old CCC projections data'!$F$2:$BN$271))*Model!$B$47</f>
        <v>194.58208859649125</v>
      </c>
      <c r="R11" s="18" cm="1">
        <f t="array" ref="R11">SUMPRODUCT(('Old CCC projections data'!$F$1:$BN$1=$B11)*('Old CCC projections data'!$A$2:$A$271=R$2)*('Old CCC projections data'!$D$2:$D$271=R$3)*('Old CCC projections data'!$F$2:$BN$271))*Model!$B$47</f>
        <v>259.44278479532164</v>
      </c>
      <c r="S11" s="18" cm="1">
        <f t="array" ref="S11">SUMPRODUCT(('Old CCC projections data'!$F$1:$BN$1=$B11)*('Old CCC projections data'!$A$2:$A$271=S$2)*('Old CCC projections data'!$D$2:$D$271=S$3)*('Old CCC projections data'!$F$2:$BN$271))*Model!$B$47</f>
        <v>324.3034809941521</v>
      </c>
      <c r="T11" s="18" cm="1">
        <f t="array" ref="T11">SUMPRODUCT(('Old CCC projections data'!$F$1:$BN$1=$B11)*('Old CCC projections data'!$A$2:$A$271=T$2)*('Old CCC projections data'!$D$2:$D$271=T$3)*('Old CCC projections data'!$F$2:$BN$271))*Model!$B$47</f>
        <v>389.16417719298249</v>
      </c>
      <c r="U11" s="18" cm="1">
        <f t="array" ref="U11">SUMPRODUCT(('Old CCC projections data'!$F$1:$BN$1=$B11)*('Old CCC projections data'!$A$2:$A$271=U$2)*('Old CCC projections data'!$D$2:$D$271=U$3)*('Old CCC projections data'!$F$2:$BN$271))*Model!$B$47</f>
        <v>64.860696198830411</v>
      </c>
      <c r="V11" s="18" cm="1">
        <f t="array" ref="V11">SUMPRODUCT(('Old CCC projections data'!$F$1:$BN$1=$B11)*('Old CCC projections data'!$A$2:$A$271=V$2)*('Old CCC projections data'!$D$2:$D$271=V$3)*('Old CCC projections data'!$F$2:$BN$271))*Model!$B$47</f>
        <v>126.81698205816964</v>
      </c>
      <c r="W11" s="18" cm="1">
        <f t="array" ref="W11">SUMPRODUCT(('Old CCC projections data'!$F$1:$BN$1=$B11)*('Old CCC projections data'!$A$2:$A$271=W$2)*('Old CCC projections data'!$D$2:$D$271=W$3)*('Old CCC projections data'!$F$2:$BN$271))*Model!$B$47</f>
        <v>1.1871345029239767E-2</v>
      </c>
      <c r="X11" s="18" cm="1">
        <f t="array" ref="X11">SUMPRODUCT(('Old CCC projections data'!$F$1:$BN$1=$B11)*('Old CCC projections data'!$A$2:$A$271=X$2)*('Old CCC projections data'!$D$2:$D$271=X$3)*('Old CCC projections data'!$F$2:$BN$271))*Model!$B$47</f>
        <v>129.72139239766082</v>
      </c>
      <c r="Y11" s="18" cm="1">
        <f t="array" ref="Y11">SUMPRODUCT(('Old CCC projections data'!$F$1:$BN$1=$B11)*('Old CCC projections data'!$A$2:$A$271=Y$2)*('Old CCC projections data'!$D$2:$D$271=Y$3)*('Old CCC projections data'!$F$2:$BN$271))*Model!$B$47</f>
        <v>194.58208859649125</v>
      </c>
      <c r="Z11" s="18" cm="1">
        <f t="array" ref="Z11">SUMPRODUCT(('Old CCC projections data'!$F$1:$BN$1=$B11)*('Old CCC projections data'!$A$2:$A$271=Z$2)*('Old CCC projections data'!$D$2:$D$271=Z$3)*('Old CCC projections data'!$F$2:$BN$271))*Model!$B$47</f>
        <v>259.44278479532164</v>
      </c>
      <c r="AA11" s="18" cm="1">
        <f t="array" ref="AA11">SUMPRODUCT(('Old CCC projections data'!$F$1:$BN$1=$B11)*('Old CCC projections data'!$A$2:$A$271=AA$2)*('Old CCC projections data'!$D$2:$D$271=AA$3)*('Old CCC projections data'!$F$2:$BN$271))*Model!$B$47</f>
        <v>324.3034809941521</v>
      </c>
      <c r="AB11" s="18" cm="1">
        <f t="array" ref="AB11">SUMPRODUCT(('Old CCC projections data'!$F$1:$BN$1=$B11)*('Old CCC projections data'!$A$2:$A$271=AB$2)*('Old CCC projections data'!$D$2:$D$271=AB$3)*('Old CCC projections data'!$F$2:$BN$271))*Model!$B$47</f>
        <v>389.16417719298249</v>
      </c>
      <c r="AC11" s="18" cm="1">
        <f t="array" ref="AC11">SUMPRODUCT(('Old CCC projections data'!$F$1:$BN$1=$B11)*('Old CCC projections data'!$A$2:$A$271=AC$2)*('Old CCC projections data'!$D$2:$D$271=AC$3)*('Old CCC projections data'!$F$2:$BN$271))*Model!$B$47</f>
        <v>64.860696198830411</v>
      </c>
      <c r="AD11" s="18" cm="1">
        <f t="array" ref="AD11">SUMPRODUCT(('Old CCC projections data'!$F$1:$BN$1=$B11)*('Old CCC projections data'!$A$2:$A$271=AD$2)*('Old CCC projections data'!$D$2:$D$271=AD$3)*('Old CCC projections data'!$F$2:$BN$271))*Model!$B$47</f>
        <v>71.34676581871345</v>
      </c>
      <c r="AE11" s="18" cm="1">
        <f t="array" ref="AE11">SUMPRODUCT(('Old CCC projections data'!$F$1:$BN$1=$B11)*('Old CCC projections data'!$A$2:$A$271=AE$2)*('Old CCC projections data'!$D$2:$D$271=AE$3)*('Old CCC projections data'!$F$2:$BN$271))*Model!$B$47</f>
        <v>126.81698205816964</v>
      </c>
      <c r="AF11" s="18" cm="1">
        <f t="array" ref="AF11">SUMPRODUCT(('Old CCC projections data'!$F$1:$BN$1=$B11)*('Old CCC projections data'!$A$2:$A$271=AF$2)*('Old CCC projections data'!$D$2:$D$271=AF$3)*('Old CCC projections data'!$F$2:$BN$271))*Model!$B$47</f>
        <v>1.1871345029239767E-2</v>
      </c>
      <c r="AG11" s="18" cm="1">
        <f t="array" ref="AG11">SUMPRODUCT(('Old CCC projections data'!$F$1:$BN$1=$B11)*('Old CCC projections data'!$A$2:$A$271=AG$2)*('Old CCC projections data'!$D$2:$D$271=AG$3)*('Old CCC projections data'!$F$2:$BN$271))*Model!$B$47</f>
        <v>129.72139239766082</v>
      </c>
      <c r="AH11" s="18" cm="1">
        <f t="array" ref="AH11">SUMPRODUCT(('Old CCC projections data'!$F$1:$BN$1=$B11)*('Old CCC projections data'!$A$2:$A$271=AH$2)*('Old CCC projections data'!$D$2:$D$271=AH$3)*('Old CCC projections data'!$F$2:$BN$271))*Model!$B$47</f>
        <v>194.58208859649125</v>
      </c>
      <c r="AI11" s="18" cm="1">
        <f t="array" ref="AI11">SUMPRODUCT(('Old CCC projections data'!$F$1:$BN$1=$B11)*('Old CCC projections data'!$A$2:$A$271=AI$2)*('Old CCC projections data'!$D$2:$D$271=AI$3)*('Old CCC projections data'!$F$2:$BN$271))*Model!$B$47</f>
        <v>259.44278479532164</v>
      </c>
      <c r="AJ11" s="18" cm="1">
        <f t="array" ref="AJ11">SUMPRODUCT(('Old CCC projections data'!$F$1:$BN$1=$B11)*('Old CCC projections data'!$A$2:$A$271=AJ$2)*('Old CCC projections data'!$D$2:$D$271=AJ$3)*('Old CCC projections data'!$F$2:$BN$271))*Model!$B$47</f>
        <v>324.3034809941521</v>
      </c>
      <c r="AK11" s="18" cm="1">
        <f t="array" ref="AK11">SUMPRODUCT(('Old CCC projections data'!$F$1:$BN$1=$B11)*('Old CCC projections data'!$A$2:$A$271=AK$2)*('Old CCC projections data'!$D$2:$D$271=AK$3)*('Old CCC projections data'!$F$2:$BN$271))*Model!$B$47</f>
        <v>350.24775947368431</v>
      </c>
      <c r="AL11" s="18" cm="1">
        <f t="array" ref="AL11">SUMPRODUCT(('Old CCC projections data'!$F$1:$BN$1=$B11)*('Old CCC projections data'!$A$2:$A$271=AL$2)*('Old CCC projections data'!$D$2:$D$271=AL$3)*('Old CCC projections data'!$F$2:$BN$271))*Model!$B$47</f>
        <v>389.16417719298249</v>
      </c>
      <c r="AM11" s="18" cm="1">
        <f t="array" ref="AM11">SUMPRODUCT(('Old CCC projections data'!$F$1:$BN$1=$B11)*('Old CCC projections data'!$A$2:$A$271=AM$2)*('Old CCC projections data'!$D$2:$D$271=AM$3)*('Old CCC projections data'!$F$2:$BN$271))*Model!$B$47</f>
        <v>64.860696198830411</v>
      </c>
      <c r="AN11" s="18" cm="1">
        <f t="array" ref="AN11">SUMPRODUCT(('Old CCC projections data'!$F$1:$BN$1=$B11)*('Old CCC projections data'!$A$2:$A$271=AN$2)*('Old CCC projections data'!$D$2:$D$271=AN$3)*('Old CCC projections data'!$F$2:$BN$271))*Model!$B$47</f>
        <v>126.81698205816964</v>
      </c>
      <c r="AO11" s="18" cm="1">
        <f t="array" ref="AO11">SUMPRODUCT(('Old CCC projections data'!$F$1:$BN$1=$B11)*('Old CCC projections data'!$A$2:$A$271=AO$2)*('Old CCC projections data'!$D$2:$D$271=AO$3)*('Old CCC projections data'!$F$2:$BN$271))*Model!$B$47</f>
        <v>1.1871345029239767E-2</v>
      </c>
      <c r="AP11" s="18" cm="1">
        <f t="array" ref="AP11">SUMPRODUCT(('Old CCC projections data'!$F$1:$BN$1=$B11)*('Old CCC projections data'!$A$2:$A$271=AP$2)*('Old CCC projections data'!$D$2:$D$271=AP$3)*('Old CCC projections data'!$F$2:$BN$271))*Model!$B$47</f>
        <v>129.72139239766082</v>
      </c>
      <c r="AQ11" s="18" cm="1">
        <f t="array" ref="AQ11">SUMPRODUCT(('Old CCC projections data'!$F$1:$BN$1=$B11)*('Old CCC projections data'!$A$2:$A$271=AQ$2)*('Old CCC projections data'!$D$2:$D$271=AQ$3)*('Old CCC projections data'!$F$2:$BN$271))*Model!$B$47</f>
        <v>194.58208859649125</v>
      </c>
      <c r="AR11" s="18" cm="1">
        <f t="array" ref="AR11">SUMPRODUCT(('Old CCC projections data'!$F$1:$BN$1=$B11)*('Old CCC projections data'!$A$2:$A$271=AR$2)*('Old CCC projections data'!$D$2:$D$271=AR$3)*('Old CCC projections data'!$F$2:$BN$271))*Model!$B$47</f>
        <v>259.44278479532164</v>
      </c>
      <c r="AS11" s="18" cm="1">
        <f t="array" ref="AS11">SUMPRODUCT(('Old CCC projections data'!$F$1:$BN$1=$B11)*('Old CCC projections data'!$A$2:$A$271=AS$2)*('Old CCC projections data'!$D$2:$D$271=AS$3)*('Old CCC projections data'!$F$2:$BN$271))*Model!$B$47</f>
        <v>324.3034809941521</v>
      </c>
      <c r="AT11" s="18" cm="1">
        <f t="array" ref="AT11">SUMPRODUCT(('Old CCC projections data'!$F$1:$BN$1=$B11)*('Old CCC projections data'!$A$2:$A$271=AT$2)*('Old CCC projections data'!$D$2:$D$271=AT$3)*('Old CCC projections data'!$F$2:$BN$271))*Model!$B$47</f>
        <v>389.16417719298249</v>
      </c>
      <c r="AU11" s="18" cm="1">
        <f t="array" ref="AU11">SUMPRODUCT(('Old CCC projections data'!$F$1:$BN$1=$B11)*('Old CCC projections data'!$A$2:$A$271=AU$2)*('Old CCC projections data'!$D$2:$D$271=AU$3)*('Old CCC projections data'!$F$2:$BN$271))*Model!$B$47</f>
        <v>64.860696198830411</v>
      </c>
      <c r="AV11" s="18" cm="1">
        <f t="array" ref="AV11">SUMPRODUCT(('Old CCC projections data'!$F$1:$BN$1=$B11)*('Old CCC projections data'!$A$2:$A$271=AV$2)*('Old CCC projections data'!$D$2:$D$271=AV$3)*('Old CCC projections data'!$F$2:$BN$271))*Model!$B$47</f>
        <v>71.34676581871345</v>
      </c>
      <c r="AW11" s="18" cm="1">
        <f t="array" ref="AW11">SUMPRODUCT(('Old CCC projections data'!$F$1:$BN$1=$B11)*('Old CCC projections data'!$A$2:$A$271=AW$2)*('Old CCC projections data'!$D$2:$D$271=AW$3)*('Old CCC projections data'!$F$2:$BN$271))*Model!$B$47</f>
        <v>126.81698205816964</v>
      </c>
      <c r="AX11" s="18" cm="1">
        <f t="array" ref="AX11">SUMPRODUCT(('Old CCC projections data'!$F$1:$BN$1=$B11)*('Old CCC projections data'!$A$2:$A$271=AX$2)*('Old CCC projections data'!$D$2:$D$271=AX$3)*('Old CCC projections data'!$F$2:$BN$271))*Model!$B$47</f>
        <v>1.1871345029239767E-2</v>
      </c>
      <c r="AY11" s="18">
        <v>70.200000000000017</v>
      </c>
      <c r="AZ11" s="18">
        <v>55.999999999999993</v>
      </c>
      <c r="BA11" s="18">
        <v>67.200000000000017</v>
      </c>
      <c r="BB11" s="18"/>
      <c r="BC11" s="20" cm="1">
        <f t="array" ref="BC11">SUMPRODUCT(('Old CCC projections data'!$F$1:$BN$1=$B11)*('Old CCC projections data'!$A$2:$A$271=BC$2)*('Old CCC projections data'!$D$2:$D$271=BC$3)*('Old CCC projections data'!$F$2:$BN$271))</f>
        <v>36827.161947439978</v>
      </c>
      <c r="BD11" s="20" cm="1">
        <f t="array" ref="BD11">SUMPRODUCT(('Old CCC projections data'!$F$1:$BN$1=$B11)*('Old CCC projections data'!$A$2:$A$271=BD$2)*('Old CCC projections data'!$D$2:$D$271=BD$3)*('Old CCC projections data'!$F$2:$BN$271))</f>
        <v>37575.194423660228</v>
      </c>
      <c r="BE11" s="20"/>
      <c r="BF11" s="20"/>
      <c r="BG11" s="20" cm="1">
        <f t="array" ref="BG11">SUMPRODUCT(('Old CCC projections data'!$F$1:$BN$1=$B11)*('Old CCC projections data'!$A$2:$A$271=BG$2)*('Old CCC projections data'!$D$2:$D$271=BG$3)*('Old CCC projections data'!$F$2:$BN$271))</f>
        <v>34005.645184696397</v>
      </c>
      <c r="BH11" s="20" cm="1">
        <f t="array" ref="BH11">SUMPRODUCT(('Old CCC projections data'!$F$1:$BN$1=$B11)*('Old CCC projections data'!$A$2:$A$271=BH$2)*('Old CCC projections data'!$D$2:$D$271=BH$3)*('Old CCC projections data'!$F$2:$BN$271))</f>
        <v>33238.920180471185</v>
      </c>
      <c r="BI11" s="20" cm="1">
        <f t="array" ref="BI11">SUMPRODUCT(('Old CCC projections data'!$F$1:$BN$1=$B11)*('Old CCC projections data'!$A$2:$A$271=BI$2)*('Old CCC projections data'!$D$2:$D$271=BI$3)*('Old CCC projections data'!$F$2:$BN$271))</f>
        <v>32360.998474448734</v>
      </c>
      <c r="BJ11" s="20" cm="1">
        <f t="array" ref="BJ11">SUMPRODUCT(('Old CCC projections data'!$F$1:$BN$1=$B11)*('Old CCC projections data'!$A$2:$A$271=BJ$2)*('Old CCC projections data'!$D$2:$D$271=BJ$3)*('Old CCC projections data'!$F$2:$BN$271))</f>
        <v>31889.198832645245</v>
      </c>
      <c r="BK11" s="20" cm="1">
        <f t="array" ref="BK11">SUMPRODUCT(('Old CCC projections data'!$F$1:$BN$1=$B11)*('Old CCC projections data'!$A$2:$A$271=BK$2)*('Old CCC projections data'!$D$2:$D$271=BK$3)*('Old CCC projections data'!$F$2:$BN$271))</f>
        <v>31306.955900772686</v>
      </c>
      <c r="BL11" s="20" cm="1">
        <f t="array" ref="BL11">SUMPRODUCT(('Old CCC projections data'!$F$1:$BN$1=$B11)*('Old CCC projections data'!$A$2:$A$271=BL$2)*('Old CCC projections data'!$D$2:$D$271=BL$3)*('Old CCC projections data'!$F$2:$BN$271))</f>
        <v>34946.346248030473</v>
      </c>
      <c r="BM11" s="20" cm="1">
        <f t="array" ref="BM11">SUMPRODUCT(('Old CCC projections data'!$F$1:$BN$1=$B11)*('Old CCC projections data'!$A$2:$A$271=BM$2)*('Old CCC projections data'!$D$2:$D$271=BM$3)*('Old CCC projections data'!$F$2:$BN$271))</f>
        <v>33977.421765005165</v>
      </c>
      <c r="BN11" s="20" cm="1">
        <f t="array" ref="BN11">SUMPRODUCT(('Old CCC projections data'!$F$1:$BN$1=$B11)*('Old CCC projections data'!$A$2:$A$271=BN$2)*('Old CCC projections data'!$D$2:$D$271=BN$3)*('Old CCC projections data'!$F$2:$BN$271))</f>
        <v>35989.651978621361</v>
      </c>
      <c r="BO11" s="20" cm="1">
        <f t="array" ref="BO11">SUMPRODUCT(('Old CCC projections data'!$F$1:$BN$1=$B11)*('Old CCC projections data'!$A$2:$A$271=BO$2)*('Old CCC projections data'!$D$2:$D$271=BO$3)*('Old CCC projections data'!$F$2:$BN$271))</f>
        <v>34953.01769540758</v>
      </c>
      <c r="BP11" s="20" cm="1">
        <f t="array" ref="BP11">SUMPRODUCT(('Old CCC projections data'!$F$1:$BN$1=$B11)*('Old CCC projections data'!$A$2:$A$271=BP$2)*('Old CCC projections data'!$D$2:$D$271=BP$3)*('Old CCC projections data'!$F$2:$BN$271))</f>
        <v>34308.344445388509</v>
      </c>
      <c r="BQ11" s="20" cm="1">
        <f t="array" ref="BQ11">SUMPRODUCT(('Old CCC projections data'!$F$1:$BN$1=$B11)*('Old CCC projections data'!$A$2:$A$271=BQ$2)*('Old CCC projections data'!$D$2:$D$271=BQ$3)*('Old CCC projections data'!$F$2:$BN$271))</f>
        <v>33585.027365692025</v>
      </c>
      <c r="BR11" s="20" cm="1">
        <f t="array" ref="BR11">SUMPRODUCT(('Old CCC projections data'!$F$1:$BN$1=$B11)*('Old CCC projections data'!$A$2:$A$271=BR$2)*('Old CCC projections data'!$D$2:$D$271=BR$3)*('Old CCC projections data'!$F$2:$BN$271))</f>
        <v>33033.679580153512</v>
      </c>
      <c r="BS11" s="20" cm="1">
        <f t="array" ref="BS11">SUMPRODUCT(('Old CCC projections data'!$F$1:$BN$1=$B11)*('Old CCC projections data'!$A$2:$A$271=BS$2)*('Old CCC projections data'!$D$2:$D$271=BS$3)*('Old CCC projections data'!$F$2:$BN$271))</f>
        <v>32461.689175679025</v>
      </c>
      <c r="BT11" s="20" cm="1">
        <f t="array" ref="BT11">SUMPRODUCT(('Old CCC projections data'!$F$1:$BN$1=$B11)*('Old CCC projections data'!$A$2:$A$271=BT$2)*('Old CCC projections data'!$D$2:$D$271=BT$3)*('Old CCC projections data'!$F$2:$BN$271))</f>
        <v>35801.229249305645</v>
      </c>
      <c r="BU11" s="20" cm="1">
        <f t="array" ref="BU11">SUMPRODUCT(('Old CCC projections data'!$F$1:$BN$1=$B11)*('Old CCC projections data'!$A$2:$A$271=BU$2)*('Old CCC projections data'!$D$2:$D$271=BU$3)*('Old CCC projections data'!$F$2:$BN$271))</f>
        <v>34913.638806247058</v>
      </c>
      <c r="BV11" s="20" cm="1">
        <f t="array" ref="BV11">SUMPRODUCT(('Old CCC projections data'!$F$1:$BN$1=$B11)*('Old CCC projections data'!$A$2:$A$271=BV$2)*('Old CCC projections data'!$D$2:$D$271=BV$3)*('Old CCC projections data'!$F$2:$BN$271))</f>
        <v>36702.167085071531</v>
      </c>
      <c r="BW11" s="20" cm="1">
        <f t="array" ref="BW11">SUMPRODUCT(('Old CCC projections data'!$F$1:$BN$1=$B11)*('Old CCC projections data'!$A$2:$A$271=BW$2)*('Old CCC projections data'!$D$2:$D$271=BW$3)*('Old CCC projections data'!$F$2:$BN$271))</f>
        <v>33151.237480653377</v>
      </c>
      <c r="BX11" s="20" cm="1">
        <f t="array" ref="BX11">SUMPRODUCT(('Old CCC projections data'!$F$1:$BN$1=$B11)*('Old CCC projections data'!$A$2:$A$271=BX$2)*('Old CCC projections data'!$D$2:$D$271=BX$3)*('Old CCC projections data'!$F$2:$BN$271))</f>
        <v>32409.575205043187</v>
      </c>
      <c r="BY11" s="20" cm="1">
        <f t="array" ref="BY11">SUMPRODUCT(('Old CCC projections data'!$F$1:$BN$1=$B11)*('Old CCC projections data'!$A$2:$A$271=BY$2)*('Old CCC projections data'!$D$2:$D$271=BY$3)*('Old CCC projections data'!$F$2:$BN$271))</f>
        <v>31627.502440317789</v>
      </c>
      <c r="BZ11" s="20" cm="1">
        <f t="array" ref="BZ11">SUMPRODUCT(('Old CCC projections data'!$F$1:$BN$1=$B11)*('Old CCC projections data'!$A$2:$A$271=BZ$2)*('Old CCC projections data'!$D$2:$D$271=BZ$3)*('Old CCC projections data'!$F$2:$BN$271))</f>
        <v>31072.337413575657</v>
      </c>
      <c r="CA11" s="20" cm="1">
        <f t="array" ref="CA11">SUMPRODUCT(('Old CCC projections data'!$F$1:$BN$1=$B11)*('Old CCC projections data'!$A$2:$A$271=CA$2)*('Old CCC projections data'!$D$2:$D$271=CA$3)*('Old CCC projections data'!$F$2:$BN$271))</f>
        <v>30667.223453290881</v>
      </c>
      <c r="CB11" s="20" cm="1">
        <f t="array" ref="CB11">SUMPRODUCT(('Old CCC projections data'!$F$1:$BN$1=$B11)*('Old CCC projections data'!$A$2:$A$271=CB$2)*('Old CCC projections data'!$D$2:$D$271=CB$3)*('Old CCC projections data'!$F$2:$BN$271))</f>
        <v>34077.926075310337</v>
      </c>
      <c r="CC11" s="20" cm="1">
        <f t="array" ref="CC11">SUMPRODUCT(('Old CCC projections data'!$F$1:$BN$1=$B11)*('Old CCC projections data'!$A$2:$A$271=CC$2)*('Old CCC projections data'!$D$2:$D$271=CC$3)*('Old CCC projections data'!$F$2:$BN$271))</f>
        <v>33959.060617416973</v>
      </c>
      <c r="CD11" s="20" cm="1">
        <f t="array" ref="CD11">SUMPRODUCT(('Old CCC projections data'!$F$1:$BN$1=$B11)*('Old CCC projections data'!$A$2:$A$271=CD$2)*('Old CCC projections data'!$D$2:$D$271=CD$3)*('Old CCC projections data'!$F$2:$BN$271))</f>
        <v>33051.273811622275</v>
      </c>
      <c r="CE11" s="20" cm="1">
        <f t="array" ref="CE11">SUMPRODUCT(('Old CCC projections data'!$F$1:$BN$1=$B11)*('Old CCC projections data'!$A$2:$A$271=CE$2)*('Old CCC projections data'!$D$2:$D$271=CE$3)*('Old CCC projections data'!$F$2:$BN$271))</f>
        <v>35156.86893896648</v>
      </c>
      <c r="CF11" s="20" cm="1">
        <f t="array" ref="CF11">SUMPRODUCT(('Old CCC projections data'!$F$1:$BN$1=$B11)*('Old CCC projections data'!$A$2:$A$271=CF$2)*('Old CCC projections data'!$D$2:$D$271=CF$3)*('Old CCC projections data'!$F$2:$BN$271))</f>
        <v>34945.270556721036</v>
      </c>
      <c r="CG11" s="20" cm="1">
        <f t="array" ref="CG11">SUMPRODUCT(('Old CCC projections data'!$F$1:$BN$1=$B11)*('Old CCC projections data'!$A$2:$A$271=CG$2)*('Old CCC projections data'!$D$2:$D$271=CG$3)*('Old CCC projections data'!$F$2:$BN$271))</f>
        <v>34341.791494151781</v>
      </c>
      <c r="CH11" s="20" cm="1">
        <f t="array" ref="CH11">SUMPRODUCT(('Old CCC projections data'!$F$1:$BN$1=$B11)*('Old CCC projections data'!$A$2:$A$271=CH$2)*('Old CCC projections data'!$D$2:$D$271=CH$3)*('Old CCC projections data'!$F$2:$BN$271))</f>
        <v>33656.545738516746</v>
      </c>
      <c r="CI11" s="20" cm="1">
        <f t="array" ref="CI11">SUMPRODUCT(('Old CCC projections data'!$F$1:$BN$1=$B11)*('Old CCC projections data'!$A$2:$A$271=CI$2)*('Old CCC projections data'!$D$2:$D$271=CI$3)*('Old CCC projections data'!$F$2:$BN$271))</f>
        <v>33231.685513350014</v>
      </c>
      <c r="CJ11" s="20" cm="1">
        <f t="array" ref="CJ11">SUMPRODUCT(('Old CCC projections data'!$F$1:$BN$1=$B11)*('Old CCC projections data'!$A$2:$A$271=CJ$2)*('Old CCC projections data'!$D$2:$D$271=CJ$3)*('Old CCC projections data'!$F$2:$BN$271))</f>
        <v>32972.583378994445</v>
      </c>
      <c r="CK11" s="20" cm="1">
        <f t="array" ref="CK11">SUMPRODUCT(('Old CCC projections data'!$F$1:$BN$1=$B11)*('Old CCC projections data'!$A$2:$A$271=CK$2)*('Old CCC projections data'!$D$2:$D$271=CK$3)*('Old CCC projections data'!$F$2:$BN$271))</f>
        <v>32682.659733249398</v>
      </c>
      <c r="CL11" s="20" cm="1">
        <f t="array" ref="CL11">SUMPRODUCT(('Old CCC projections data'!$F$1:$BN$1=$B11)*('Old CCC projections data'!$A$2:$A$271=CL$2)*('Old CCC projections data'!$D$2:$D$271=CL$3)*('Old CCC projections data'!$F$2:$BN$271))</f>
        <v>35758.665435697563</v>
      </c>
      <c r="CM11" s="20" cm="1">
        <f t="array" ref="CM11">SUMPRODUCT(('Old CCC projections data'!$F$1:$BN$1=$B11)*('Old CCC projections data'!$A$2:$A$271=CM$2)*('Old CCC projections data'!$D$2:$D$271=CM$3)*('Old CCC projections data'!$F$2:$BN$271))</f>
        <v>34955.0475249585</v>
      </c>
      <c r="CN11" s="20" cm="1">
        <f t="array" ref="CN11">SUMPRODUCT(('Old CCC projections data'!$F$1:$BN$1=$B11)*('Old CCC projections data'!$A$2:$A$271=CN$2)*('Old CCC projections data'!$D$2:$D$271=CN$3)*('Old CCC projections data'!$F$2:$BN$271))</f>
        <v>36672.963886968399</v>
      </c>
      <c r="CO11" s="20" cm="1">
        <f t="array" ref="CO11">SUMPRODUCT(('Old CCC projections data'!$F$1:$BN$1=$B11)*('Old CCC projections data'!$A$2:$A$271=CO$2)*('Old CCC projections data'!$D$2:$D$271=CO$3)*('Old CCC projections data'!$F$2:$BN$271))</f>
        <v>33043.963611994041</v>
      </c>
      <c r="CP11" s="20" cm="1">
        <f t="array" ref="CP11">SUMPRODUCT(('Old CCC projections data'!$F$1:$BN$1=$B11)*('Old CCC projections data'!$A$2:$A$271=CP$2)*('Old CCC projections data'!$D$2:$D$271=CP$3)*('Old CCC projections data'!$F$2:$BN$271))</f>
        <v>32212.981500373102</v>
      </c>
      <c r="CQ11" s="20" cm="1">
        <f t="array" ref="CQ11">SUMPRODUCT(('Old CCC projections data'!$F$1:$BN$1=$B11)*('Old CCC projections data'!$A$2:$A$271=CQ$2)*('Old CCC projections data'!$D$2:$D$271=CQ$3)*('Old CCC projections data'!$F$2:$BN$271))</f>
        <v>31294.333030087171</v>
      </c>
      <c r="CR11" s="20" cm="1">
        <f t="array" ref="CR11">SUMPRODUCT(('Old CCC projections data'!$F$1:$BN$1=$B11)*('Old CCC projections data'!$A$2:$A$271=CR$2)*('Old CCC projections data'!$D$2:$D$271=CR$3)*('Old CCC projections data'!$F$2:$BN$271))</f>
        <v>30763.800898683974</v>
      </c>
      <c r="CS11" s="20" cm="1">
        <f t="array" ref="CS11">SUMPRODUCT(('Old CCC projections data'!$F$1:$BN$1=$B11)*('Old CCC projections data'!$A$2:$A$271=CS$2)*('Old CCC projections data'!$D$2:$D$271=CS$3)*('Old CCC projections data'!$F$2:$BN$271))</f>
        <v>30139.932013224232</v>
      </c>
      <c r="CT11" s="20" cm="1">
        <f t="array" ref="CT11">SUMPRODUCT(('Old CCC projections data'!$F$1:$BN$1=$B11)*('Old CCC projections data'!$A$2:$A$271=CT$2)*('Old CCC projections data'!$D$2:$D$271=CT$3)*('Old CCC projections data'!$F$2:$BN$271))</f>
        <v>33938.252522296993</v>
      </c>
      <c r="CU11" s="20" cm="1">
        <f t="array" ref="CU11">SUMPRODUCT(('Old CCC projections data'!$F$1:$BN$1=$B11)*('Old CCC projections data'!$A$2:$A$271=CU$2)*('Old CCC projections data'!$D$2:$D$271=CU$3)*('Old CCC projections data'!$F$2:$BN$271))</f>
        <v>33821.441689933104</v>
      </c>
      <c r="CV11" s="20" cm="1">
        <f t="array" ref="CV11">SUMPRODUCT(('Old CCC projections data'!$F$1:$BN$1=$B11)*('Old CCC projections data'!$A$2:$A$271=CV$2)*('Old CCC projections data'!$D$2:$D$271=CV$3)*('Old CCC projections data'!$F$2:$BN$271))</f>
        <v>33059.69803068351</v>
      </c>
      <c r="CW11" s="20" cm="1">
        <f t="array" ref="CW11">SUMPRODUCT(('Old CCC projections data'!$F$1:$BN$1=$B11)*('Old CCC projections data'!$A$2:$A$271=CW$2)*('Old CCC projections data'!$D$2:$D$271=CW$3)*('Old CCC projections data'!$F$2:$BN$271))</f>
        <v>35286.465879435527</v>
      </c>
      <c r="CX11" s="20">
        <f t="shared" si="19"/>
        <v>2012.2302136161961</v>
      </c>
      <c r="CY11" s="20" t="str">
        <f t="shared" si="29"/>
        <v>Demo path - C price $100 3%</v>
      </c>
      <c r="CZ11" s="3">
        <f t="shared" si="30"/>
        <v>2029</v>
      </c>
      <c r="DA11" s="18">
        <f t="shared" si="31"/>
        <v>0</v>
      </c>
      <c r="DB11" s="18">
        <f ca="1">(H14+IF($DB$3&gt;0,NPV($DB$2,H15:OFFSET(H14,$DB$3,0)),0))/($DB$3+1)</f>
        <v>141.75006795051874</v>
      </c>
      <c r="DC11" s="18">
        <f t="shared" ca="1" si="20"/>
        <v>41.750067950518741</v>
      </c>
      <c r="DD11" s="18">
        <f t="shared" si="32"/>
        <v>100</v>
      </c>
      <c r="DE11" s="20">
        <f t="shared" si="21"/>
        <v>35177.841893805635</v>
      </c>
      <c r="DF11" s="20" cm="1">
        <f t="array" ref="DF11">SUMPRODUCT(($BG$2:$BM$2=CY11)*($B$5:$B$35=CZ11)*($BG$5:$BM$35))</f>
        <v>31884.284699983305</v>
      </c>
      <c r="DG11" s="20">
        <f t="shared" si="16"/>
        <v>3293.5571938223293</v>
      </c>
      <c r="DH11" s="20" cm="1">
        <f t="array" ref="DH11">IF(CZ11=2023,SUMPRODUCT(($B$5:$B$35=CZ11-1)*($BN$5:$BN$35))-SUMPRODUCT(($BG$2:$BM$2=CY11)*($B$5:$B$35=CZ11-1)*($BG$5:$BM$35)),DG10)</f>
        <v>2849.4396576444888</v>
      </c>
      <c r="DI11" s="18">
        <f t="shared" ca="1" si="17"/>
        <v>141.75006795051874</v>
      </c>
      <c r="DJ11" s="89">
        <f t="shared" si="22"/>
        <v>8.099723473596379</v>
      </c>
      <c r="DK11" s="89">
        <f t="shared" si="23"/>
        <v>7.9548776425793397</v>
      </c>
      <c r="DL11" s="89">
        <f t="shared" ca="1" si="24"/>
        <v>4.9540654219764857</v>
      </c>
      <c r="DM11" s="20">
        <f t="shared" ca="1" si="25"/>
        <v>1206.6772495864402</v>
      </c>
      <c r="DN11" s="20">
        <f t="shared" ca="1" si="26"/>
        <v>3237.1989271736129</v>
      </c>
      <c r="DO11" s="20">
        <f t="shared" ca="1" si="27"/>
        <v>2221.9380883800268</v>
      </c>
      <c r="DP11" s="113"/>
      <c r="DQ11" s="18">
        <v>300</v>
      </c>
      <c r="DR11">
        <f t="shared" si="18"/>
        <v>0</v>
      </c>
      <c r="DS11" s="18" cm="1">
        <f t="array" aca="1" ref="DS11" ca="1">SUMPRODUCT(($DD$5:$DD$200=DQ11)*($CZ$5:$CZ$200=$DS$3)*($DB$5:$DB$200))</f>
        <v>438.00770996710287</v>
      </c>
      <c r="DT11" s="20" cm="1">
        <f t="array" ref="DT11">SUMPRODUCT(($DD$5:$DD$200=$DQ11)*($CZ$5:$CZ$200=$DS$3)*($DG$5:$DG$200))</f>
        <v>8133.9932224931908</v>
      </c>
      <c r="DU11" s="18" cm="1">
        <f t="array" aca="1" ref="DU11" ca="1">SUMPRODUCT(($DD$5:$DD$200=$DQ11)*($CZ$5:$CZ$200=$DU$3)*($DB$5:$DB$200))</f>
        <v>507.77098250837611</v>
      </c>
      <c r="DV11" s="20" cm="1">
        <f t="array" ref="DV11">SUMPRODUCT(($DD$5:$DD$200=$DQ11)*($CZ$5:$CZ$200=$DU$3)*($DG$5:$DG$200))</f>
        <v>8106.883327128613</v>
      </c>
      <c r="DW11" s="18" cm="1">
        <f t="array" aca="1" ref="DW11" ca="1">SUMPRODUCT(($DD$5:$DD$200=$DQ11)*($CZ$5:$CZ$200=$DW$3)*($DB$5:$DB$200))</f>
        <v>791.09064584340695</v>
      </c>
      <c r="DX11" s="20" cm="1">
        <f t="array" ref="DX11">SUMPRODUCT(($DD$5:$DD$200=$DQ11)*($CZ$5:$CZ$200=$DW$3)*($DG$5:$DG$200))</f>
        <v>6690.7569470741464</v>
      </c>
    </row>
    <row r="12" spans="1:128" x14ac:dyDescent="0.25">
      <c r="A12">
        <v>-1</v>
      </c>
      <c r="B12">
        <f t="shared" si="28"/>
        <v>2027</v>
      </c>
      <c r="C12" s="190">
        <f>IF(C11*(1+A12*Model!$B$19*IF(Model!$B$28=0,1,((Model!$B$28-B12)/(Model!$B$28-$B$9))))&gt;Model!$B$44,C11*(1+A12*Model!$B$19*IF(Model!$B$28=0,1,((Model!$B$28-B12)/(Model!$B$28-$B$9)))),Model!$B$44)</f>
        <v>71.567880237999987</v>
      </c>
      <c r="D12" s="18" cm="1">
        <f t="array" ref="D12">SUMPRODUCT(('Old CCC projections data'!$F$1:$BN$1=$B12)*('Old CCC projections data'!$A$2:$A$271=D$2)*('Old CCC projections data'!$D$2:$D$271=D$3)*('Old CCC projections data'!$F$2:$BN$271))*Model!$B$47</f>
        <v>41.549707602339183</v>
      </c>
      <c r="E12" s="18" cm="1">
        <f t="array" ref="E12">SUMPRODUCT(('Old CCC projections data'!$F$1:$BN$1=$B12)*('Old CCC projections data'!$A$2:$A$271=E$2)*('Old CCC projections data'!$D$2:$D$271=E$3)*('Old CCC projections data'!$F$2:$BN$271))*Model!$B$47</f>
        <v>1.1871345029239767E-2</v>
      </c>
      <c r="F12" s="18"/>
      <c r="G12" s="18"/>
      <c r="H12" s="18" cm="1">
        <f t="array" ref="H12">SUMPRODUCT(('Old CCC projections data'!$F$1:$BN$1=$B12)*('Old CCC projections data'!$A$2:$A$271=H$2)*('Old CCC projections data'!$D$2:$D$271=H$3)*('Old CCC projections data'!$F$2:$BN$271))*Model!$B$47</f>
        <v>133.61303416959063</v>
      </c>
      <c r="I12" s="18" cm="1">
        <f t="array" ref="I12">SUMPRODUCT(('Old CCC projections data'!$F$1:$BN$1=$B12)*('Old CCC projections data'!$A$2:$A$271=I$2)*('Old CCC projections data'!$D$2:$D$271=I$3)*('Old CCC projections data'!$F$2:$BN$271))*Model!$B$47</f>
        <v>200.41955125438596</v>
      </c>
      <c r="J12" s="18" cm="1">
        <f t="array" ref="J12">SUMPRODUCT(('Old CCC projections data'!$F$1:$BN$1=$B12)*('Old CCC projections data'!$A$2:$A$271=J$2)*('Old CCC projections data'!$D$2:$D$271=J$3)*('Old CCC projections data'!$F$2:$BN$271))*Model!$B$47</f>
        <v>267.22606833918127</v>
      </c>
      <c r="K12" s="18" cm="1">
        <f t="array" ref="K12">SUMPRODUCT(('Old CCC projections data'!$F$1:$BN$1=$B12)*('Old CCC projections data'!$A$2:$A$271=K$2)*('Old CCC projections data'!$D$2:$D$271=K$3)*('Old CCC projections data'!$F$2:$BN$271))*Model!$B$47</f>
        <v>334.03258542397663</v>
      </c>
      <c r="L12" s="18" cm="1">
        <f t="array" ref="L12">SUMPRODUCT(('Old CCC projections data'!$F$1:$BN$1=$B12)*('Old CCC projections data'!$A$2:$A$271=L$2)*('Old CCC projections data'!$D$2:$D$271=L$3)*('Old CCC projections data'!$F$2:$BN$271))*Model!$B$47</f>
        <v>400.83910250877193</v>
      </c>
      <c r="M12" s="18" cm="1">
        <f t="array" ref="M12">SUMPRODUCT(('Old CCC projections data'!$F$1:$BN$1=$B12)*('Old CCC projections data'!$A$2:$A$271=M$2)*('Old CCC projections data'!$D$2:$D$271=M$3)*('Old CCC projections data'!$F$2:$BN$271))*Model!$B$47</f>
        <v>66.806517084795317</v>
      </c>
      <c r="N12" s="189" cm="1">
        <f t="array" ref="N12">SUMPRODUCT(('Old CCC projections data'!$F$1:$BN$1=$B12)*('Old CCC projections data'!$A$2:$A$271=N$2)*('Old CCC projections data'!$D$2:$D$271=N$3)*('Old CCC projections data'!$F$2:$BN$271))*Model!$B$47</f>
        <v>137.83642997338561</v>
      </c>
      <c r="O12" s="18" cm="1">
        <f t="array" ref="O12">SUMPRODUCT(('Old CCC projections data'!$F$1:$BN$1=$B12)*('Old CCC projections data'!$A$2:$A$271=O$2)*('Old CCC projections data'!$D$2:$D$271=O$3)*('Old CCC projections data'!$F$2:$BN$271))*Model!$B$47</f>
        <v>1.1871345029239767E-2</v>
      </c>
      <c r="P12" s="18" cm="1">
        <f t="array" ref="P12">SUMPRODUCT(('Old CCC projections data'!$F$1:$BN$1=$B12)*('Old CCC projections data'!$A$2:$A$271=P$2)*('Old CCC projections data'!$D$2:$D$271=P$3)*('Old CCC projections data'!$F$2:$BN$271))*Model!$B$47</f>
        <v>133.61303416959063</v>
      </c>
      <c r="Q12" s="18" cm="1">
        <f t="array" ref="Q12">SUMPRODUCT(('Old CCC projections data'!$F$1:$BN$1=$B12)*('Old CCC projections data'!$A$2:$A$271=Q$2)*('Old CCC projections data'!$D$2:$D$271=Q$3)*('Old CCC projections data'!$F$2:$BN$271))*Model!$B$47</f>
        <v>200.41955125438596</v>
      </c>
      <c r="R12" s="18" cm="1">
        <f t="array" ref="R12">SUMPRODUCT(('Old CCC projections data'!$F$1:$BN$1=$B12)*('Old CCC projections data'!$A$2:$A$271=R$2)*('Old CCC projections data'!$D$2:$D$271=R$3)*('Old CCC projections data'!$F$2:$BN$271))*Model!$B$47</f>
        <v>267.22606833918127</v>
      </c>
      <c r="S12" s="18" cm="1">
        <f t="array" ref="S12">SUMPRODUCT(('Old CCC projections data'!$F$1:$BN$1=$B12)*('Old CCC projections data'!$A$2:$A$271=S$2)*('Old CCC projections data'!$D$2:$D$271=S$3)*('Old CCC projections data'!$F$2:$BN$271))*Model!$B$47</f>
        <v>334.03258542397663</v>
      </c>
      <c r="T12" s="18" cm="1">
        <f t="array" ref="T12">SUMPRODUCT(('Old CCC projections data'!$F$1:$BN$1=$B12)*('Old CCC projections data'!$A$2:$A$271=T$2)*('Old CCC projections data'!$D$2:$D$271=T$3)*('Old CCC projections data'!$F$2:$BN$271))*Model!$B$47</f>
        <v>400.83910250877193</v>
      </c>
      <c r="U12" s="18" cm="1">
        <f t="array" ref="U12">SUMPRODUCT(('Old CCC projections data'!$F$1:$BN$1=$B12)*('Old CCC projections data'!$A$2:$A$271=U$2)*('Old CCC projections data'!$D$2:$D$271=U$3)*('Old CCC projections data'!$F$2:$BN$271))*Model!$B$47</f>
        <v>66.806517084795317</v>
      </c>
      <c r="V12" s="18" cm="1">
        <f t="array" ref="V12">SUMPRODUCT(('Old CCC projections data'!$F$1:$BN$1=$B12)*('Old CCC projections data'!$A$2:$A$271=V$2)*('Old CCC projections data'!$D$2:$D$271=V$3)*('Old CCC projections data'!$F$2:$BN$271))*Model!$B$47</f>
        <v>137.83642997338561</v>
      </c>
      <c r="W12" s="18" cm="1">
        <f t="array" ref="W12">SUMPRODUCT(('Old CCC projections data'!$F$1:$BN$1=$B12)*('Old CCC projections data'!$A$2:$A$271=W$2)*('Old CCC projections data'!$D$2:$D$271=W$3)*('Old CCC projections data'!$F$2:$BN$271))*Model!$B$47</f>
        <v>1.1871345029239767E-2</v>
      </c>
      <c r="X12" s="18" cm="1">
        <f t="array" ref="X12">SUMPRODUCT(('Old CCC projections data'!$F$1:$BN$1=$B12)*('Old CCC projections data'!$A$2:$A$271=X$2)*('Old CCC projections data'!$D$2:$D$271=X$3)*('Old CCC projections data'!$F$2:$BN$271))*Model!$B$47</f>
        <v>133.61303416959063</v>
      </c>
      <c r="Y12" s="18" cm="1">
        <f t="array" ref="Y12">SUMPRODUCT(('Old CCC projections data'!$F$1:$BN$1=$B12)*('Old CCC projections data'!$A$2:$A$271=Y$2)*('Old CCC projections data'!$D$2:$D$271=Y$3)*('Old CCC projections data'!$F$2:$BN$271))*Model!$B$47</f>
        <v>200.41955125438596</v>
      </c>
      <c r="Z12" s="18" cm="1">
        <f t="array" ref="Z12">SUMPRODUCT(('Old CCC projections data'!$F$1:$BN$1=$B12)*('Old CCC projections data'!$A$2:$A$271=Z$2)*('Old CCC projections data'!$D$2:$D$271=Z$3)*('Old CCC projections data'!$F$2:$BN$271))*Model!$B$47</f>
        <v>267.22606833918127</v>
      </c>
      <c r="AA12" s="18" cm="1">
        <f t="array" ref="AA12">SUMPRODUCT(('Old CCC projections data'!$F$1:$BN$1=$B12)*('Old CCC projections data'!$A$2:$A$271=AA$2)*('Old CCC projections data'!$D$2:$D$271=AA$3)*('Old CCC projections data'!$F$2:$BN$271))*Model!$B$47</f>
        <v>334.03258542397663</v>
      </c>
      <c r="AB12" s="18" cm="1">
        <f t="array" ref="AB12">SUMPRODUCT(('Old CCC projections data'!$F$1:$BN$1=$B12)*('Old CCC projections data'!$A$2:$A$271=AB$2)*('Old CCC projections data'!$D$2:$D$271=AB$3)*('Old CCC projections data'!$F$2:$BN$271))*Model!$B$47</f>
        <v>400.83910250877193</v>
      </c>
      <c r="AC12" s="18" cm="1">
        <f t="array" ref="AC12">SUMPRODUCT(('Old CCC projections data'!$F$1:$BN$1=$B12)*('Old CCC projections data'!$A$2:$A$271=AC$2)*('Old CCC projections data'!$D$2:$D$271=AC$3)*('Old CCC projections data'!$F$2:$BN$271))*Model!$B$47</f>
        <v>66.806517084795317</v>
      </c>
      <c r="AD12" s="18" cm="1">
        <f t="array" ref="AD12">SUMPRODUCT(('Old CCC projections data'!$F$1:$BN$1=$B12)*('Old CCC projections data'!$A$2:$A$271=AD$2)*('Old CCC projections data'!$D$2:$D$271=AD$3)*('Old CCC projections data'!$F$2:$BN$271))*Model!$B$47</f>
        <v>73.487168793274861</v>
      </c>
      <c r="AE12" s="18" cm="1">
        <f t="array" ref="AE12">SUMPRODUCT(('Old CCC projections data'!$F$1:$BN$1=$B12)*('Old CCC projections data'!$A$2:$A$271=AE$2)*('Old CCC projections data'!$D$2:$D$271=AE$3)*('Old CCC projections data'!$F$2:$BN$271))*Model!$B$47</f>
        <v>137.83642997338561</v>
      </c>
      <c r="AF12" s="18" cm="1">
        <f t="array" ref="AF12">SUMPRODUCT(('Old CCC projections data'!$F$1:$BN$1=$B12)*('Old CCC projections data'!$A$2:$A$271=AF$2)*('Old CCC projections data'!$D$2:$D$271=AF$3)*('Old CCC projections data'!$F$2:$BN$271))*Model!$B$47</f>
        <v>1.1871345029239767E-2</v>
      </c>
      <c r="AG12" s="18" cm="1">
        <f t="array" ref="AG12">SUMPRODUCT(('Old CCC projections data'!$F$1:$BN$1=$B12)*('Old CCC projections data'!$A$2:$A$271=AG$2)*('Old CCC projections data'!$D$2:$D$271=AG$3)*('Old CCC projections data'!$F$2:$BN$271))*Model!$B$47</f>
        <v>133.61303416959063</v>
      </c>
      <c r="AH12" s="18" cm="1">
        <f t="array" ref="AH12">SUMPRODUCT(('Old CCC projections data'!$F$1:$BN$1=$B12)*('Old CCC projections data'!$A$2:$A$271=AH$2)*('Old CCC projections data'!$D$2:$D$271=AH$3)*('Old CCC projections data'!$F$2:$BN$271))*Model!$B$47</f>
        <v>200.41955125438596</v>
      </c>
      <c r="AI12" s="18" cm="1">
        <f t="array" ref="AI12">SUMPRODUCT(('Old CCC projections data'!$F$1:$BN$1=$B12)*('Old CCC projections data'!$A$2:$A$271=AI$2)*('Old CCC projections data'!$D$2:$D$271=AI$3)*('Old CCC projections data'!$F$2:$BN$271))*Model!$B$47</f>
        <v>267.22606833918127</v>
      </c>
      <c r="AJ12" s="18" cm="1">
        <f t="array" ref="AJ12">SUMPRODUCT(('Old CCC projections data'!$F$1:$BN$1=$B12)*('Old CCC projections data'!$A$2:$A$271=AJ$2)*('Old CCC projections data'!$D$2:$D$271=AJ$3)*('Old CCC projections data'!$F$2:$BN$271))*Model!$B$47</f>
        <v>334.03258542397663</v>
      </c>
      <c r="AK12" s="18" cm="1">
        <f t="array" ref="AK12">SUMPRODUCT(('Old CCC projections data'!$F$1:$BN$1=$B12)*('Old CCC projections data'!$A$2:$A$271=AK$2)*('Old CCC projections data'!$D$2:$D$271=AK$3)*('Old CCC projections data'!$F$2:$BN$271))*Model!$B$47</f>
        <v>360.75519225789481</v>
      </c>
      <c r="AL12" s="18" cm="1">
        <f t="array" ref="AL12">SUMPRODUCT(('Old CCC projections data'!$F$1:$BN$1=$B12)*('Old CCC projections data'!$A$2:$A$271=AL$2)*('Old CCC projections data'!$D$2:$D$271=AL$3)*('Old CCC projections data'!$F$2:$BN$271))*Model!$B$47</f>
        <v>400.83910250877193</v>
      </c>
      <c r="AM12" s="18" cm="1">
        <f t="array" ref="AM12">SUMPRODUCT(('Old CCC projections data'!$F$1:$BN$1=$B12)*('Old CCC projections data'!$A$2:$A$271=AM$2)*('Old CCC projections data'!$D$2:$D$271=AM$3)*('Old CCC projections data'!$F$2:$BN$271))*Model!$B$47</f>
        <v>66.806517084795317</v>
      </c>
      <c r="AN12" s="18" cm="1">
        <f t="array" ref="AN12">SUMPRODUCT(('Old CCC projections data'!$F$1:$BN$1=$B12)*('Old CCC projections data'!$A$2:$A$271=AN$2)*('Old CCC projections data'!$D$2:$D$271=AN$3)*('Old CCC projections data'!$F$2:$BN$271))*Model!$B$47</f>
        <v>137.83642997338561</v>
      </c>
      <c r="AO12" s="18" cm="1">
        <f t="array" ref="AO12">SUMPRODUCT(('Old CCC projections data'!$F$1:$BN$1=$B12)*('Old CCC projections data'!$A$2:$A$271=AO$2)*('Old CCC projections data'!$D$2:$D$271=AO$3)*('Old CCC projections data'!$F$2:$BN$271))*Model!$B$47</f>
        <v>1.1871345029239767E-2</v>
      </c>
      <c r="AP12" s="18" cm="1">
        <f t="array" ref="AP12">SUMPRODUCT(('Old CCC projections data'!$F$1:$BN$1=$B12)*('Old CCC projections data'!$A$2:$A$271=AP$2)*('Old CCC projections data'!$D$2:$D$271=AP$3)*('Old CCC projections data'!$F$2:$BN$271))*Model!$B$47</f>
        <v>133.61303416959063</v>
      </c>
      <c r="AQ12" s="18" cm="1">
        <f t="array" ref="AQ12">SUMPRODUCT(('Old CCC projections data'!$F$1:$BN$1=$B12)*('Old CCC projections data'!$A$2:$A$271=AQ$2)*('Old CCC projections data'!$D$2:$D$271=AQ$3)*('Old CCC projections data'!$F$2:$BN$271))*Model!$B$47</f>
        <v>200.41955125438596</v>
      </c>
      <c r="AR12" s="18" cm="1">
        <f t="array" ref="AR12">SUMPRODUCT(('Old CCC projections data'!$F$1:$BN$1=$B12)*('Old CCC projections data'!$A$2:$A$271=AR$2)*('Old CCC projections data'!$D$2:$D$271=AR$3)*('Old CCC projections data'!$F$2:$BN$271))*Model!$B$47</f>
        <v>267.22606833918127</v>
      </c>
      <c r="AS12" s="18" cm="1">
        <f t="array" ref="AS12">SUMPRODUCT(('Old CCC projections data'!$F$1:$BN$1=$B12)*('Old CCC projections data'!$A$2:$A$271=AS$2)*('Old CCC projections data'!$D$2:$D$271=AS$3)*('Old CCC projections data'!$F$2:$BN$271))*Model!$B$47</f>
        <v>334.03258542397663</v>
      </c>
      <c r="AT12" s="18" cm="1">
        <f t="array" ref="AT12">SUMPRODUCT(('Old CCC projections data'!$F$1:$BN$1=$B12)*('Old CCC projections data'!$A$2:$A$271=AT$2)*('Old CCC projections data'!$D$2:$D$271=AT$3)*('Old CCC projections data'!$F$2:$BN$271))*Model!$B$47</f>
        <v>400.83910250877193</v>
      </c>
      <c r="AU12" s="18" cm="1">
        <f t="array" ref="AU12">SUMPRODUCT(('Old CCC projections data'!$F$1:$BN$1=$B12)*('Old CCC projections data'!$A$2:$A$271=AU$2)*('Old CCC projections data'!$D$2:$D$271=AU$3)*('Old CCC projections data'!$F$2:$BN$271))*Model!$B$47</f>
        <v>66.806517084795317</v>
      </c>
      <c r="AV12" s="18" cm="1">
        <f t="array" ref="AV12">SUMPRODUCT(('Old CCC projections data'!$F$1:$BN$1=$B12)*('Old CCC projections data'!$A$2:$A$271=AV$2)*('Old CCC projections data'!$D$2:$D$271=AV$3)*('Old CCC projections data'!$F$2:$BN$271))*Model!$B$47</f>
        <v>73.487168793274861</v>
      </c>
      <c r="AW12" s="18" cm="1">
        <f t="array" ref="AW12">SUMPRODUCT(('Old CCC projections data'!$F$1:$BN$1=$B12)*('Old CCC projections data'!$A$2:$A$271=AW$2)*('Old CCC projections data'!$D$2:$D$271=AW$3)*('Old CCC projections data'!$F$2:$BN$271))*Model!$B$47</f>
        <v>137.83642997338561</v>
      </c>
      <c r="AX12" s="18" cm="1">
        <f t="array" ref="AX12">SUMPRODUCT(('Old CCC projections data'!$F$1:$BN$1=$B12)*('Old CCC projections data'!$A$2:$A$271=AX$2)*('Old CCC projections data'!$D$2:$D$271=AX$3)*('Old CCC projections data'!$F$2:$BN$271))*Model!$B$47</f>
        <v>1.1871345029239767E-2</v>
      </c>
      <c r="AY12" s="18">
        <v>72.600000000000023</v>
      </c>
      <c r="AZ12" s="18">
        <v>53.666666666666657</v>
      </c>
      <c r="BA12" s="18">
        <v>68.600000000000023</v>
      </c>
      <c r="BB12" s="18"/>
      <c r="BC12" s="20" cm="1">
        <f t="array" ref="BC12">SUMPRODUCT(('Old CCC projections data'!$F$1:$BN$1=$B12)*('Old CCC projections data'!$A$2:$A$271=BC$2)*('Old CCC projections data'!$D$2:$D$271=BC$3)*('Old CCC projections data'!$F$2:$BN$271))</f>
        <v>36673.182150351182</v>
      </c>
      <c r="BD12" s="20" cm="1">
        <f t="array" ref="BD12">SUMPRODUCT(('Old CCC projections data'!$F$1:$BN$1=$B12)*('Old CCC projections data'!$A$2:$A$271=BD$2)*('Old CCC projections data'!$D$2:$D$271=BD$3)*('Old CCC projections data'!$F$2:$BN$271))</f>
        <v>37735.144300637352</v>
      </c>
      <c r="BE12" s="20"/>
      <c r="BF12" s="20"/>
      <c r="BG12" s="20" cm="1">
        <f t="array" ref="BG12">SUMPRODUCT(('Old CCC projections data'!$F$1:$BN$1=$B12)*('Old CCC projections data'!$A$2:$A$271=BG$2)*('Old CCC projections data'!$D$2:$D$271=BG$3)*('Old CCC projections data'!$F$2:$BN$271))</f>
        <v>33389.193780975183</v>
      </c>
      <c r="BH12" s="20" cm="1">
        <f t="array" ref="BH12">SUMPRODUCT(('Old CCC projections data'!$F$1:$BN$1=$B12)*('Old CCC projections data'!$A$2:$A$271=BH$2)*('Old CCC projections data'!$D$2:$D$271=BH$3)*('Old CCC projections data'!$F$2:$BN$271))</f>
        <v>32381.413097332021</v>
      </c>
      <c r="BI12" s="20" cm="1">
        <f t="array" ref="BI12">SUMPRODUCT(('Old CCC projections data'!$F$1:$BN$1=$B12)*('Old CCC projections data'!$A$2:$A$271=BI$2)*('Old CCC projections data'!$D$2:$D$271=BI$3)*('Old CCC projections data'!$F$2:$BN$271))</f>
        <v>31428.599070286276</v>
      </c>
      <c r="BJ12" s="20" cm="1">
        <f t="array" ref="BJ12">SUMPRODUCT(('Old CCC projections data'!$F$1:$BN$1=$B12)*('Old CCC projections data'!$A$2:$A$271=BJ$2)*('Old CCC projections data'!$D$2:$D$271=BJ$3)*('Old CCC projections data'!$F$2:$BN$271))</f>
        <v>31024.151568618421</v>
      </c>
      <c r="BK12" s="20" cm="1">
        <f t="array" ref="BK12">SUMPRODUCT(('Old CCC projections data'!$F$1:$BN$1=$B12)*('Old CCC projections data'!$A$2:$A$271=BK$2)*('Old CCC projections data'!$D$2:$D$271=BK$3)*('Old CCC projections data'!$F$2:$BN$271))</f>
        <v>30461.515125539863</v>
      </c>
      <c r="BL12" s="20" cm="1">
        <f t="array" ref="BL12">SUMPRODUCT(('Old CCC projections data'!$F$1:$BN$1=$B12)*('Old CCC projections data'!$A$2:$A$271=BL$2)*('Old CCC projections data'!$D$2:$D$271=BL$3)*('Old CCC projections data'!$F$2:$BN$271))</f>
        <v>34388.351526823491</v>
      </c>
      <c r="BM12" s="20" cm="1">
        <f t="array" ref="BM12">SUMPRODUCT(('Old CCC projections data'!$F$1:$BN$1=$B12)*('Old CCC projections data'!$A$2:$A$271=BM$2)*('Old CCC projections data'!$D$2:$D$271=BM$3)*('Old CCC projections data'!$F$2:$BN$271))</f>
        <v>33251.697154477297</v>
      </c>
      <c r="BN12" s="20" cm="1">
        <f t="array" ref="BN12">SUMPRODUCT(('Old CCC projections data'!$F$1:$BN$1=$B12)*('Old CCC projections data'!$A$2:$A$271=BN$2)*('Old CCC projections data'!$D$2:$D$271=BN$3)*('Old CCC projections data'!$F$2:$BN$271))</f>
        <v>35793.252751753469</v>
      </c>
      <c r="BO12" s="20" cm="1">
        <f t="array" ref="BO12">SUMPRODUCT(('Old CCC projections data'!$F$1:$BN$1=$B12)*('Old CCC projections data'!$A$2:$A$271=BO$2)*('Old CCC projections data'!$D$2:$D$271=BO$3)*('Old CCC projections data'!$F$2:$BN$271))</f>
        <v>34567.485514613036</v>
      </c>
      <c r="BP12" s="20" cm="1">
        <f t="array" ref="BP12">SUMPRODUCT(('Old CCC projections data'!$F$1:$BN$1=$B12)*('Old CCC projections data'!$A$2:$A$271=BP$2)*('Old CCC projections data'!$D$2:$D$271=BP$3)*('Old CCC projections data'!$F$2:$BN$271))</f>
        <v>33712.442757977056</v>
      </c>
      <c r="BQ12" s="20" cm="1">
        <f t="array" ref="BQ12">SUMPRODUCT(('Old CCC projections data'!$F$1:$BN$1=$B12)*('Old CCC projections data'!$A$2:$A$271=BQ$2)*('Old CCC projections data'!$D$2:$D$271=BQ$3)*('Old CCC projections data'!$F$2:$BN$271))</f>
        <v>32917.93102553158</v>
      </c>
      <c r="BR12" s="20" cm="1">
        <f t="array" ref="BR12">SUMPRODUCT(('Old CCC projections data'!$F$1:$BN$1=$B12)*('Old CCC projections data'!$A$2:$A$271=BR$2)*('Old CCC projections data'!$D$2:$D$271=BR$3)*('Old CCC projections data'!$F$2:$BN$271))</f>
        <v>32522.965327014361</v>
      </c>
      <c r="BS12" s="20" cm="1">
        <f t="array" ref="BS12">SUMPRODUCT(('Old CCC projections data'!$F$1:$BN$1=$B12)*('Old CCC projections data'!$A$2:$A$271=BS$2)*('Old CCC projections data'!$D$2:$D$271=BS$3)*('Old CCC projections data'!$F$2:$BN$271))</f>
        <v>31867.520682344002</v>
      </c>
      <c r="BT12" s="20" cm="1">
        <f t="array" ref="BT12">SUMPRODUCT(('Old CCC projections data'!$F$1:$BN$1=$B12)*('Old CCC projections data'!$A$2:$A$271=BT$2)*('Old CCC projections data'!$D$2:$D$271=BT$3)*('Old CCC projections data'!$F$2:$BN$271))</f>
        <v>35523.241429626738</v>
      </c>
      <c r="BU12" s="20" cm="1">
        <f t="array" ref="BU12">SUMPRODUCT(('Old CCC projections data'!$F$1:$BN$1=$B12)*('Old CCC projections data'!$A$2:$A$271=BU$2)*('Old CCC projections data'!$D$2:$D$271=BU$3)*('Old CCC projections data'!$F$2:$BN$271))</f>
        <v>34406.430009985008</v>
      </c>
      <c r="BV12" s="20" cm="1">
        <f t="array" ref="BV12">SUMPRODUCT(('Old CCC projections data'!$F$1:$BN$1=$B12)*('Old CCC projections data'!$A$2:$A$271=BV$2)*('Old CCC projections data'!$D$2:$D$271=BV$3)*('Old CCC projections data'!$F$2:$BN$271))</f>
        <v>36665.749824995175</v>
      </c>
      <c r="BW12" s="20" cm="1">
        <f t="array" ref="BW12">SUMPRODUCT(('Old CCC projections data'!$F$1:$BN$1=$B12)*('Old CCC projections data'!$A$2:$A$271=BW$2)*('Old CCC projections data'!$D$2:$D$271=BW$3)*('Old CCC projections data'!$F$2:$BN$271))</f>
        <v>32299.048390737</v>
      </c>
      <c r="BX12" s="20" cm="1">
        <f t="array" ref="BX12">SUMPRODUCT(('Old CCC projections data'!$F$1:$BN$1=$B12)*('Old CCC projections data'!$A$2:$A$271=BX$2)*('Old CCC projections data'!$D$2:$D$271=BX$3)*('Old CCC projections data'!$F$2:$BN$271))</f>
        <v>31296.611214218668</v>
      </c>
      <c r="BY12" s="20" cm="1">
        <f t="array" ref="BY12">SUMPRODUCT(('Old CCC projections data'!$F$1:$BN$1=$B12)*('Old CCC projections data'!$A$2:$A$271=BY$2)*('Old CCC projections data'!$D$2:$D$271=BY$3)*('Old CCC projections data'!$F$2:$BN$271))</f>
        <v>30411.939964309277</v>
      </c>
      <c r="BZ12" s="20" cm="1">
        <f t="array" ref="BZ12">SUMPRODUCT(('Old CCC projections data'!$F$1:$BN$1=$B12)*('Old CCC projections data'!$A$2:$A$271=BZ$2)*('Old CCC projections data'!$D$2:$D$271=BZ$3)*('Old CCC projections data'!$F$2:$BN$271))</f>
        <v>30029.920321286183</v>
      </c>
      <c r="CA12" s="20" cm="1">
        <f t="array" ref="CA12">SUMPRODUCT(('Old CCC projections data'!$F$1:$BN$1=$B12)*('Old CCC projections data'!$A$2:$A$271=CA$2)*('Old CCC projections data'!$D$2:$D$271=CA$3)*('Old CCC projections data'!$F$2:$BN$271))</f>
        <v>29510.600233648627</v>
      </c>
      <c r="CB12" s="20" cm="1">
        <f t="array" ref="CB12">SUMPRODUCT(('Old CCC projections data'!$F$1:$BN$1=$B12)*('Old CCC projections data'!$A$2:$A$271=CB$2)*('Old CCC projections data'!$D$2:$D$271=CB$3)*('Old CCC projections data'!$F$2:$BN$271))</f>
        <v>33282.683040857555</v>
      </c>
      <c r="CC12" s="20" cm="1">
        <f t="array" ref="CC12">SUMPRODUCT(('Old CCC projections data'!$F$1:$BN$1=$B12)*('Old CCC projections data'!$A$2:$A$271=CC$2)*('Old CCC projections data'!$D$2:$D$271=CC$3)*('Old CCC projections data'!$F$2:$BN$271))</f>
        <v>33166.806392244536</v>
      </c>
      <c r="CD12" s="20" cm="1">
        <f t="array" ref="CD12">SUMPRODUCT(('Old CCC projections data'!$F$1:$BN$1=$B12)*('Old CCC projections data'!$A$2:$A$271=CD$2)*('Old CCC projections data'!$D$2:$D$271=CD$3)*('Old CCC projections data'!$F$2:$BN$271))</f>
        <v>32134.999356440967</v>
      </c>
      <c r="CE12" s="20" cm="1">
        <f t="array" ref="CE12">SUMPRODUCT(('Old CCC projections data'!$F$1:$BN$1=$B12)*('Old CCC projections data'!$A$2:$A$271=CE$2)*('Old CCC projections data'!$D$2:$D$271=CE$3)*('Old CCC projections data'!$F$2:$BN$271))</f>
        <v>34798.545286925786</v>
      </c>
      <c r="CF12" s="20" cm="1">
        <f t="array" ref="CF12">SUMPRODUCT(('Old CCC projections data'!$F$1:$BN$1=$B12)*('Old CCC projections data'!$A$2:$A$271=CF$2)*('Old CCC projections data'!$D$2:$D$271=CF$3)*('Old CCC projections data'!$F$2:$BN$271))</f>
        <v>34625.422196421081</v>
      </c>
      <c r="CG12" s="20" cm="1">
        <f t="array" ref="CG12">SUMPRODUCT(('Old CCC projections data'!$F$1:$BN$1=$B12)*('Old CCC projections data'!$A$2:$A$271=CG$2)*('Old CCC projections data'!$D$2:$D$271=CG$3)*('Old CCC projections data'!$F$2:$BN$271))</f>
        <v>33811.026665626043</v>
      </c>
      <c r="CH12" s="20" cm="1">
        <f t="array" ref="CH12">SUMPRODUCT(('Old CCC projections data'!$F$1:$BN$1=$B12)*('Old CCC projections data'!$A$2:$A$271=CH$2)*('Old CCC projections data'!$D$2:$D$271=CH$3)*('Old CCC projections data'!$F$2:$BN$271))</f>
        <v>33098.19669516314</v>
      </c>
      <c r="CI12" s="20" cm="1">
        <f t="array" ref="CI12">SUMPRODUCT(('Old CCC projections data'!$F$1:$BN$1=$B12)*('Old CCC projections data'!$A$2:$A$271=CI$2)*('Old CCC projections data'!$D$2:$D$271=CI$3)*('Old CCC projections data'!$F$2:$BN$271))</f>
        <v>32860.404533340719</v>
      </c>
      <c r="CJ12" s="20" cm="1">
        <f t="array" ref="CJ12">SUMPRODUCT(('Old CCC projections data'!$F$1:$BN$1=$B12)*('Old CCC projections data'!$A$2:$A$271=CJ$2)*('Old CCC projections data'!$D$2:$D$271=CJ$3)*('Old CCC projections data'!$F$2:$BN$271))</f>
        <v>32610.553647903376</v>
      </c>
      <c r="CK12" s="20" cm="1">
        <f t="array" ref="CK12">SUMPRODUCT(('Old CCC projections data'!$F$1:$BN$1=$B12)*('Old CCC projections data'!$A$2:$A$271=CK$2)*('Old CCC projections data'!$D$2:$D$271=CK$3)*('Old CCC projections data'!$F$2:$BN$271))</f>
        <v>32236.717238337973</v>
      </c>
      <c r="CL12" s="20" cm="1">
        <f t="array" ref="CL12">SUMPRODUCT(('Old CCC projections data'!$F$1:$BN$1=$B12)*('Old CCC projections data'!$A$2:$A$271=CL$2)*('Old CCC projections data'!$D$2:$D$271=CL$3)*('Old CCC projections data'!$F$2:$BN$271))</f>
        <v>35466.187524598572</v>
      </c>
      <c r="CM12" s="20" cm="1">
        <f t="array" ref="CM12">SUMPRODUCT(('Old CCC projections data'!$F$1:$BN$1=$B12)*('Old CCC projections data'!$A$2:$A$271=CM$2)*('Old CCC projections data'!$D$2:$D$271=CM$3)*('Old CCC projections data'!$F$2:$BN$271))</f>
        <v>34564.495217118078</v>
      </c>
      <c r="CN12" s="20" cm="1">
        <f t="array" ref="CN12">SUMPRODUCT(('Old CCC projections data'!$F$1:$BN$1=$B12)*('Old CCC projections data'!$A$2:$A$271=CN$2)*('Old CCC projections data'!$D$2:$D$271=CN$3)*('Old CCC projections data'!$F$2:$BN$271))</f>
        <v>36672.558394745858</v>
      </c>
      <c r="CO12" s="20" cm="1">
        <f t="array" ref="CO12">SUMPRODUCT(('Old CCC projections data'!$F$1:$BN$1=$B12)*('Old CCC projections data'!$A$2:$A$271=CO$2)*('Old CCC projections data'!$D$2:$D$271=CO$3)*('Old CCC projections data'!$F$2:$BN$271))</f>
        <v>32041.202647279035</v>
      </c>
      <c r="CP12" s="20" cm="1">
        <f t="array" ref="CP12">SUMPRODUCT(('Old CCC projections data'!$F$1:$BN$1=$B12)*('Old CCC projections data'!$A$2:$A$271=CP$2)*('Old CCC projections data'!$D$2:$D$271=CP$3)*('Old CCC projections data'!$F$2:$BN$271))</f>
        <v>30921.336629164751</v>
      </c>
      <c r="CQ12" s="20" cm="1">
        <f t="array" ref="CQ12">SUMPRODUCT(('Old CCC projections data'!$F$1:$BN$1=$B12)*('Old CCC projections data'!$A$2:$A$271=CQ$2)*('Old CCC projections data'!$D$2:$D$271=CQ$3)*('Old CCC projections data'!$F$2:$BN$271))</f>
        <v>29860.456258756272</v>
      </c>
      <c r="CR12" s="20" cm="1">
        <f t="array" ref="CR12">SUMPRODUCT(('Old CCC projections data'!$F$1:$BN$1=$B12)*('Old CCC projections data'!$A$2:$A$271=CR$2)*('Old CCC projections data'!$D$2:$D$271=CR$3)*('Old CCC projections data'!$F$2:$BN$271))</f>
        <v>29323.094048544528</v>
      </c>
      <c r="CS12" s="20" cm="1">
        <f t="array" ref="CS12">SUMPRODUCT(('Old CCC projections data'!$F$1:$BN$1=$B12)*('Old CCC projections data'!$A$2:$A$271=CS$2)*('Old CCC projections data'!$D$2:$D$271=CS$3)*('Old CCC projections data'!$F$2:$BN$271))</f>
        <v>28743.060159801862</v>
      </c>
      <c r="CT12" s="20" cm="1">
        <f t="array" ref="CT12">SUMPRODUCT(('Old CCC projections data'!$F$1:$BN$1=$B12)*('Old CCC projections data'!$A$2:$A$271=CT$2)*('Old CCC projections data'!$D$2:$D$271=CT$3)*('Old CCC projections data'!$F$2:$BN$271))</f>
        <v>33055.044098809565</v>
      </c>
      <c r="CU12" s="20" cm="1">
        <f t="array" ref="CU12">SUMPRODUCT(('Old CCC projections data'!$F$1:$BN$1=$B12)*('Old CCC projections data'!$A$2:$A$271=CU$2)*('Old CCC projections data'!$D$2:$D$271=CU$3)*('Old CCC projections data'!$F$2:$BN$271))</f>
        <v>32935.980547700885</v>
      </c>
      <c r="CV12" s="20" cm="1">
        <f t="array" ref="CV12">SUMPRODUCT(('Old CCC projections data'!$F$1:$BN$1=$B12)*('Old CCC projections data'!$A$2:$A$271=CV$2)*('Old CCC projections data'!$D$2:$D$271=CV$3)*('Old CCC projections data'!$F$2:$BN$271))</f>
        <v>31950.833898012621</v>
      </c>
      <c r="CW12" s="20" cm="1">
        <f t="array" ref="CW12">SUMPRODUCT(('Old CCC projections data'!$F$1:$BN$1=$B12)*('Old CCC projections data'!$A$2:$A$271=CW$2)*('Old CCC projections data'!$D$2:$D$271=CW$3)*('Old CCC projections data'!$F$2:$BN$271))</f>
        <v>34840.149378414615</v>
      </c>
      <c r="CX12" s="20">
        <f t="shared" si="19"/>
        <v>2541.5555972761722</v>
      </c>
      <c r="CY12" s="20" t="str">
        <f t="shared" si="29"/>
        <v>Demo path - C price $100 3%</v>
      </c>
      <c r="CZ12" s="3">
        <f t="shared" si="30"/>
        <v>2030</v>
      </c>
      <c r="DA12" s="18">
        <f t="shared" si="31"/>
        <v>0</v>
      </c>
      <c r="DB12" s="18">
        <f ca="1">(H15+IF($DB$3&gt;0,NPV($DB$2,H16:OFFSET(H15,$DB$3,0)),0))/($DB$3+1)</f>
        <v>146.00256998903427</v>
      </c>
      <c r="DC12" s="18">
        <f t="shared" ca="1" si="20"/>
        <v>46.002569989034271</v>
      </c>
      <c r="DD12" s="18">
        <f t="shared" si="32"/>
        <v>100</v>
      </c>
      <c r="DE12" s="126">
        <f t="shared" si="21"/>
        <v>33772.256001092159</v>
      </c>
      <c r="DF12" s="20" cm="1">
        <f t="array" ref="DF12">SUMPRODUCT(($BG$2:$BM$2=CY12)*($B$5:$B$35=CZ12)*($BG$5:$BM$35))</f>
        <v>30060.14276451862</v>
      </c>
      <c r="DG12" s="20">
        <f t="shared" si="16"/>
        <v>3712.1132365735393</v>
      </c>
      <c r="DH12" s="20" cm="1">
        <f t="array" ref="DH12">IF(CZ12=2023,SUMPRODUCT(($B$5:$B$35=CZ12-1)*($BN$5:$BN$35))-SUMPRODUCT(($BG$2:$BM$2=CY12)*($B$5:$B$35=CZ12-1)*($BG$5:$BM$35)),DG11)</f>
        <v>3293.5571938223293</v>
      </c>
      <c r="DI12" s="18">
        <f t="shared" ca="1" si="17"/>
        <v>146.00256998903427</v>
      </c>
      <c r="DJ12" s="89">
        <f t="shared" si="22"/>
        <v>8.2193565989832464</v>
      </c>
      <c r="DK12" s="89">
        <f t="shared" si="23"/>
        <v>8.099723473596379</v>
      </c>
      <c r="DL12" s="89">
        <f t="shared" ca="1" si="24"/>
        <v>4.9836242242180298</v>
      </c>
      <c r="DM12" s="20">
        <f t="shared" ca="1" si="25"/>
        <v>1345.1804661781903</v>
      </c>
      <c r="DN12" s="20">
        <f t="shared" ca="1" si="26"/>
        <v>3428.7729005368578</v>
      </c>
      <c r="DO12" s="20">
        <f t="shared" ca="1" si="27"/>
        <v>2386.9766833575241</v>
      </c>
      <c r="DP12" s="113"/>
      <c r="DQ12" s="18"/>
      <c r="DT12" s="20"/>
      <c r="DU12" s="18"/>
      <c r="DV12" s="20"/>
    </row>
    <row r="13" spans="1:128" x14ac:dyDescent="0.25">
      <c r="A13">
        <v>-1</v>
      </c>
      <c r="B13">
        <f t="shared" si="28"/>
        <v>2028</v>
      </c>
      <c r="C13" s="190">
        <f>IF(C12*(1+A13*Model!$B$19*IF(Model!$B$28=0,1,((Model!$B$28-B13)/(Model!$B$28-$B$9))))&gt;Model!$B$44,C12*(1+A13*Model!$B$19*IF(Model!$B$28=0,1,((Model!$B$28-B13)/(Model!$B$28-$B$9)))),Model!$B$44)</f>
        <v>75.074706369661982</v>
      </c>
      <c r="D13" s="18" cm="1">
        <f t="array" ref="D13">SUMPRODUCT(('Old CCC projections data'!$F$1:$BN$1=$B13)*('Old CCC projections data'!$A$2:$A$271=D$2)*('Old CCC projections data'!$D$2:$D$271=D$3)*('Old CCC projections data'!$F$2:$BN$271))*Model!$B$47</f>
        <v>41.549707602339183</v>
      </c>
      <c r="E13" s="18" cm="1">
        <f t="array" ref="E13">SUMPRODUCT(('Old CCC projections data'!$F$1:$BN$1=$B13)*('Old CCC projections data'!$A$2:$A$271=E$2)*('Old CCC projections data'!$D$2:$D$271=E$3)*('Old CCC projections data'!$F$2:$BN$271))*Model!$B$47</f>
        <v>1.1871345029239767E-2</v>
      </c>
      <c r="F13" s="18"/>
      <c r="G13" s="18"/>
      <c r="H13" s="18" cm="1">
        <f t="array" ref="H13">SUMPRODUCT(('Old CCC projections data'!$F$1:$BN$1=$B13)*('Old CCC projections data'!$A$2:$A$271=H$2)*('Old CCC projections data'!$D$2:$D$271=H$3)*('Old CCC projections data'!$F$2:$BN$271))*Model!$B$47</f>
        <v>137.62142519467835</v>
      </c>
      <c r="I13" s="18" cm="1">
        <f t="array" ref="I13">SUMPRODUCT(('Old CCC projections data'!$F$1:$BN$1=$B13)*('Old CCC projections data'!$A$2:$A$271=I$2)*('Old CCC projections data'!$D$2:$D$271=I$3)*('Old CCC projections data'!$F$2:$BN$271))*Model!$B$47</f>
        <v>206.43213779201753</v>
      </c>
      <c r="J13" s="18" cm="1">
        <f t="array" ref="J13">SUMPRODUCT(('Old CCC projections data'!$F$1:$BN$1=$B13)*('Old CCC projections data'!$A$2:$A$271=J$2)*('Old CCC projections data'!$D$2:$D$271=J$3)*('Old CCC projections data'!$F$2:$BN$271))*Model!$B$47</f>
        <v>275.2428503893567</v>
      </c>
      <c r="K13" s="18" cm="1">
        <f t="array" ref="K13">SUMPRODUCT(('Old CCC projections data'!$F$1:$BN$1=$B13)*('Old CCC projections data'!$A$2:$A$271=K$2)*('Old CCC projections data'!$D$2:$D$271=K$3)*('Old CCC projections data'!$F$2:$BN$271))*Model!$B$47</f>
        <v>344.05356298669597</v>
      </c>
      <c r="L13" s="18" cm="1">
        <f t="array" ref="L13">SUMPRODUCT(('Old CCC projections data'!$F$1:$BN$1=$B13)*('Old CCC projections data'!$A$2:$A$271=L$2)*('Old CCC projections data'!$D$2:$D$271=L$3)*('Old CCC projections data'!$F$2:$BN$271))*Model!$B$47</f>
        <v>412.86427558403506</v>
      </c>
      <c r="M13" s="18" cm="1">
        <f t="array" ref="M13">SUMPRODUCT(('Old CCC projections data'!$F$1:$BN$1=$B13)*('Old CCC projections data'!$A$2:$A$271=M$2)*('Old CCC projections data'!$D$2:$D$271=M$3)*('Old CCC projections data'!$F$2:$BN$271))*Model!$B$47</f>
        <v>68.810712597339176</v>
      </c>
      <c r="N13" s="189" cm="1">
        <f t="array" ref="N13">SUMPRODUCT(('Old CCC projections data'!$F$1:$BN$1=$B13)*('Old CCC projections data'!$A$2:$A$271=N$2)*('Old CCC projections data'!$D$2:$D$271=N$3)*('Old CCC projections data'!$F$2:$BN$271))*Model!$B$47</f>
        <v>148.85587788860158</v>
      </c>
      <c r="O13" s="18" cm="1">
        <f t="array" ref="O13">SUMPRODUCT(('Old CCC projections data'!$F$1:$BN$1=$B13)*('Old CCC projections data'!$A$2:$A$271=O$2)*('Old CCC projections data'!$D$2:$D$271=O$3)*('Old CCC projections data'!$F$2:$BN$271))*Model!$B$47</f>
        <v>1.1871345029239767E-2</v>
      </c>
      <c r="P13" s="18" cm="1">
        <f t="array" ref="P13">SUMPRODUCT(('Old CCC projections data'!$F$1:$BN$1=$B13)*('Old CCC projections data'!$A$2:$A$271=P$2)*('Old CCC projections data'!$D$2:$D$271=P$3)*('Old CCC projections data'!$F$2:$BN$271))*Model!$B$47</f>
        <v>137.62142519467835</v>
      </c>
      <c r="Q13" s="18" cm="1">
        <f t="array" ref="Q13">SUMPRODUCT(('Old CCC projections data'!$F$1:$BN$1=$B13)*('Old CCC projections data'!$A$2:$A$271=Q$2)*('Old CCC projections data'!$D$2:$D$271=Q$3)*('Old CCC projections data'!$F$2:$BN$271))*Model!$B$47</f>
        <v>206.43213779201753</v>
      </c>
      <c r="R13" s="18" cm="1">
        <f t="array" ref="R13">SUMPRODUCT(('Old CCC projections data'!$F$1:$BN$1=$B13)*('Old CCC projections data'!$A$2:$A$271=R$2)*('Old CCC projections data'!$D$2:$D$271=R$3)*('Old CCC projections data'!$F$2:$BN$271))*Model!$B$47</f>
        <v>275.2428503893567</v>
      </c>
      <c r="S13" s="18" cm="1">
        <f t="array" ref="S13">SUMPRODUCT(('Old CCC projections data'!$F$1:$BN$1=$B13)*('Old CCC projections data'!$A$2:$A$271=S$2)*('Old CCC projections data'!$D$2:$D$271=S$3)*('Old CCC projections data'!$F$2:$BN$271))*Model!$B$47</f>
        <v>344.05356298669597</v>
      </c>
      <c r="T13" s="18" cm="1">
        <f t="array" ref="T13">SUMPRODUCT(('Old CCC projections data'!$F$1:$BN$1=$B13)*('Old CCC projections data'!$A$2:$A$271=T$2)*('Old CCC projections data'!$D$2:$D$271=T$3)*('Old CCC projections data'!$F$2:$BN$271))*Model!$B$47</f>
        <v>412.86427558403506</v>
      </c>
      <c r="U13" s="18" cm="1">
        <f t="array" ref="U13">SUMPRODUCT(('Old CCC projections data'!$F$1:$BN$1=$B13)*('Old CCC projections data'!$A$2:$A$271=U$2)*('Old CCC projections data'!$D$2:$D$271=U$3)*('Old CCC projections data'!$F$2:$BN$271))*Model!$B$47</f>
        <v>68.810712597339176</v>
      </c>
      <c r="V13" s="18" cm="1">
        <f t="array" ref="V13">SUMPRODUCT(('Old CCC projections data'!$F$1:$BN$1=$B13)*('Old CCC projections data'!$A$2:$A$271=V$2)*('Old CCC projections data'!$D$2:$D$271=V$3)*('Old CCC projections data'!$F$2:$BN$271))*Model!$B$47</f>
        <v>148.85587788860158</v>
      </c>
      <c r="W13" s="18" cm="1">
        <f t="array" ref="W13">SUMPRODUCT(('Old CCC projections data'!$F$1:$BN$1=$B13)*('Old CCC projections data'!$A$2:$A$271=W$2)*('Old CCC projections data'!$D$2:$D$271=W$3)*('Old CCC projections data'!$F$2:$BN$271))*Model!$B$47</f>
        <v>1.1871345029239767E-2</v>
      </c>
      <c r="X13" s="18" cm="1">
        <f t="array" ref="X13">SUMPRODUCT(('Old CCC projections data'!$F$1:$BN$1=$B13)*('Old CCC projections data'!$A$2:$A$271=X$2)*('Old CCC projections data'!$D$2:$D$271=X$3)*('Old CCC projections data'!$F$2:$BN$271))*Model!$B$47</f>
        <v>137.62142519467835</v>
      </c>
      <c r="Y13" s="18" cm="1">
        <f t="array" ref="Y13">SUMPRODUCT(('Old CCC projections data'!$F$1:$BN$1=$B13)*('Old CCC projections data'!$A$2:$A$271=Y$2)*('Old CCC projections data'!$D$2:$D$271=Y$3)*('Old CCC projections data'!$F$2:$BN$271))*Model!$B$47</f>
        <v>206.43213779201753</v>
      </c>
      <c r="Z13" s="18" cm="1">
        <f t="array" ref="Z13">SUMPRODUCT(('Old CCC projections data'!$F$1:$BN$1=$B13)*('Old CCC projections data'!$A$2:$A$271=Z$2)*('Old CCC projections data'!$D$2:$D$271=Z$3)*('Old CCC projections data'!$F$2:$BN$271))*Model!$B$47</f>
        <v>275.2428503893567</v>
      </c>
      <c r="AA13" s="18" cm="1">
        <f t="array" ref="AA13">SUMPRODUCT(('Old CCC projections data'!$F$1:$BN$1=$B13)*('Old CCC projections data'!$A$2:$A$271=AA$2)*('Old CCC projections data'!$D$2:$D$271=AA$3)*('Old CCC projections data'!$F$2:$BN$271))*Model!$B$47</f>
        <v>344.05356298669597</v>
      </c>
      <c r="AB13" s="18" cm="1">
        <f t="array" ref="AB13">SUMPRODUCT(('Old CCC projections data'!$F$1:$BN$1=$B13)*('Old CCC projections data'!$A$2:$A$271=AB$2)*('Old CCC projections data'!$D$2:$D$271=AB$3)*('Old CCC projections data'!$F$2:$BN$271))*Model!$B$47</f>
        <v>412.86427558403506</v>
      </c>
      <c r="AC13" s="18" cm="1">
        <f t="array" ref="AC13">SUMPRODUCT(('Old CCC projections data'!$F$1:$BN$1=$B13)*('Old CCC projections data'!$A$2:$A$271=AC$2)*('Old CCC projections data'!$D$2:$D$271=AC$3)*('Old CCC projections data'!$F$2:$BN$271))*Model!$B$47</f>
        <v>68.810712597339176</v>
      </c>
      <c r="AD13" s="18" cm="1">
        <f t="array" ref="AD13">SUMPRODUCT(('Old CCC projections data'!$F$1:$BN$1=$B13)*('Old CCC projections data'!$A$2:$A$271=AD$2)*('Old CCC projections data'!$D$2:$D$271=AD$3)*('Old CCC projections data'!$F$2:$BN$271))*Model!$B$47</f>
        <v>75.691783857073105</v>
      </c>
      <c r="AE13" s="18" cm="1">
        <f t="array" ref="AE13">SUMPRODUCT(('Old CCC projections data'!$F$1:$BN$1=$B13)*('Old CCC projections data'!$A$2:$A$271=AE$2)*('Old CCC projections data'!$D$2:$D$271=AE$3)*('Old CCC projections data'!$F$2:$BN$271))*Model!$B$47</f>
        <v>148.85587788860158</v>
      </c>
      <c r="AF13" s="18" cm="1">
        <f t="array" ref="AF13">SUMPRODUCT(('Old CCC projections data'!$F$1:$BN$1=$B13)*('Old CCC projections data'!$A$2:$A$271=AF$2)*('Old CCC projections data'!$D$2:$D$271=AF$3)*('Old CCC projections data'!$F$2:$BN$271))*Model!$B$47</f>
        <v>1.1871345029239767E-2</v>
      </c>
      <c r="AG13" s="18" cm="1">
        <f t="array" ref="AG13">SUMPRODUCT(('Old CCC projections data'!$F$1:$BN$1=$B13)*('Old CCC projections data'!$A$2:$A$271=AG$2)*('Old CCC projections data'!$D$2:$D$271=AG$3)*('Old CCC projections data'!$F$2:$BN$271))*Model!$B$47</f>
        <v>137.62142519467835</v>
      </c>
      <c r="AH13" s="18" cm="1">
        <f t="array" ref="AH13">SUMPRODUCT(('Old CCC projections data'!$F$1:$BN$1=$B13)*('Old CCC projections data'!$A$2:$A$271=AH$2)*('Old CCC projections data'!$D$2:$D$271=AH$3)*('Old CCC projections data'!$F$2:$BN$271))*Model!$B$47</f>
        <v>206.43213779201753</v>
      </c>
      <c r="AI13" s="18" cm="1">
        <f t="array" ref="AI13">SUMPRODUCT(('Old CCC projections data'!$F$1:$BN$1=$B13)*('Old CCC projections data'!$A$2:$A$271=AI$2)*('Old CCC projections data'!$D$2:$D$271=AI$3)*('Old CCC projections data'!$F$2:$BN$271))*Model!$B$47</f>
        <v>275.2428503893567</v>
      </c>
      <c r="AJ13" s="18" cm="1">
        <f t="array" ref="AJ13">SUMPRODUCT(('Old CCC projections data'!$F$1:$BN$1=$B13)*('Old CCC projections data'!$A$2:$A$271=AJ$2)*('Old CCC projections data'!$D$2:$D$271=AJ$3)*('Old CCC projections data'!$F$2:$BN$271))*Model!$B$47</f>
        <v>344.05356298669597</v>
      </c>
      <c r="AK13" s="18" cm="1">
        <f t="array" ref="AK13">SUMPRODUCT(('Old CCC projections data'!$F$1:$BN$1=$B13)*('Old CCC projections data'!$A$2:$A$271=AK$2)*('Old CCC projections data'!$D$2:$D$271=AK$3)*('Old CCC projections data'!$F$2:$BN$271))*Model!$B$47</f>
        <v>371.57784802563162</v>
      </c>
      <c r="AL13" s="18" cm="1">
        <f t="array" ref="AL13">SUMPRODUCT(('Old CCC projections data'!$F$1:$BN$1=$B13)*('Old CCC projections data'!$A$2:$A$271=AL$2)*('Old CCC projections data'!$D$2:$D$271=AL$3)*('Old CCC projections data'!$F$2:$BN$271))*Model!$B$47</f>
        <v>412.86427558403506</v>
      </c>
      <c r="AM13" s="18" cm="1">
        <f t="array" ref="AM13">SUMPRODUCT(('Old CCC projections data'!$F$1:$BN$1=$B13)*('Old CCC projections data'!$A$2:$A$271=AM$2)*('Old CCC projections data'!$D$2:$D$271=AM$3)*('Old CCC projections data'!$F$2:$BN$271))*Model!$B$47</f>
        <v>68.810712597339176</v>
      </c>
      <c r="AN13" s="18" cm="1">
        <f t="array" ref="AN13">SUMPRODUCT(('Old CCC projections data'!$F$1:$BN$1=$B13)*('Old CCC projections data'!$A$2:$A$271=AN$2)*('Old CCC projections data'!$D$2:$D$271=AN$3)*('Old CCC projections data'!$F$2:$BN$271))*Model!$B$47</f>
        <v>148.85587788860158</v>
      </c>
      <c r="AO13" s="18" cm="1">
        <f t="array" ref="AO13">SUMPRODUCT(('Old CCC projections data'!$F$1:$BN$1=$B13)*('Old CCC projections data'!$A$2:$A$271=AO$2)*('Old CCC projections data'!$D$2:$D$271=AO$3)*('Old CCC projections data'!$F$2:$BN$271))*Model!$B$47</f>
        <v>1.1871345029239767E-2</v>
      </c>
      <c r="AP13" s="18" cm="1">
        <f t="array" ref="AP13">SUMPRODUCT(('Old CCC projections data'!$F$1:$BN$1=$B13)*('Old CCC projections data'!$A$2:$A$271=AP$2)*('Old CCC projections data'!$D$2:$D$271=AP$3)*('Old CCC projections data'!$F$2:$BN$271))*Model!$B$47</f>
        <v>137.62142519467835</v>
      </c>
      <c r="AQ13" s="18" cm="1">
        <f t="array" ref="AQ13">SUMPRODUCT(('Old CCC projections data'!$F$1:$BN$1=$B13)*('Old CCC projections data'!$A$2:$A$271=AQ$2)*('Old CCC projections data'!$D$2:$D$271=AQ$3)*('Old CCC projections data'!$F$2:$BN$271))*Model!$B$47</f>
        <v>206.43213779201753</v>
      </c>
      <c r="AR13" s="18" cm="1">
        <f t="array" ref="AR13">SUMPRODUCT(('Old CCC projections data'!$F$1:$BN$1=$B13)*('Old CCC projections data'!$A$2:$A$271=AR$2)*('Old CCC projections data'!$D$2:$D$271=AR$3)*('Old CCC projections data'!$F$2:$BN$271))*Model!$B$47</f>
        <v>275.2428503893567</v>
      </c>
      <c r="AS13" s="18" cm="1">
        <f t="array" ref="AS13">SUMPRODUCT(('Old CCC projections data'!$F$1:$BN$1=$B13)*('Old CCC projections data'!$A$2:$A$271=AS$2)*('Old CCC projections data'!$D$2:$D$271=AS$3)*('Old CCC projections data'!$F$2:$BN$271))*Model!$B$47</f>
        <v>344.05356298669597</v>
      </c>
      <c r="AT13" s="18" cm="1">
        <f t="array" ref="AT13">SUMPRODUCT(('Old CCC projections data'!$F$1:$BN$1=$B13)*('Old CCC projections data'!$A$2:$A$271=AT$2)*('Old CCC projections data'!$D$2:$D$271=AT$3)*('Old CCC projections data'!$F$2:$BN$271))*Model!$B$47</f>
        <v>412.86427558403506</v>
      </c>
      <c r="AU13" s="18" cm="1">
        <f t="array" ref="AU13">SUMPRODUCT(('Old CCC projections data'!$F$1:$BN$1=$B13)*('Old CCC projections data'!$A$2:$A$271=AU$2)*('Old CCC projections data'!$D$2:$D$271=AU$3)*('Old CCC projections data'!$F$2:$BN$271))*Model!$B$47</f>
        <v>68.810712597339176</v>
      </c>
      <c r="AV13" s="18" cm="1">
        <f t="array" ref="AV13">SUMPRODUCT(('Old CCC projections data'!$F$1:$BN$1=$B13)*('Old CCC projections data'!$A$2:$A$271=AV$2)*('Old CCC projections data'!$D$2:$D$271=AV$3)*('Old CCC projections data'!$F$2:$BN$271))*Model!$B$47</f>
        <v>75.691783857073105</v>
      </c>
      <c r="AW13" s="18" cm="1">
        <f t="array" ref="AW13">SUMPRODUCT(('Old CCC projections data'!$F$1:$BN$1=$B13)*('Old CCC projections data'!$A$2:$A$271=AW$2)*('Old CCC projections data'!$D$2:$D$271=AW$3)*('Old CCC projections data'!$F$2:$BN$271))*Model!$B$47</f>
        <v>148.85587788860158</v>
      </c>
      <c r="AX13" s="18" cm="1">
        <f t="array" ref="AX13">SUMPRODUCT(('Old CCC projections data'!$F$1:$BN$1=$B13)*('Old CCC projections data'!$A$2:$A$271=AX$2)*('Old CCC projections data'!$D$2:$D$271=AX$3)*('Old CCC projections data'!$F$2:$BN$271))*Model!$B$47</f>
        <v>1.1871345029239767E-2</v>
      </c>
      <c r="AY13" s="18">
        <v>75</v>
      </c>
      <c r="AZ13" s="18">
        <v>51.333333333333321</v>
      </c>
      <c r="BA13" s="18">
        <v>70</v>
      </c>
      <c r="BB13" s="18"/>
      <c r="BC13" s="20" cm="1">
        <f t="array" ref="BC13">SUMPRODUCT(('Old CCC projections data'!$F$1:$BN$1=$B13)*('Old CCC projections data'!$A$2:$A$271=BC$2)*('Old CCC projections data'!$D$2:$D$271=BC$3)*('Old CCC projections data'!$F$2:$BN$271))</f>
        <v>36510.639480378573</v>
      </c>
      <c r="BD13" s="20" cm="1">
        <f t="array" ref="BD13">SUMPRODUCT(('Old CCC projections data'!$F$1:$BN$1=$B13)*('Old CCC projections data'!$A$2:$A$271=BD$2)*('Old CCC projections data'!$D$2:$D$271=BD$3)*('Old CCC projections data'!$F$2:$BN$271))</f>
        <v>37843.558099366586</v>
      </c>
      <c r="BE13" s="20"/>
      <c r="BF13" s="20"/>
      <c r="BG13" s="20" cm="1">
        <f t="array" ref="BG13">SUMPRODUCT(('Old CCC projections data'!$F$1:$BN$1=$B13)*('Old CCC projections data'!$A$2:$A$271=BG$2)*('Old CCC projections data'!$D$2:$D$271=BG$3)*('Old CCC projections data'!$F$2:$BN$271))</f>
        <v>32661.749512637278</v>
      </c>
      <c r="BH13" s="20" cm="1">
        <f t="array" ref="BH13">SUMPRODUCT(('Old CCC projections data'!$F$1:$BN$1=$B13)*('Old CCC projections data'!$A$2:$A$271=BH$2)*('Old CCC projections data'!$D$2:$D$271=BH$3)*('Old CCC projections data'!$F$2:$BN$271))</f>
        <v>31451.054756769954</v>
      </c>
      <c r="BI13" s="20" cm="1">
        <f t="array" ref="BI13">SUMPRODUCT(('Old CCC projections data'!$F$1:$BN$1=$B13)*('Old CCC projections data'!$A$2:$A$271=BI$2)*('Old CCC projections data'!$D$2:$D$271=BI$3)*('Old CCC projections data'!$F$2:$BN$271))</f>
        <v>30435.302765531254</v>
      </c>
      <c r="BJ13" s="20" cm="1">
        <f t="array" ref="BJ13">SUMPRODUCT(('Old CCC projections data'!$F$1:$BN$1=$B13)*('Old CCC projections data'!$A$2:$A$271=BJ$2)*('Old CCC projections data'!$D$2:$D$271=BJ$3)*('Old CCC projections data'!$F$2:$BN$271))</f>
        <v>29893.492114550158</v>
      </c>
      <c r="BK13" s="20" cm="1">
        <f t="array" ref="BK13">SUMPRODUCT(('Old CCC projections data'!$F$1:$BN$1=$B13)*('Old CCC projections data'!$A$2:$A$271=BK$2)*('Old CCC projections data'!$D$2:$D$271=BK$3)*('Old CCC projections data'!$F$2:$BN$271))</f>
        <v>29235.872007702867</v>
      </c>
      <c r="BL13" s="20" cm="1">
        <f t="array" ref="BL13">SUMPRODUCT(('Old CCC projections data'!$F$1:$BN$1=$B13)*('Old CCC projections data'!$A$2:$A$271=BL$2)*('Old CCC projections data'!$D$2:$D$271=BL$3)*('Old CCC projections data'!$F$2:$BN$271))</f>
        <v>33764.147321780722</v>
      </c>
      <c r="BM13" s="20" cm="1">
        <f t="array" ref="BM13">SUMPRODUCT(('Old CCC projections data'!$F$1:$BN$1=$B13)*('Old CCC projections data'!$A$2:$A$271=BM$2)*('Old CCC projections data'!$D$2:$D$271=BM$3)*('Old CCC projections data'!$F$2:$BN$271))</f>
        <v>32478.728971611461</v>
      </c>
      <c r="BN13" s="20" cm="1">
        <f t="array" ref="BN13">SUMPRODUCT(('Old CCC projections data'!$F$1:$BN$1=$B13)*('Old CCC projections data'!$A$2:$A$271=BN$2)*('Old CCC projections data'!$D$2:$D$271=BN$3)*('Old CCC projections data'!$F$2:$BN$271))</f>
        <v>35511.189170281767</v>
      </c>
      <c r="BO13" s="20" cm="1">
        <f t="array" ref="BO13">SUMPRODUCT(('Old CCC projections data'!$F$1:$BN$1=$B13)*('Old CCC projections data'!$A$2:$A$271=BO$2)*('Old CCC projections data'!$D$2:$D$271=BO$3)*('Old CCC projections data'!$F$2:$BN$271))</f>
        <v>33982.112137315125</v>
      </c>
      <c r="BP13" s="20" cm="1">
        <f t="array" ref="BP13">SUMPRODUCT(('Old CCC projections data'!$F$1:$BN$1=$B13)*('Old CCC projections data'!$A$2:$A$271=BP$2)*('Old CCC projections data'!$D$2:$D$271=BP$3)*('Old CCC projections data'!$F$2:$BN$271))</f>
        <v>32985.647702728093</v>
      </c>
      <c r="BQ13" s="20" cm="1">
        <f t="array" ref="BQ13">SUMPRODUCT(('Old CCC projections data'!$F$1:$BN$1=$B13)*('Old CCC projections data'!$A$2:$A$271=BQ$2)*('Old CCC projections data'!$D$2:$D$271=BQ$3)*('Old CCC projections data'!$F$2:$BN$271))</f>
        <v>32169.157120550641</v>
      </c>
      <c r="BR13" s="20" cm="1">
        <f t="array" ref="BR13">SUMPRODUCT(('Old CCC projections data'!$F$1:$BN$1=$B13)*('Old CCC projections data'!$A$2:$A$271=BR$2)*('Old CCC projections data'!$D$2:$D$271=BR$3)*('Old CCC projections data'!$F$2:$BN$271))</f>
        <v>31626.114825366774</v>
      </c>
      <c r="BS13" s="20" cm="1">
        <f t="array" ref="BS13">SUMPRODUCT(('Old CCC projections data'!$F$1:$BN$1=$B13)*('Old CCC projections data'!$A$2:$A$271=BS$2)*('Old CCC projections data'!$D$2:$D$271=BS$3)*('Old CCC projections data'!$F$2:$BN$271))</f>
        <v>31069.520289139138</v>
      </c>
      <c r="BT13" s="20" cm="1">
        <f t="array" ref="BT13">SUMPRODUCT(('Old CCC projections data'!$F$1:$BN$1=$B13)*('Old CCC projections data'!$A$2:$A$271=BT$2)*('Old CCC projections data'!$D$2:$D$271=BT$3)*('Old CCC projections data'!$F$2:$BN$271))</f>
        <v>35042.971554689328</v>
      </c>
      <c r="BU13" s="20" cm="1">
        <f t="array" ref="BU13">SUMPRODUCT(('Old CCC projections data'!$F$1:$BN$1=$B13)*('Old CCC projections data'!$A$2:$A$271=BU$2)*('Old CCC projections data'!$D$2:$D$271=BU$3)*('Old CCC projections data'!$F$2:$BN$271))</f>
        <v>33749.801012164397</v>
      </c>
      <c r="BV13" s="20" cm="1">
        <f t="array" ref="BV13">SUMPRODUCT(('Old CCC projections data'!$F$1:$BN$1=$B13)*('Old CCC projections data'!$A$2:$A$271=BV$2)*('Old CCC projections data'!$D$2:$D$271=BV$3)*('Old CCC projections data'!$F$2:$BN$271))</f>
        <v>36559.379132889349</v>
      </c>
      <c r="BW13" s="20" cm="1">
        <f t="array" ref="BW13">SUMPRODUCT(('Old CCC projections data'!$F$1:$BN$1=$B13)*('Old CCC projections data'!$A$2:$A$271=BW$2)*('Old CCC projections data'!$D$2:$D$271=BW$3)*('Old CCC projections data'!$F$2:$BN$271))</f>
        <v>31271.669666982707</v>
      </c>
      <c r="BX13" s="20" cm="1">
        <f t="array" ref="BX13">SUMPRODUCT(('Old CCC projections data'!$F$1:$BN$1=$B13)*('Old CCC projections data'!$A$2:$A$271=BX$2)*('Old CCC projections data'!$D$2:$D$271=BX$3)*('Old CCC projections data'!$F$2:$BN$271))</f>
        <v>30152.266897251131</v>
      </c>
      <c r="BY13" s="20" cm="1">
        <f t="array" ref="BY13">SUMPRODUCT(('Old CCC projections data'!$F$1:$BN$1=$B13)*('Old CCC projections data'!$A$2:$A$271=BY$2)*('Old CCC projections data'!$D$2:$D$271=BY$3)*('Old CCC projections data'!$F$2:$BN$271))</f>
        <v>29164.445406644227</v>
      </c>
      <c r="BZ13" s="20" cm="1">
        <f t="array" ref="BZ13">SUMPRODUCT(('Old CCC projections data'!$F$1:$BN$1=$B13)*('Old CCC projections data'!$A$2:$A$271=BZ$2)*('Old CCC projections data'!$D$2:$D$271=BZ$3)*('Old CCC projections data'!$F$2:$BN$271))</f>
        <v>28782.728894430631</v>
      </c>
      <c r="CA13" s="20" cm="1">
        <f t="array" ref="CA13">SUMPRODUCT(('Old CCC projections data'!$F$1:$BN$1=$B13)*('Old CCC projections data'!$A$2:$A$271=CA$2)*('Old CCC projections data'!$D$2:$D$271=CA$3)*('Old CCC projections data'!$F$2:$BN$271))</f>
        <v>28241.010986105124</v>
      </c>
      <c r="CB13" s="20" cm="1">
        <f t="array" ref="CB13">SUMPRODUCT(('Old CCC projections data'!$F$1:$BN$1=$B13)*('Old CCC projections data'!$A$2:$A$271=CB$2)*('Old CCC projections data'!$D$2:$D$271=CB$3)*('Old CCC projections data'!$F$2:$BN$271))</f>
        <v>32386.080866908698</v>
      </c>
      <c r="CC13" s="20" cm="1">
        <f t="array" ref="CC13">SUMPRODUCT(('Old CCC projections data'!$F$1:$BN$1=$B13)*('Old CCC projections data'!$A$2:$A$271=CC$2)*('Old CCC projections data'!$D$2:$D$271=CC$3)*('Old CCC projections data'!$F$2:$BN$271))</f>
        <v>32260.53124150708</v>
      </c>
      <c r="CD13" s="20" cm="1">
        <f t="array" ref="CD13">SUMPRODUCT(('Old CCC projections data'!$F$1:$BN$1=$B13)*('Old CCC projections data'!$A$2:$A$271=CD$2)*('Old CCC projections data'!$D$2:$D$271=CD$3)*('Old CCC projections data'!$F$2:$BN$271))</f>
        <v>31027.956839576898</v>
      </c>
      <c r="CE13" s="20" cm="1">
        <f t="array" ref="CE13">SUMPRODUCT(('Old CCC projections data'!$F$1:$BN$1=$B13)*('Old CCC projections data'!$A$2:$A$271=CE$2)*('Old CCC projections data'!$D$2:$D$271=CE$3)*('Old CCC projections data'!$F$2:$BN$271))</f>
        <v>34343.885034723433</v>
      </c>
      <c r="CF13" s="20" cm="1">
        <f t="array" ref="CF13">SUMPRODUCT(('Old CCC projections data'!$F$1:$BN$1=$B13)*('Old CCC projections data'!$A$2:$A$271=CF$2)*('Old CCC projections data'!$D$2:$D$271=CF$3)*('Old CCC projections data'!$F$2:$BN$271))</f>
        <v>34152.637671377575</v>
      </c>
      <c r="CG13" s="20" cm="1">
        <f t="array" ref="CG13">SUMPRODUCT(('Old CCC projections data'!$F$1:$BN$1=$B13)*('Old CCC projections data'!$A$2:$A$271=CG$2)*('Old CCC projections data'!$D$2:$D$271=CG$3)*('Old CCC projections data'!$F$2:$BN$271))</f>
        <v>33190.461966002229</v>
      </c>
      <c r="CH13" s="20" cm="1">
        <f t="array" ref="CH13">SUMPRODUCT(('Old CCC projections data'!$F$1:$BN$1=$B13)*('Old CCC projections data'!$A$2:$A$271=CH$2)*('Old CCC projections data'!$D$2:$D$271=CH$3)*('Old CCC projections data'!$F$2:$BN$271))</f>
        <v>32495.012533627956</v>
      </c>
      <c r="CI13" s="20" cm="1">
        <f t="array" ref="CI13">SUMPRODUCT(('Old CCC projections data'!$F$1:$BN$1=$B13)*('Old CCC projections data'!$A$2:$A$271=CI$2)*('Old CCC projections data'!$D$2:$D$271=CI$3)*('Old CCC projections data'!$F$2:$BN$271))</f>
        <v>32137.396400340109</v>
      </c>
      <c r="CJ13" s="20" cm="1">
        <f t="array" ref="CJ13">SUMPRODUCT(('Old CCC projections data'!$F$1:$BN$1=$B13)*('Old CCC projections data'!$A$2:$A$271=CJ$2)*('Old CCC projections data'!$D$2:$D$271=CJ$3)*('Old CCC projections data'!$F$2:$BN$271))</f>
        <v>32034.939566424666</v>
      </c>
      <c r="CK13" s="20" cm="1">
        <f t="array" ref="CK13">SUMPRODUCT(('Old CCC projections data'!$F$1:$BN$1=$B13)*('Old CCC projections data'!$A$2:$A$271=CK$2)*('Old CCC projections data'!$D$2:$D$271=CK$3)*('Old CCC projections data'!$F$2:$BN$271))</f>
        <v>31661.788893569963</v>
      </c>
      <c r="CL13" s="20" cm="1">
        <f t="array" ref="CL13">SUMPRODUCT(('Old CCC projections data'!$F$1:$BN$1=$B13)*('Old CCC projections data'!$A$2:$A$271=CL$2)*('Old CCC projections data'!$D$2:$D$271=CL$3)*('Old CCC projections data'!$F$2:$BN$271))</f>
        <v>35140.451928727693</v>
      </c>
      <c r="CM13" s="20" cm="1">
        <f t="array" ref="CM13">SUMPRODUCT(('Old CCC projections data'!$F$1:$BN$1=$B13)*('Old CCC projections data'!$A$2:$A$271=CM$2)*('Old CCC projections data'!$D$2:$D$271=CM$3)*('Old CCC projections data'!$F$2:$BN$271))</f>
        <v>34041.995177019351</v>
      </c>
      <c r="CN13" s="20" cm="1">
        <f t="array" ref="CN13">SUMPRODUCT(('Old CCC projections data'!$F$1:$BN$1=$B13)*('Old CCC projections data'!$A$2:$A$271=CN$2)*('Old CCC projections data'!$D$2:$D$271=CN$3)*('Old CCC projections data'!$F$2:$BN$271))</f>
        <v>36610.605694854916</v>
      </c>
      <c r="CO13" s="20" cm="1">
        <f t="array" ref="CO13">SUMPRODUCT(('Old CCC projections data'!$F$1:$BN$1=$B13)*('Old CCC projections data'!$A$2:$A$271=CO$2)*('Old CCC projections data'!$D$2:$D$271=CO$3)*('Old CCC projections data'!$F$2:$BN$271))</f>
        <v>30948.383857021985</v>
      </c>
      <c r="CP13" s="20" cm="1">
        <f t="array" ref="CP13">SUMPRODUCT(('Old CCC projections data'!$F$1:$BN$1=$B13)*('Old CCC projections data'!$A$2:$A$271=CP$2)*('Old CCC projections data'!$D$2:$D$271=CP$3)*('Old CCC projections data'!$F$2:$BN$271))</f>
        <v>29548.043606324169</v>
      </c>
      <c r="CQ13" s="20" cm="1">
        <f t="array" ref="CQ13">SUMPRODUCT(('Old CCC projections data'!$F$1:$BN$1=$B13)*('Old CCC projections data'!$A$2:$A$271=CQ$2)*('Old CCC projections data'!$D$2:$D$271=CQ$3)*('Old CCC projections data'!$F$2:$BN$271))</f>
        <v>28424.399381616498</v>
      </c>
      <c r="CR13" s="20" cm="1">
        <f t="array" ref="CR13">SUMPRODUCT(('Old CCC projections data'!$F$1:$BN$1=$B13)*('Old CCC projections data'!$A$2:$A$271=CR$2)*('Old CCC projections data'!$D$2:$D$271=CR$3)*('Old CCC projections data'!$F$2:$BN$271))</f>
        <v>27765.523277734366</v>
      </c>
      <c r="CS13" s="20" cm="1">
        <f t="array" ref="CS13">SUMPRODUCT(('Old CCC projections data'!$F$1:$BN$1=$B13)*('Old CCC projections data'!$A$2:$A$271=CS$2)*('Old CCC projections data'!$D$2:$D$271=CS$3)*('Old CCC projections data'!$F$2:$BN$271))</f>
        <v>27111.092277673419</v>
      </c>
      <c r="CT13" s="20" cm="1">
        <f t="array" ref="CT13">SUMPRODUCT(('Old CCC projections data'!$F$1:$BN$1=$B13)*('Old CCC projections data'!$A$2:$A$271=CT$2)*('Old CCC projections data'!$D$2:$D$271=CT$3)*('Old CCC projections data'!$F$2:$BN$271))</f>
        <v>32153.108849345757</v>
      </c>
      <c r="CU13" s="20" cm="1">
        <f t="array" ref="CU13">SUMPRODUCT(('Old CCC projections data'!$F$1:$BN$1=$B13)*('Old CCC projections data'!$A$2:$A$271=CU$2)*('Old CCC projections data'!$D$2:$D$271=CU$3)*('Old CCC projections data'!$F$2:$BN$271))</f>
        <v>31990.777794977548</v>
      </c>
      <c r="CV13" s="20" cm="1">
        <f t="array" ref="CV13">SUMPRODUCT(('Old CCC projections data'!$F$1:$BN$1=$B13)*('Old CCC projections data'!$A$2:$A$271=CV$2)*('Old CCC projections data'!$D$2:$D$271=CV$3)*('Old CCC projections data'!$F$2:$BN$271))</f>
        <v>30807.864023508664</v>
      </c>
      <c r="CW13" s="20" cm="1">
        <f t="array" ref="CW13">SUMPRODUCT(('Old CCC projections data'!$F$1:$BN$1=$B13)*('Old CCC projections data'!$A$2:$A$271=CW$2)*('Old CCC projections data'!$D$2:$D$271=CW$3)*('Old CCC projections data'!$F$2:$BN$271))</f>
        <v>34353.515102285906</v>
      </c>
      <c r="CX13" s="20">
        <f t="shared" si="19"/>
        <v>3032.4601986703055</v>
      </c>
      <c r="CY13" s="20" t="str">
        <f t="shared" si="29"/>
        <v>Demo path - C price $100 3%</v>
      </c>
      <c r="CZ13" s="3">
        <f t="shared" si="30"/>
        <v>2031</v>
      </c>
      <c r="DA13" s="18">
        <f t="shared" si="31"/>
        <v>0</v>
      </c>
      <c r="DB13" s="18">
        <f ca="1">(H16+IF($DB$3&gt;0,NPV($DB$2,H17:OFFSET(H16,$DB$3,0)),0))/($DB$3+1)</f>
        <v>150.38264708870528</v>
      </c>
      <c r="DC13" s="18">
        <f t="shared" ca="1" si="20"/>
        <v>50.382647088705284</v>
      </c>
      <c r="DD13" s="18">
        <f t="shared" si="32"/>
        <v>100</v>
      </c>
      <c r="DE13" s="126">
        <f>DE12-($DE$12-$DE$18)/6</f>
        <v>32544.850715439803</v>
      </c>
      <c r="DF13" s="20" cm="1">
        <f t="array" ref="DF13">SUMPRODUCT(($BG$2:$BM$2=CY13)*($B$5:$B$35=CZ13)*($BG$5:$BM$35))</f>
        <v>28932.562833278669</v>
      </c>
      <c r="DG13" s="20">
        <f t="shared" si="16"/>
        <v>3612.2878821611339</v>
      </c>
      <c r="DH13" s="20" cm="1">
        <f t="array" ref="DH13">IF(CZ13=2023,SUMPRODUCT(($B$5:$B$35=CZ13-1)*($BN$5:$BN$35))-SUMPRODUCT(($BG$2:$BM$2=CY13)*($B$5:$B$35=CZ13-1)*($BG$5:$BM$35)),DG12)</f>
        <v>3712.1132365735393</v>
      </c>
      <c r="DI13" s="18">
        <f t="shared" ca="1" si="17"/>
        <v>150.38264708870528</v>
      </c>
      <c r="DJ13" s="89">
        <f t="shared" si="22"/>
        <v>8.1920966129558703</v>
      </c>
      <c r="DK13" s="89">
        <f t="shared" si="23"/>
        <v>8.2193565989832464</v>
      </c>
      <c r="DL13" s="89">
        <f t="shared" ca="1" si="24"/>
        <v>5.0131830264595738</v>
      </c>
      <c r="DM13" s="20">
        <f t="shared" ca="1" si="25"/>
        <v>1481.7185552764436</v>
      </c>
      <c r="DN13" s="20">
        <f t="shared" ca="1" si="26"/>
        <v>3580.3103545805634</v>
      </c>
      <c r="DO13" s="20">
        <f t="shared" ca="1" si="27"/>
        <v>2531.0144549285033</v>
      </c>
      <c r="DP13" s="113"/>
      <c r="DQ13" s="18"/>
      <c r="DT13" s="20"/>
      <c r="DU13" s="18"/>
      <c r="DV13" s="20"/>
    </row>
    <row r="14" spans="1:128" x14ac:dyDescent="0.25">
      <c r="A14">
        <v>-1</v>
      </c>
      <c r="B14">
        <f t="shared" si="28"/>
        <v>2029</v>
      </c>
      <c r="C14" s="190">
        <f>IF(C13*(1+A14*Model!$B$19*IF(Model!$B$28=0,1,((Model!$B$28-B14)/(Model!$B$28-$B$9))))&gt;Model!$B$44,C13*(1+A14*Model!$B$19*IF(Model!$B$28=0,1,((Model!$B$28-B14)/(Model!$B$28-$B$9)))),Model!$B$44)</f>
        <v>78.753366981775415</v>
      </c>
      <c r="D14" s="18" cm="1">
        <f t="array" ref="D14">SUMPRODUCT(('Old CCC projections data'!$F$1:$BN$1=$B14)*('Old CCC projections data'!$A$2:$A$271=D$2)*('Old CCC projections data'!$D$2:$D$271=D$3)*('Old CCC projections data'!$F$2:$BN$271))*Model!$B$47</f>
        <v>41.549707602339183</v>
      </c>
      <c r="E14" s="18" cm="1">
        <f t="array" ref="E14">SUMPRODUCT(('Old CCC projections data'!$F$1:$BN$1=$B14)*('Old CCC projections data'!$A$2:$A$271=E$2)*('Old CCC projections data'!$D$2:$D$271=E$3)*('Old CCC projections data'!$F$2:$BN$271))*Model!$B$47</f>
        <v>1.1871345029239767E-2</v>
      </c>
      <c r="F14" s="18"/>
      <c r="G14" s="18"/>
      <c r="H14" s="18" cm="1">
        <f t="array" ref="H14">SUMPRODUCT(('Old CCC projections data'!$F$1:$BN$1=$B14)*('Old CCC projections data'!$A$2:$A$271=H$2)*('Old CCC projections data'!$D$2:$D$271=H$3)*('Old CCC projections data'!$F$2:$BN$271))*Model!$B$47</f>
        <v>141.75006795051871</v>
      </c>
      <c r="I14" s="18" cm="1">
        <f t="array" ref="I14">SUMPRODUCT(('Old CCC projections data'!$F$1:$BN$1=$B14)*('Old CCC projections data'!$A$2:$A$271=I$2)*('Old CCC projections data'!$D$2:$D$271=I$3)*('Old CCC projections data'!$F$2:$BN$271))*Model!$B$47</f>
        <v>212.62510192577807</v>
      </c>
      <c r="J14" s="18" cm="1">
        <f t="array" ref="J14">SUMPRODUCT(('Old CCC projections data'!$F$1:$BN$1=$B14)*('Old CCC projections data'!$A$2:$A$271=J$2)*('Old CCC projections data'!$D$2:$D$271=J$3)*('Old CCC projections data'!$F$2:$BN$271))*Model!$B$47</f>
        <v>283.50013590103742</v>
      </c>
      <c r="K14" s="18" cm="1">
        <f t="array" ref="K14">SUMPRODUCT(('Old CCC projections data'!$F$1:$BN$1=$B14)*('Old CCC projections data'!$A$2:$A$271=K$2)*('Old CCC projections data'!$D$2:$D$271=K$3)*('Old CCC projections data'!$F$2:$BN$271))*Model!$B$47</f>
        <v>354.37516987629681</v>
      </c>
      <c r="L14" s="18" cm="1">
        <f t="array" ref="L14">SUMPRODUCT(('Old CCC projections data'!$F$1:$BN$1=$B14)*('Old CCC projections data'!$A$2:$A$271=L$2)*('Old CCC projections data'!$D$2:$D$271=L$3)*('Old CCC projections data'!$F$2:$BN$271))*Model!$B$47</f>
        <v>425.25020385155614</v>
      </c>
      <c r="M14" s="18" cm="1">
        <f t="array" ref="M14">SUMPRODUCT(('Old CCC projections data'!$F$1:$BN$1=$B14)*('Old CCC projections data'!$A$2:$A$271=M$2)*('Old CCC projections data'!$D$2:$D$271=M$3)*('Old CCC projections data'!$F$2:$BN$271))*Model!$B$47</f>
        <v>70.875033975259356</v>
      </c>
      <c r="N14" s="189" cm="1">
        <f t="array" ref="N14">SUMPRODUCT(('Old CCC projections data'!$F$1:$BN$1=$B14)*('Old CCC projections data'!$A$2:$A$271=N$2)*('Old CCC projections data'!$D$2:$D$271=N$3)*('Old CCC projections data'!$F$2:$BN$271))*Model!$B$47</f>
        <v>159.87532580381753</v>
      </c>
      <c r="O14" s="18" cm="1">
        <f t="array" ref="O14">SUMPRODUCT(('Old CCC projections data'!$F$1:$BN$1=$B14)*('Old CCC projections data'!$A$2:$A$271=O$2)*('Old CCC projections data'!$D$2:$D$271=O$3)*('Old CCC projections data'!$F$2:$BN$271))*Model!$B$47</f>
        <v>1.1871345029239767E-2</v>
      </c>
      <c r="P14" s="18" cm="1">
        <f t="array" ref="P14">SUMPRODUCT(('Old CCC projections data'!$F$1:$BN$1=$B14)*('Old CCC projections data'!$A$2:$A$271=P$2)*('Old CCC projections data'!$D$2:$D$271=P$3)*('Old CCC projections data'!$F$2:$BN$271))*Model!$B$47</f>
        <v>141.75006795051871</v>
      </c>
      <c r="Q14" s="18" cm="1">
        <f t="array" ref="Q14">SUMPRODUCT(('Old CCC projections data'!$F$1:$BN$1=$B14)*('Old CCC projections data'!$A$2:$A$271=Q$2)*('Old CCC projections data'!$D$2:$D$271=Q$3)*('Old CCC projections data'!$F$2:$BN$271))*Model!$B$47</f>
        <v>212.62510192577807</v>
      </c>
      <c r="R14" s="18" cm="1">
        <f t="array" ref="R14">SUMPRODUCT(('Old CCC projections data'!$F$1:$BN$1=$B14)*('Old CCC projections data'!$A$2:$A$271=R$2)*('Old CCC projections data'!$D$2:$D$271=R$3)*('Old CCC projections data'!$F$2:$BN$271))*Model!$B$47</f>
        <v>283.50013590103742</v>
      </c>
      <c r="S14" s="18" cm="1">
        <f t="array" ref="S14">SUMPRODUCT(('Old CCC projections data'!$F$1:$BN$1=$B14)*('Old CCC projections data'!$A$2:$A$271=S$2)*('Old CCC projections data'!$D$2:$D$271=S$3)*('Old CCC projections data'!$F$2:$BN$271))*Model!$B$47</f>
        <v>354.37516987629681</v>
      </c>
      <c r="T14" s="18" cm="1">
        <f t="array" ref="T14">SUMPRODUCT(('Old CCC projections data'!$F$1:$BN$1=$B14)*('Old CCC projections data'!$A$2:$A$271=T$2)*('Old CCC projections data'!$D$2:$D$271=T$3)*('Old CCC projections data'!$F$2:$BN$271))*Model!$B$47</f>
        <v>425.25020385155614</v>
      </c>
      <c r="U14" s="18" cm="1">
        <f t="array" ref="U14">SUMPRODUCT(('Old CCC projections data'!$F$1:$BN$1=$B14)*('Old CCC projections data'!$A$2:$A$271=U$2)*('Old CCC projections data'!$D$2:$D$271=U$3)*('Old CCC projections data'!$F$2:$BN$271))*Model!$B$47</f>
        <v>70.875033975259356</v>
      </c>
      <c r="V14" s="18" cm="1">
        <f t="array" ref="V14">SUMPRODUCT(('Old CCC projections data'!$F$1:$BN$1=$B14)*('Old CCC projections data'!$A$2:$A$271=V$2)*('Old CCC projections data'!$D$2:$D$271=V$3)*('Old CCC projections data'!$F$2:$BN$271))*Model!$B$47</f>
        <v>159.87532580381753</v>
      </c>
      <c r="W14" s="18" cm="1">
        <f t="array" ref="W14">SUMPRODUCT(('Old CCC projections data'!$F$1:$BN$1=$B14)*('Old CCC projections data'!$A$2:$A$271=W$2)*('Old CCC projections data'!$D$2:$D$271=W$3)*('Old CCC projections data'!$F$2:$BN$271))*Model!$B$47</f>
        <v>1.1871345029239767E-2</v>
      </c>
      <c r="X14" s="18" cm="1">
        <f t="array" ref="X14">SUMPRODUCT(('Old CCC projections data'!$F$1:$BN$1=$B14)*('Old CCC projections data'!$A$2:$A$271=X$2)*('Old CCC projections data'!$D$2:$D$271=X$3)*('Old CCC projections data'!$F$2:$BN$271))*Model!$B$47</f>
        <v>141.75006795051871</v>
      </c>
      <c r="Y14" s="18" cm="1">
        <f t="array" ref="Y14">SUMPRODUCT(('Old CCC projections data'!$F$1:$BN$1=$B14)*('Old CCC projections data'!$A$2:$A$271=Y$2)*('Old CCC projections data'!$D$2:$D$271=Y$3)*('Old CCC projections data'!$F$2:$BN$271))*Model!$B$47</f>
        <v>212.62510192577807</v>
      </c>
      <c r="Z14" s="18" cm="1">
        <f t="array" ref="Z14">SUMPRODUCT(('Old CCC projections data'!$F$1:$BN$1=$B14)*('Old CCC projections data'!$A$2:$A$271=Z$2)*('Old CCC projections data'!$D$2:$D$271=Z$3)*('Old CCC projections data'!$F$2:$BN$271))*Model!$B$47</f>
        <v>283.50013590103742</v>
      </c>
      <c r="AA14" s="18" cm="1">
        <f t="array" ref="AA14">SUMPRODUCT(('Old CCC projections data'!$F$1:$BN$1=$B14)*('Old CCC projections data'!$A$2:$A$271=AA$2)*('Old CCC projections data'!$D$2:$D$271=AA$3)*('Old CCC projections data'!$F$2:$BN$271))*Model!$B$47</f>
        <v>354.37516987629681</v>
      </c>
      <c r="AB14" s="18" cm="1">
        <f t="array" ref="AB14">SUMPRODUCT(('Old CCC projections data'!$F$1:$BN$1=$B14)*('Old CCC projections data'!$A$2:$A$271=AB$2)*('Old CCC projections data'!$D$2:$D$271=AB$3)*('Old CCC projections data'!$F$2:$BN$271))*Model!$B$47</f>
        <v>425.25020385155614</v>
      </c>
      <c r="AC14" s="18" cm="1">
        <f t="array" ref="AC14">SUMPRODUCT(('Old CCC projections data'!$F$1:$BN$1=$B14)*('Old CCC projections data'!$A$2:$A$271=AC$2)*('Old CCC projections data'!$D$2:$D$271=AC$3)*('Old CCC projections data'!$F$2:$BN$271))*Model!$B$47</f>
        <v>70.875033975259356</v>
      </c>
      <c r="AD14" s="18" cm="1">
        <f t="array" ref="AD14">SUMPRODUCT(('Old CCC projections data'!$F$1:$BN$1=$B14)*('Old CCC projections data'!$A$2:$A$271=AD$2)*('Old CCC projections data'!$D$2:$D$271=AD$3)*('Old CCC projections data'!$F$2:$BN$271))*Model!$B$47</f>
        <v>77.962537372785292</v>
      </c>
      <c r="AE14" s="18" cm="1">
        <f t="array" ref="AE14">SUMPRODUCT(('Old CCC projections data'!$F$1:$BN$1=$B14)*('Old CCC projections data'!$A$2:$A$271=AE$2)*('Old CCC projections data'!$D$2:$D$271=AE$3)*('Old CCC projections data'!$F$2:$BN$271))*Model!$B$47</f>
        <v>159.87532580381753</v>
      </c>
      <c r="AF14" s="18" cm="1">
        <f t="array" ref="AF14">SUMPRODUCT(('Old CCC projections data'!$F$1:$BN$1=$B14)*('Old CCC projections data'!$A$2:$A$271=AF$2)*('Old CCC projections data'!$D$2:$D$271=AF$3)*('Old CCC projections data'!$F$2:$BN$271))*Model!$B$47</f>
        <v>1.1871345029239767E-2</v>
      </c>
      <c r="AG14" s="18" cm="1">
        <f t="array" ref="AG14">SUMPRODUCT(('Old CCC projections data'!$F$1:$BN$1=$B14)*('Old CCC projections data'!$A$2:$A$271=AG$2)*('Old CCC projections data'!$D$2:$D$271=AG$3)*('Old CCC projections data'!$F$2:$BN$271))*Model!$B$47</f>
        <v>141.75006795051871</v>
      </c>
      <c r="AH14" s="18" cm="1">
        <f t="array" ref="AH14">SUMPRODUCT(('Old CCC projections data'!$F$1:$BN$1=$B14)*('Old CCC projections data'!$A$2:$A$271=AH$2)*('Old CCC projections data'!$D$2:$D$271=AH$3)*('Old CCC projections data'!$F$2:$BN$271))*Model!$B$47</f>
        <v>212.62510192577807</v>
      </c>
      <c r="AI14" s="18" cm="1">
        <f t="array" ref="AI14">SUMPRODUCT(('Old CCC projections data'!$F$1:$BN$1=$B14)*('Old CCC projections data'!$A$2:$A$271=AI$2)*('Old CCC projections data'!$D$2:$D$271=AI$3)*('Old CCC projections data'!$F$2:$BN$271))*Model!$B$47</f>
        <v>283.50013590103742</v>
      </c>
      <c r="AJ14" s="18" cm="1">
        <f t="array" ref="AJ14">SUMPRODUCT(('Old CCC projections data'!$F$1:$BN$1=$B14)*('Old CCC projections data'!$A$2:$A$271=AJ$2)*('Old CCC projections data'!$D$2:$D$271=AJ$3)*('Old CCC projections data'!$F$2:$BN$271))*Model!$B$47</f>
        <v>354.37516987629681</v>
      </c>
      <c r="AK14" s="18" cm="1">
        <f t="array" ref="AK14">SUMPRODUCT(('Old CCC projections data'!$F$1:$BN$1=$B14)*('Old CCC projections data'!$A$2:$A$271=AK$2)*('Old CCC projections data'!$D$2:$D$271=AK$3)*('Old CCC projections data'!$F$2:$BN$271))*Model!$B$47</f>
        <v>382.72518346640055</v>
      </c>
      <c r="AL14" s="18" cm="1">
        <f t="array" ref="AL14">SUMPRODUCT(('Old CCC projections data'!$F$1:$BN$1=$B14)*('Old CCC projections data'!$A$2:$A$271=AL$2)*('Old CCC projections data'!$D$2:$D$271=AL$3)*('Old CCC projections data'!$F$2:$BN$271))*Model!$B$47</f>
        <v>425.25020385155614</v>
      </c>
      <c r="AM14" s="18" cm="1">
        <f t="array" ref="AM14">SUMPRODUCT(('Old CCC projections data'!$F$1:$BN$1=$B14)*('Old CCC projections data'!$A$2:$A$271=AM$2)*('Old CCC projections data'!$D$2:$D$271=AM$3)*('Old CCC projections data'!$F$2:$BN$271))*Model!$B$47</f>
        <v>70.875033975259356</v>
      </c>
      <c r="AN14" s="18" cm="1">
        <f t="array" ref="AN14">SUMPRODUCT(('Old CCC projections data'!$F$1:$BN$1=$B14)*('Old CCC projections data'!$A$2:$A$271=AN$2)*('Old CCC projections data'!$D$2:$D$271=AN$3)*('Old CCC projections data'!$F$2:$BN$271))*Model!$B$47</f>
        <v>159.87532580381753</v>
      </c>
      <c r="AO14" s="18" cm="1">
        <f t="array" ref="AO14">SUMPRODUCT(('Old CCC projections data'!$F$1:$BN$1=$B14)*('Old CCC projections data'!$A$2:$A$271=AO$2)*('Old CCC projections data'!$D$2:$D$271=AO$3)*('Old CCC projections data'!$F$2:$BN$271))*Model!$B$47</f>
        <v>1.1871345029239767E-2</v>
      </c>
      <c r="AP14" s="18" cm="1">
        <f t="array" ref="AP14">SUMPRODUCT(('Old CCC projections data'!$F$1:$BN$1=$B14)*('Old CCC projections data'!$A$2:$A$271=AP$2)*('Old CCC projections data'!$D$2:$D$271=AP$3)*('Old CCC projections data'!$F$2:$BN$271))*Model!$B$47</f>
        <v>141.75006795051871</v>
      </c>
      <c r="AQ14" s="18" cm="1">
        <f t="array" ref="AQ14">SUMPRODUCT(('Old CCC projections data'!$F$1:$BN$1=$B14)*('Old CCC projections data'!$A$2:$A$271=AQ$2)*('Old CCC projections data'!$D$2:$D$271=AQ$3)*('Old CCC projections data'!$F$2:$BN$271))*Model!$B$47</f>
        <v>212.62510192577807</v>
      </c>
      <c r="AR14" s="18" cm="1">
        <f t="array" ref="AR14">SUMPRODUCT(('Old CCC projections data'!$F$1:$BN$1=$B14)*('Old CCC projections data'!$A$2:$A$271=AR$2)*('Old CCC projections data'!$D$2:$D$271=AR$3)*('Old CCC projections data'!$F$2:$BN$271))*Model!$B$47</f>
        <v>283.50013590103742</v>
      </c>
      <c r="AS14" s="18" cm="1">
        <f t="array" ref="AS14">SUMPRODUCT(('Old CCC projections data'!$F$1:$BN$1=$B14)*('Old CCC projections data'!$A$2:$A$271=AS$2)*('Old CCC projections data'!$D$2:$D$271=AS$3)*('Old CCC projections data'!$F$2:$BN$271))*Model!$B$47</f>
        <v>354.37516987629681</v>
      </c>
      <c r="AT14" s="18" cm="1">
        <f t="array" ref="AT14">SUMPRODUCT(('Old CCC projections data'!$F$1:$BN$1=$B14)*('Old CCC projections data'!$A$2:$A$271=AT$2)*('Old CCC projections data'!$D$2:$D$271=AT$3)*('Old CCC projections data'!$F$2:$BN$271))*Model!$B$47</f>
        <v>425.25020385155614</v>
      </c>
      <c r="AU14" s="18" cm="1">
        <f t="array" ref="AU14">SUMPRODUCT(('Old CCC projections data'!$F$1:$BN$1=$B14)*('Old CCC projections data'!$A$2:$A$271=AU$2)*('Old CCC projections data'!$D$2:$D$271=AU$3)*('Old CCC projections data'!$F$2:$BN$271))*Model!$B$47</f>
        <v>70.875033975259356</v>
      </c>
      <c r="AV14" s="18" cm="1">
        <f t="array" ref="AV14">SUMPRODUCT(('Old CCC projections data'!$F$1:$BN$1=$B14)*('Old CCC projections data'!$A$2:$A$271=AV$2)*('Old CCC projections data'!$D$2:$D$271=AV$3)*('Old CCC projections data'!$F$2:$BN$271))*Model!$B$47</f>
        <v>77.962537372785292</v>
      </c>
      <c r="AW14" s="18" cm="1">
        <f t="array" ref="AW14">SUMPRODUCT(('Old CCC projections data'!$F$1:$BN$1=$B14)*('Old CCC projections data'!$A$2:$A$271=AW$2)*('Old CCC projections data'!$D$2:$D$271=AW$3)*('Old CCC projections data'!$F$2:$BN$271))*Model!$B$47</f>
        <v>159.87532580381753</v>
      </c>
      <c r="AX14" s="18" cm="1">
        <f t="array" ref="AX14">SUMPRODUCT(('Old CCC projections data'!$F$1:$BN$1=$B14)*('Old CCC projections data'!$A$2:$A$271=AX$2)*('Old CCC projections data'!$D$2:$D$271=AX$3)*('Old CCC projections data'!$F$2:$BN$271))*Model!$B$47</f>
        <v>1.1871345029239767E-2</v>
      </c>
      <c r="AY14" s="18">
        <v>72</v>
      </c>
      <c r="AZ14" s="18">
        <v>48.999999999999986</v>
      </c>
      <c r="BA14" s="18">
        <v>70</v>
      </c>
      <c r="BB14" s="18"/>
      <c r="BC14" s="20" cm="1">
        <f t="array" ref="BC14">SUMPRODUCT(('Old CCC projections data'!$F$1:$BN$1=$B14)*('Old CCC projections data'!$A$2:$A$271=BC$2)*('Old CCC projections data'!$D$2:$D$271=BC$3)*('Old CCC projections data'!$F$2:$BN$271))</f>
        <v>36570.205651459662</v>
      </c>
      <c r="BD14" s="20" cm="1">
        <f t="array" ref="BD14">SUMPRODUCT(('Old CCC projections data'!$F$1:$BN$1=$B14)*('Old CCC projections data'!$A$2:$A$271=BD$2)*('Old CCC projections data'!$D$2:$D$271=BD$3)*('Old CCC projections data'!$F$2:$BN$271))</f>
        <v>37923.983384352803</v>
      </c>
      <c r="BE14" s="20"/>
      <c r="BF14" s="20"/>
      <c r="BG14" s="20" cm="1">
        <f t="array" ref="BG14">SUMPRODUCT(('Old CCC projections data'!$F$1:$BN$1=$B14)*('Old CCC projections data'!$A$2:$A$271=BG$2)*('Old CCC projections data'!$D$2:$D$271=BG$3)*('Old CCC projections data'!$F$2:$BN$271))</f>
        <v>31884.284699983305</v>
      </c>
      <c r="BH14" s="20" cm="1">
        <f t="array" ref="BH14">SUMPRODUCT(('Old CCC projections data'!$F$1:$BN$1=$B14)*('Old CCC projections data'!$A$2:$A$271=BH$2)*('Old CCC projections data'!$D$2:$D$271=BH$3)*('Old CCC projections data'!$F$2:$BN$271))</f>
        <v>30506.410255687915</v>
      </c>
      <c r="BI14" s="20" cm="1">
        <f t="array" ref="BI14">SUMPRODUCT(('Old CCC projections data'!$F$1:$BN$1=$B14)*('Old CCC projections data'!$A$2:$A$271=BI$2)*('Old CCC projections data'!$D$2:$D$271=BI$3)*('Old CCC projections data'!$F$2:$BN$271))</f>
        <v>29443.756026152165</v>
      </c>
      <c r="BJ14" s="20" cm="1">
        <f t="array" ref="BJ14">SUMPRODUCT(('Old CCC projections data'!$F$1:$BN$1=$B14)*('Old CCC projections data'!$A$2:$A$271=BJ$2)*('Old CCC projections data'!$D$2:$D$271=BJ$3)*('Old CCC projections data'!$F$2:$BN$271))</f>
        <v>28817.675021612253</v>
      </c>
      <c r="BK14" s="20" cm="1">
        <f t="array" ref="BK14">SUMPRODUCT(('Old CCC projections data'!$F$1:$BN$1=$B14)*('Old CCC projections data'!$A$2:$A$271=BK$2)*('Old CCC projections data'!$D$2:$D$271=BK$3)*('Old CCC projections data'!$F$2:$BN$271))</f>
        <v>28045.288353242715</v>
      </c>
      <c r="BL14" s="20" cm="1">
        <f t="array" ref="BL14">SUMPRODUCT(('Old CCC projections data'!$F$1:$BN$1=$B14)*('Old CCC projections data'!$A$2:$A$271=BL$2)*('Old CCC projections data'!$D$2:$D$271=BL$3)*('Old CCC projections data'!$F$2:$BN$271))</f>
        <v>33196.401973163898</v>
      </c>
      <c r="BM14" s="20" cm="1">
        <f t="array" ref="BM14">SUMPRODUCT(('Old CCC projections data'!$F$1:$BN$1=$B14)*('Old CCC projections data'!$A$2:$A$271=BM$2)*('Old CCC projections data'!$D$2:$D$271=BM$3)*('Old CCC projections data'!$F$2:$BN$271))</f>
        <v>31640.569515247476</v>
      </c>
      <c r="BN14" s="20" cm="1">
        <f t="array" ref="BN14">SUMPRODUCT(('Old CCC projections data'!$F$1:$BN$1=$B14)*('Old CCC projections data'!$A$2:$A$271=BN$2)*('Old CCC projections data'!$D$2:$D$271=BN$3)*('Old CCC projections data'!$F$2:$BN$271))</f>
        <v>35177.841893805635</v>
      </c>
      <c r="BO14" s="20" cm="1">
        <f t="array" ref="BO14">SUMPRODUCT(('Old CCC projections data'!$F$1:$BN$1=$B14)*('Old CCC projections data'!$A$2:$A$271=BO$2)*('Old CCC projections data'!$D$2:$D$271=BO$3)*('Old CCC projections data'!$F$2:$BN$271))</f>
        <v>33579.419175851377</v>
      </c>
      <c r="BP14" s="20" cm="1">
        <f t="array" ref="BP14">SUMPRODUCT(('Old CCC projections data'!$F$1:$BN$1=$B14)*('Old CCC projections data'!$A$2:$A$271=BP$2)*('Old CCC projections data'!$D$2:$D$271=BP$3)*('Old CCC projections data'!$F$2:$BN$271))</f>
        <v>32328.970359857944</v>
      </c>
      <c r="BQ14" s="20" cm="1">
        <f t="array" ref="BQ14">SUMPRODUCT(('Old CCC projections data'!$F$1:$BN$1=$B14)*('Old CCC projections data'!$A$2:$A$271=BQ$2)*('Old CCC projections data'!$D$2:$D$271=BQ$3)*('Old CCC projections data'!$F$2:$BN$271))</f>
        <v>31416.624160407278</v>
      </c>
      <c r="BR14" s="20" cm="1">
        <f t="array" ref="BR14">SUMPRODUCT(('Old CCC projections data'!$F$1:$BN$1=$B14)*('Old CCC projections data'!$A$2:$A$271=BR$2)*('Old CCC projections data'!$D$2:$D$271=BR$3)*('Old CCC projections data'!$F$2:$BN$271))</f>
        <v>30721.992075524104</v>
      </c>
      <c r="BS14" s="20" cm="1">
        <f t="array" ref="BS14">SUMPRODUCT(('Old CCC projections data'!$F$1:$BN$1=$B14)*('Old CCC projections data'!$A$2:$A$271=BS$2)*('Old CCC projections data'!$D$2:$D$271=BS$3)*('Old CCC projections data'!$F$2:$BN$271))</f>
        <v>30014.857328459417</v>
      </c>
      <c r="BT14" s="20" cm="1">
        <f t="array" ref="BT14">SUMPRODUCT(('Old CCC projections data'!$F$1:$BN$1=$B14)*('Old CCC projections data'!$A$2:$A$271=BT$2)*('Old CCC projections data'!$D$2:$D$271=BT$3)*('Old CCC projections data'!$F$2:$BN$271))</f>
        <v>34619.943758483038</v>
      </c>
      <c r="BU14" s="20" cm="1">
        <f t="array" ref="BU14">SUMPRODUCT(('Old CCC projections data'!$F$1:$BN$1=$B14)*('Old CCC projections data'!$A$2:$A$271=BU$2)*('Old CCC projections data'!$D$2:$D$271=BU$3)*('Old CCC projections data'!$F$2:$BN$271))</f>
        <v>33201.506367976821</v>
      </c>
      <c r="BV14" s="20" cm="1">
        <f t="array" ref="BV14">SUMPRODUCT(('Old CCC projections data'!$F$1:$BN$1=$B14)*('Old CCC projections data'!$A$2:$A$271=BV$2)*('Old CCC projections data'!$D$2:$D$271=BV$3)*('Old CCC projections data'!$F$2:$BN$271))</f>
        <v>36402.705262784162</v>
      </c>
      <c r="BW14" s="20" cm="1">
        <f t="array" ref="BW14">SUMPRODUCT(('Old CCC projections data'!$F$1:$BN$1=$B14)*('Old CCC projections data'!$A$2:$A$271=BW$2)*('Old CCC projections data'!$D$2:$D$271=BW$3)*('Old CCC projections data'!$F$2:$BN$271))</f>
        <v>30344.508059377771</v>
      </c>
      <c r="BX14" s="20" cm="1">
        <f t="array" ref="BX14">SUMPRODUCT(('Old CCC projections data'!$F$1:$BN$1=$B14)*('Old CCC projections data'!$A$2:$A$271=BX$2)*('Old CCC projections data'!$D$2:$D$271=BX$3)*('Old CCC projections data'!$F$2:$BN$271))</f>
        <v>29039.923118692088</v>
      </c>
      <c r="BY14" s="20" cm="1">
        <f t="array" ref="BY14">SUMPRODUCT(('Old CCC projections data'!$F$1:$BN$1=$B14)*('Old CCC projections data'!$A$2:$A$271=BY$2)*('Old CCC projections data'!$D$2:$D$271=BY$3)*('Old CCC projections data'!$F$2:$BN$271))</f>
        <v>27963.505838441753</v>
      </c>
      <c r="BZ14" s="20" cm="1">
        <f t="array" ref="BZ14">SUMPRODUCT(('Old CCC projections data'!$F$1:$BN$1=$B14)*('Old CCC projections data'!$A$2:$A$271=BZ$2)*('Old CCC projections data'!$D$2:$D$271=BZ$3)*('Old CCC projections data'!$F$2:$BN$271))</f>
        <v>27590.852643366823</v>
      </c>
      <c r="CA14" s="20" cm="1">
        <f t="array" ref="CA14">SUMPRODUCT(('Old CCC projections data'!$F$1:$BN$1=$B14)*('Old CCC projections data'!$A$2:$A$271=CA$2)*('Old CCC projections data'!$D$2:$D$271=CA$3)*('Old CCC projections data'!$F$2:$BN$271))</f>
        <v>27064.666098011978</v>
      </c>
      <c r="CB14" s="20" cm="1">
        <f t="array" ref="CB14">SUMPRODUCT(('Old CCC projections data'!$F$1:$BN$1=$B14)*('Old CCC projections data'!$A$2:$A$271=CB$2)*('Old CCC projections data'!$D$2:$D$271=CB$3)*('Old CCC projections data'!$F$2:$BN$271))</f>
        <v>31546.486060412099</v>
      </c>
      <c r="CC14" s="20" cm="1">
        <f t="array" ref="CC14">SUMPRODUCT(('Old CCC projections data'!$F$1:$BN$1=$B14)*('Old CCC projections data'!$A$2:$A$271=CC$2)*('Old CCC projections data'!$D$2:$D$271=CC$3)*('Old CCC projections data'!$F$2:$BN$271))</f>
        <v>31402.571677463588</v>
      </c>
      <c r="CD14" s="20" cm="1">
        <f t="array" ref="CD14">SUMPRODUCT(('Old CCC projections data'!$F$1:$BN$1=$B14)*('Old CCC projections data'!$A$2:$A$271=CD$2)*('Old CCC projections data'!$D$2:$D$271=CD$3)*('Old CCC projections data'!$F$2:$BN$271))</f>
        <v>30006.023359404695</v>
      </c>
      <c r="CE14" s="20" cm="1">
        <f t="array" ref="CE14">SUMPRODUCT(('Old CCC projections data'!$F$1:$BN$1=$B14)*('Old CCC projections data'!$A$2:$A$271=CE$2)*('Old CCC projections data'!$D$2:$D$271=CE$3)*('Old CCC projections data'!$F$2:$BN$271))</f>
        <v>33836.07316210858</v>
      </c>
      <c r="CF14" s="20" cm="1">
        <f t="array" ref="CF14">SUMPRODUCT(('Old CCC projections data'!$F$1:$BN$1=$B14)*('Old CCC projections data'!$A$2:$A$271=CF$2)*('Old CCC projections data'!$D$2:$D$271=CF$3)*('Old CCC projections data'!$F$2:$BN$271))</f>
        <v>33893.470778884657</v>
      </c>
      <c r="CG14" s="20" cm="1">
        <f t="array" ref="CG14">SUMPRODUCT(('Old CCC projections data'!$F$1:$BN$1=$B14)*('Old CCC projections data'!$A$2:$A$271=CG$2)*('Old CCC projections data'!$D$2:$D$271=CG$3)*('Old CCC projections data'!$F$2:$BN$271))</f>
        <v>32705.666174176473</v>
      </c>
      <c r="CH14" s="20" cm="1">
        <f t="array" ref="CH14">SUMPRODUCT(('Old CCC projections data'!$F$1:$BN$1=$B14)*('Old CCC projections data'!$A$2:$A$271=CH$2)*('Old CCC projections data'!$D$2:$D$271=CH$3)*('Old CCC projections data'!$F$2:$BN$271))</f>
        <v>31929.462981109889</v>
      </c>
      <c r="CI14" s="20" cm="1">
        <f t="array" ref="CI14">SUMPRODUCT(('Old CCC projections data'!$F$1:$BN$1=$B14)*('Old CCC projections data'!$A$2:$A$271=CI$2)*('Old CCC projections data'!$D$2:$D$271=CI$3)*('Old CCC projections data'!$F$2:$BN$271))</f>
        <v>31455.410239506706</v>
      </c>
      <c r="CJ14" s="20" cm="1">
        <f t="array" ref="CJ14">SUMPRODUCT(('Old CCC projections data'!$F$1:$BN$1=$B14)*('Old CCC projections data'!$A$2:$A$271=CJ$2)*('Old CCC projections data'!$D$2:$D$271=CJ$3)*('Old CCC projections data'!$F$2:$BN$271))</f>
        <v>31284.341511274932</v>
      </c>
      <c r="CK14" s="20" cm="1">
        <f t="array" ref="CK14">SUMPRODUCT(('Old CCC projections data'!$F$1:$BN$1=$B14)*('Old CCC projections data'!$A$2:$A$271=CK$2)*('Old CCC projections data'!$D$2:$D$271=CK$3)*('Old CCC projections data'!$F$2:$BN$271))</f>
        <v>30870.25330936538</v>
      </c>
      <c r="CL14" s="20" cm="1">
        <f t="array" ref="CL14">SUMPRODUCT(('Old CCC projections data'!$F$1:$BN$1=$B14)*('Old CCC projections data'!$A$2:$A$271=CL$2)*('Old CCC projections data'!$D$2:$D$271=CL$3)*('Old CCC projections data'!$F$2:$BN$271))</f>
        <v>34920.050922777205</v>
      </c>
      <c r="CM14" s="20" cm="1">
        <f t="array" ref="CM14">SUMPRODUCT(('Old CCC projections data'!$F$1:$BN$1=$B14)*('Old CCC projections data'!$A$2:$A$271=CM$2)*('Old CCC projections data'!$D$2:$D$271=CM$3)*('Old CCC projections data'!$F$2:$BN$271))</f>
        <v>33658.086317088957</v>
      </c>
      <c r="CN14" s="20" cm="1">
        <f t="array" ref="CN14">SUMPRODUCT(('Old CCC projections data'!$F$1:$BN$1=$B14)*('Old CCC projections data'!$A$2:$A$271=CN$2)*('Old CCC projections data'!$D$2:$D$271=CN$3)*('Old CCC projections data'!$F$2:$BN$271))</f>
        <v>36524.061031180092</v>
      </c>
      <c r="CO14" s="20" cm="1">
        <f t="array" ref="CO14">SUMPRODUCT(('Old CCC projections data'!$F$1:$BN$1=$B14)*('Old CCC projections data'!$A$2:$A$271=CO$2)*('Old CCC projections data'!$D$2:$D$271=CO$3)*('Old CCC projections data'!$F$2:$BN$271))</f>
        <v>29877.776357587143</v>
      </c>
      <c r="CP14" s="20" cm="1">
        <f t="array" ref="CP14">SUMPRODUCT(('Old CCC projections data'!$F$1:$BN$1=$B14)*('Old CCC projections data'!$A$2:$A$271=CP$2)*('Old CCC projections data'!$D$2:$D$271=CP$3)*('Old CCC projections data'!$F$2:$BN$271))</f>
        <v>28295.23434342592</v>
      </c>
      <c r="CQ14" s="20" cm="1">
        <f t="array" ref="CQ14">SUMPRODUCT(('Old CCC projections data'!$F$1:$BN$1=$B14)*('Old CCC projections data'!$A$2:$A$271=CQ$2)*('Old CCC projections data'!$D$2:$D$271=CQ$3)*('Old CCC projections data'!$F$2:$BN$271))</f>
        <v>27100.131808259906</v>
      </c>
      <c r="CR14" s="20" cm="1">
        <f t="array" ref="CR14">SUMPRODUCT(('Old CCC projections data'!$F$1:$BN$1=$B14)*('Old CCC projections data'!$A$2:$A$271=CR$2)*('Old CCC projections data'!$D$2:$D$271=CR$3)*('Old CCC projections data'!$F$2:$BN$271))</f>
        <v>26317.378405766587</v>
      </c>
      <c r="CS14" s="20" cm="1">
        <f t="array" ref="CS14">SUMPRODUCT(('Old CCC projections data'!$F$1:$BN$1=$B14)*('Old CCC projections data'!$A$2:$A$271=CS$2)*('Old CCC projections data'!$D$2:$D$271=CS$3)*('Old CCC projections data'!$F$2:$BN$271))</f>
        <v>25562.152942021476</v>
      </c>
      <c r="CT14" s="20" cm="1">
        <f t="array" ref="CT14">SUMPRODUCT(('Old CCC projections data'!$F$1:$BN$1=$B14)*('Old CCC projections data'!$A$2:$A$271=CT$2)*('Old CCC projections data'!$D$2:$D$271=CT$3)*('Old CCC projections data'!$F$2:$BN$271))</f>
        <v>31310.940460172573</v>
      </c>
      <c r="CU14" s="20" cm="1">
        <f t="array" ref="CU14">SUMPRODUCT(('Old CCC projections data'!$F$1:$BN$1=$B14)*('Old CCC projections data'!$A$2:$A$271=CU$2)*('Old CCC projections data'!$D$2:$D$271=CU$3)*('Old CCC projections data'!$F$2:$BN$271))</f>
        <v>31152.57397419777</v>
      </c>
      <c r="CV14" s="20" cm="1">
        <f t="array" ref="CV14">SUMPRODUCT(('Old CCC projections data'!$F$1:$BN$1=$B14)*('Old CCC projections data'!$A$2:$A$271=CV$2)*('Old CCC projections data'!$D$2:$D$271=CV$3)*('Old CCC projections data'!$F$2:$BN$271))</f>
        <v>29644.555485781213</v>
      </c>
      <c r="CW14" s="20" cm="1">
        <f t="array" ref="CW14">SUMPRODUCT(('Old CCC projections data'!$F$1:$BN$1=$B14)*('Old CCC projections data'!$A$2:$A$271=CW$2)*('Old CCC projections data'!$D$2:$D$271=CW$3)*('Old CCC projections data'!$F$2:$BN$271))</f>
        <v>33797.752223380834</v>
      </c>
      <c r="CX14" s="20">
        <f t="shared" si="19"/>
        <v>3537.2723785581584</v>
      </c>
      <c r="CY14" s="20" t="str">
        <f t="shared" si="29"/>
        <v>Demo path - C price $100 3%</v>
      </c>
      <c r="CZ14" s="3">
        <f t="shared" si="30"/>
        <v>2032</v>
      </c>
      <c r="DA14" s="18">
        <f t="shared" si="31"/>
        <v>0</v>
      </c>
      <c r="DB14" s="18">
        <f ca="1">(H17+IF($DB$3&gt;0,NPV($DB$2,H18:OFFSET(H17,$DB$3,0)),0))/($DB$3+1)</f>
        <v>154.89412650136649</v>
      </c>
      <c r="DC14" s="18">
        <f t="shared" ca="1" si="20"/>
        <v>54.894126501366486</v>
      </c>
      <c r="DD14" s="18">
        <f t="shared" si="32"/>
        <v>100</v>
      </c>
      <c r="DE14" s="126">
        <f>DE13-($DE$12-$DE$18)/6</f>
        <v>31317.445429787447</v>
      </c>
      <c r="DF14" s="20" cm="1">
        <f t="array" ref="DF14">SUMPRODUCT(($BG$2:$BM$2=CY14)*($B$5:$B$35=CZ14)*($BG$5:$BM$35))</f>
        <v>27743.067298302223</v>
      </c>
      <c r="DG14" s="20">
        <f t="shared" si="16"/>
        <v>3574.378131485224</v>
      </c>
      <c r="DH14" s="20" cm="1">
        <f t="array" ref="DH14">IF(CZ14=2023,SUMPRODUCT(($B$5:$B$35=CZ14-1)*($BN$5:$BN$35))-SUMPRODUCT(($BG$2:$BM$2=CY14)*($B$5:$B$35=CZ14-1)*($BG$5:$BM$35)),DG13)</f>
        <v>3612.2878821611339</v>
      </c>
      <c r="DI14" s="18">
        <f t="shared" ca="1" si="17"/>
        <v>154.89412650136649</v>
      </c>
      <c r="DJ14" s="89">
        <f t="shared" si="22"/>
        <v>8.1815464907622832</v>
      </c>
      <c r="DK14" s="89">
        <f t="shared" si="23"/>
        <v>8.1920966129558703</v>
      </c>
      <c r="DL14" s="89">
        <f t="shared" ca="1" si="24"/>
        <v>5.0427418287011188</v>
      </c>
      <c r="DM14" s="20">
        <f t="shared" ca="1" si="25"/>
        <v>1616.5987026480495</v>
      </c>
      <c r="DN14" s="20">
        <f t="shared" ca="1" si="26"/>
        <v>3706.2408693124016</v>
      </c>
      <c r="DO14" s="20">
        <f t="shared" ca="1" si="27"/>
        <v>2661.4197859802257</v>
      </c>
      <c r="DP14" s="113"/>
      <c r="DQ14" s="18"/>
      <c r="DT14" s="20"/>
      <c r="DU14" s="18"/>
      <c r="DV14" s="20"/>
    </row>
    <row r="15" spans="1:128" x14ac:dyDescent="0.25">
      <c r="A15">
        <v>-1</v>
      </c>
      <c r="B15">
        <f t="shared" si="28"/>
        <v>2030</v>
      </c>
      <c r="C15" s="190">
        <f>IF(C14*(1+A15*Model!$B$19*IF(Model!$B$28=0,1,((Model!$B$28-B15)/(Model!$B$28-$B$9))))&gt;Model!$B$44,C14*(1+A15*Model!$B$19*IF(Model!$B$28=0,1,((Model!$B$28-B15)/(Model!$B$28-$B$9)))),Model!$B$44)</f>
        <v>82.61228196388241</v>
      </c>
      <c r="D15" s="18" cm="1">
        <f t="array" ref="D15">SUMPRODUCT(('Old CCC projections data'!$F$1:$BN$1=$B15)*('Old CCC projections data'!$A$2:$A$271=D$2)*('Old CCC projections data'!$D$2:$D$271=D$3)*('Old CCC projections data'!$F$2:$BN$271))*Model!$B$47</f>
        <v>41.549707602339183</v>
      </c>
      <c r="E15" s="18" cm="1">
        <f t="array" ref="E15">SUMPRODUCT(('Old CCC projections data'!$F$1:$BN$1=$B15)*('Old CCC projections data'!$A$2:$A$271=E$2)*('Old CCC projections data'!$D$2:$D$271=E$3)*('Old CCC projections data'!$F$2:$BN$271))*Model!$B$47</f>
        <v>1.1871345029239767E-2</v>
      </c>
      <c r="F15" s="18"/>
      <c r="G15" s="18"/>
      <c r="H15" s="18" cm="1">
        <f t="array" ref="H15">SUMPRODUCT(('Old CCC projections data'!$F$1:$BN$1=$B15)*('Old CCC projections data'!$A$2:$A$271=H$2)*('Old CCC projections data'!$D$2:$D$271=H$3)*('Old CCC projections data'!$F$2:$BN$271))*Model!$B$47</f>
        <v>146.00256998903427</v>
      </c>
      <c r="I15" s="18" cm="1">
        <f t="array" ref="I15">SUMPRODUCT(('Old CCC projections data'!$F$1:$BN$1=$B15)*('Old CCC projections data'!$A$2:$A$271=I$2)*('Old CCC projections data'!$D$2:$D$271=I$3)*('Old CCC projections data'!$F$2:$BN$271))*Model!$B$47</f>
        <v>219.00385498355141</v>
      </c>
      <c r="J15" s="18" cm="1">
        <f t="array" ref="J15">SUMPRODUCT(('Old CCC projections data'!$F$1:$BN$1=$B15)*('Old CCC projections data'!$A$2:$A$271=J$2)*('Old CCC projections data'!$D$2:$D$271=J$3)*('Old CCC projections data'!$F$2:$BN$271))*Model!$B$47</f>
        <v>292.00513997806854</v>
      </c>
      <c r="K15" s="18" cm="1">
        <f t="array" ref="K15">SUMPRODUCT(('Old CCC projections data'!$F$1:$BN$1=$B15)*('Old CCC projections data'!$A$2:$A$271=K$2)*('Old CCC projections data'!$D$2:$D$271=K$3)*('Old CCC projections data'!$F$2:$BN$271))*Model!$B$47</f>
        <v>365.00642497258576</v>
      </c>
      <c r="L15" s="18" cm="1">
        <f t="array" ref="L15">SUMPRODUCT(('Old CCC projections data'!$F$1:$BN$1=$B15)*('Old CCC projections data'!$A$2:$A$271=L$2)*('Old CCC projections data'!$D$2:$D$271=L$3)*('Old CCC projections data'!$F$2:$BN$271))*Model!$B$47</f>
        <v>438.00770996710281</v>
      </c>
      <c r="M15" s="18" cm="1">
        <f t="array" ref="M15">SUMPRODUCT(('Old CCC projections data'!$F$1:$BN$1=$B15)*('Old CCC projections data'!$A$2:$A$271=M$2)*('Old CCC projections data'!$D$2:$D$271=M$3)*('Old CCC projections data'!$F$2:$BN$271))*Model!$B$47</f>
        <v>73.001284994517135</v>
      </c>
      <c r="N15" s="189" cm="1">
        <f t="array" ref="N15">SUMPRODUCT(('Old CCC projections data'!$F$1:$BN$1=$B15)*('Old CCC projections data'!$A$2:$A$271=N$2)*('Old CCC projections data'!$D$2:$D$271=N$3)*('Old CCC projections data'!$F$2:$BN$271))*Model!$B$47</f>
        <v>170.89477371903348</v>
      </c>
      <c r="O15" s="18" cm="1">
        <f t="array" ref="O15">SUMPRODUCT(('Old CCC projections data'!$F$1:$BN$1=$B15)*('Old CCC projections data'!$A$2:$A$271=O$2)*('Old CCC projections data'!$D$2:$D$271=O$3)*('Old CCC projections data'!$F$2:$BN$271))*Model!$B$47</f>
        <v>1.1871345029239767E-2</v>
      </c>
      <c r="P15" s="18" cm="1">
        <f t="array" ref="P15">SUMPRODUCT(('Old CCC projections data'!$F$1:$BN$1=$B15)*('Old CCC projections data'!$A$2:$A$271=P$2)*('Old CCC projections data'!$D$2:$D$271=P$3)*('Old CCC projections data'!$F$2:$BN$271))*Model!$B$47</f>
        <v>146.00256998903427</v>
      </c>
      <c r="Q15" s="18" cm="1">
        <f t="array" ref="Q15">SUMPRODUCT(('Old CCC projections data'!$F$1:$BN$1=$B15)*('Old CCC projections data'!$A$2:$A$271=Q$2)*('Old CCC projections data'!$D$2:$D$271=Q$3)*('Old CCC projections data'!$F$2:$BN$271))*Model!$B$47</f>
        <v>219.00385498355141</v>
      </c>
      <c r="R15" s="18" cm="1">
        <f t="array" ref="R15">SUMPRODUCT(('Old CCC projections data'!$F$1:$BN$1=$B15)*('Old CCC projections data'!$A$2:$A$271=R$2)*('Old CCC projections data'!$D$2:$D$271=R$3)*('Old CCC projections data'!$F$2:$BN$271))*Model!$B$47</f>
        <v>292.00513997806854</v>
      </c>
      <c r="S15" s="18" cm="1">
        <f t="array" ref="S15">SUMPRODUCT(('Old CCC projections data'!$F$1:$BN$1=$B15)*('Old CCC projections data'!$A$2:$A$271=S$2)*('Old CCC projections data'!$D$2:$D$271=S$3)*('Old CCC projections data'!$F$2:$BN$271))*Model!$B$47</f>
        <v>365.00642497258576</v>
      </c>
      <c r="T15" s="18" cm="1">
        <f t="array" ref="T15">SUMPRODUCT(('Old CCC projections data'!$F$1:$BN$1=$B15)*('Old CCC projections data'!$A$2:$A$271=T$2)*('Old CCC projections data'!$D$2:$D$271=T$3)*('Old CCC projections data'!$F$2:$BN$271))*Model!$B$47</f>
        <v>438.00770996710281</v>
      </c>
      <c r="U15" s="18" cm="1">
        <f t="array" ref="U15">SUMPRODUCT(('Old CCC projections data'!$F$1:$BN$1=$B15)*('Old CCC projections data'!$A$2:$A$271=U$2)*('Old CCC projections data'!$D$2:$D$271=U$3)*('Old CCC projections data'!$F$2:$BN$271))*Model!$B$47</f>
        <v>73.001284994517135</v>
      </c>
      <c r="V15" s="18" cm="1">
        <f t="array" ref="V15">SUMPRODUCT(('Old CCC projections data'!$F$1:$BN$1=$B15)*('Old CCC projections data'!$A$2:$A$271=V$2)*('Old CCC projections data'!$D$2:$D$271=V$3)*('Old CCC projections data'!$F$2:$BN$271))*Model!$B$47</f>
        <v>170.89477371903348</v>
      </c>
      <c r="W15" s="18" cm="1">
        <f t="array" ref="W15">SUMPRODUCT(('Old CCC projections data'!$F$1:$BN$1=$B15)*('Old CCC projections data'!$A$2:$A$271=W$2)*('Old CCC projections data'!$D$2:$D$271=W$3)*('Old CCC projections data'!$F$2:$BN$271))*Model!$B$47</f>
        <v>1.1871345029239767E-2</v>
      </c>
      <c r="X15" s="18" cm="1">
        <f t="array" ref="X15">SUMPRODUCT(('Old CCC projections data'!$F$1:$BN$1=$B15)*('Old CCC projections data'!$A$2:$A$271=X$2)*('Old CCC projections data'!$D$2:$D$271=X$3)*('Old CCC projections data'!$F$2:$BN$271))*Model!$B$47</f>
        <v>146.00256998903427</v>
      </c>
      <c r="Y15" s="18" cm="1">
        <f t="array" ref="Y15">SUMPRODUCT(('Old CCC projections data'!$F$1:$BN$1=$B15)*('Old CCC projections data'!$A$2:$A$271=Y$2)*('Old CCC projections data'!$D$2:$D$271=Y$3)*('Old CCC projections data'!$F$2:$BN$271))*Model!$B$47</f>
        <v>219.00385498355141</v>
      </c>
      <c r="Z15" s="18" cm="1">
        <f t="array" ref="Z15">SUMPRODUCT(('Old CCC projections data'!$F$1:$BN$1=$B15)*('Old CCC projections data'!$A$2:$A$271=Z$2)*('Old CCC projections data'!$D$2:$D$271=Z$3)*('Old CCC projections data'!$F$2:$BN$271))*Model!$B$47</f>
        <v>292.00513997806854</v>
      </c>
      <c r="AA15" s="18" cm="1">
        <f t="array" ref="AA15">SUMPRODUCT(('Old CCC projections data'!$F$1:$BN$1=$B15)*('Old CCC projections data'!$A$2:$A$271=AA$2)*('Old CCC projections data'!$D$2:$D$271=AA$3)*('Old CCC projections data'!$F$2:$BN$271))*Model!$B$47</f>
        <v>365.00642497258576</v>
      </c>
      <c r="AB15" s="18" cm="1">
        <f t="array" ref="AB15">SUMPRODUCT(('Old CCC projections data'!$F$1:$BN$1=$B15)*('Old CCC projections data'!$A$2:$A$271=AB$2)*('Old CCC projections data'!$D$2:$D$271=AB$3)*('Old CCC projections data'!$F$2:$BN$271))*Model!$B$47</f>
        <v>438.00770996710281</v>
      </c>
      <c r="AC15" s="18" cm="1">
        <f t="array" ref="AC15">SUMPRODUCT(('Old CCC projections data'!$F$1:$BN$1=$B15)*('Old CCC projections data'!$A$2:$A$271=AC$2)*('Old CCC projections data'!$D$2:$D$271=AC$3)*('Old CCC projections data'!$F$2:$BN$271))*Model!$B$47</f>
        <v>73.001284994517135</v>
      </c>
      <c r="AD15" s="18" cm="1">
        <f t="array" ref="AD15">SUMPRODUCT(('Old CCC projections data'!$F$1:$BN$1=$B15)*('Old CCC projections data'!$A$2:$A$271=AD$2)*('Old CCC projections data'!$D$2:$D$271=AD$3)*('Old CCC projections data'!$F$2:$BN$271))*Model!$B$47</f>
        <v>80.301413493968852</v>
      </c>
      <c r="AE15" s="18" cm="1">
        <f t="array" ref="AE15">SUMPRODUCT(('Old CCC projections data'!$F$1:$BN$1=$B15)*('Old CCC projections data'!$A$2:$A$271=AE$2)*('Old CCC projections data'!$D$2:$D$271=AE$3)*('Old CCC projections data'!$F$2:$BN$271))*Model!$B$47</f>
        <v>170.89477371903348</v>
      </c>
      <c r="AF15" s="18" cm="1">
        <f t="array" ref="AF15">SUMPRODUCT(('Old CCC projections data'!$F$1:$BN$1=$B15)*('Old CCC projections data'!$A$2:$A$271=AF$2)*('Old CCC projections data'!$D$2:$D$271=AF$3)*('Old CCC projections data'!$F$2:$BN$271))*Model!$B$47</f>
        <v>1.1871345029239767E-2</v>
      </c>
      <c r="AG15" s="18" cm="1">
        <f t="array" ref="AG15">SUMPRODUCT(('Old CCC projections data'!$F$1:$BN$1=$B15)*('Old CCC projections data'!$A$2:$A$271=AG$2)*('Old CCC projections data'!$D$2:$D$271=AG$3)*('Old CCC projections data'!$F$2:$BN$271))*Model!$B$47</f>
        <v>146.00256998903427</v>
      </c>
      <c r="AH15" s="18" cm="1">
        <f t="array" ref="AH15">SUMPRODUCT(('Old CCC projections data'!$F$1:$BN$1=$B15)*('Old CCC projections data'!$A$2:$A$271=AH$2)*('Old CCC projections data'!$D$2:$D$271=AH$3)*('Old CCC projections data'!$F$2:$BN$271))*Model!$B$47</f>
        <v>219.00385498355141</v>
      </c>
      <c r="AI15" s="18" cm="1">
        <f t="array" ref="AI15">SUMPRODUCT(('Old CCC projections data'!$F$1:$BN$1=$B15)*('Old CCC projections data'!$A$2:$A$271=AI$2)*('Old CCC projections data'!$D$2:$D$271=AI$3)*('Old CCC projections data'!$F$2:$BN$271))*Model!$B$47</f>
        <v>292.00513997806854</v>
      </c>
      <c r="AJ15" s="18" cm="1">
        <f t="array" ref="AJ15">SUMPRODUCT(('Old CCC projections data'!$F$1:$BN$1=$B15)*('Old CCC projections data'!$A$2:$A$271=AJ$2)*('Old CCC projections data'!$D$2:$D$271=AJ$3)*('Old CCC projections data'!$F$2:$BN$271))*Model!$B$47</f>
        <v>365.00642497258576</v>
      </c>
      <c r="AK15" s="18" cm="1">
        <f t="array" ref="AK15">SUMPRODUCT(('Old CCC projections data'!$F$1:$BN$1=$B15)*('Old CCC projections data'!$A$2:$A$271=AK$2)*('Old CCC projections data'!$D$2:$D$271=AK$3)*('Old CCC projections data'!$F$2:$BN$271))*Model!$B$47</f>
        <v>394.20693897039257</v>
      </c>
      <c r="AL15" s="18" cm="1">
        <f t="array" ref="AL15">SUMPRODUCT(('Old CCC projections data'!$F$1:$BN$1=$B15)*('Old CCC projections data'!$A$2:$A$271=AL$2)*('Old CCC projections data'!$D$2:$D$271=AL$3)*('Old CCC projections data'!$F$2:$BN$271))*Model!$B$47</f>
        <v>438.00770996710281</v>
      </c>
      <c r="AM15" s="18" cm="1">
        <f t="array" ref="AM15">SUMPRODUCT(('Old CCC projections data'!$F$1:$BN$1=$B15)*('Old CCC projections data'!$A$2:$A$271=AM$2)*('Old CCC projections data'!$D$2:$D$271=AM$3)*('Old CCC projections data'!$F$2:$BN$271))*Model!$B$47</f>
        <v>73.001284994517135</v>
      </c>
      <c r="AN15" s="18" cm="1">
        <f t="array" ref="AN15">SUMPRODUCT(('Old CCC projections data'!$F$1:$BN$1=$B15)*('Old CCC projections data'!$A$2:$A$271=AN$2)*('Old CCC projections data'!$D$2:$D$271=AN$3)*('Old CCC projections data'!$F$2:$BN$271))*Model!$B$47</f>
        <v>170.89477371903348</v>
      </c>
      <c r="AO15" s="18" cm="1">
        <f t="array" ref="AO15">SUMPRODUCT(('Old CCC projections data'!$F$1:$BN$1=$B15)*('Old CCC projections data'!$A$2:$A$271=AO$2)*('Old CCC projections data'!$D$2:$D$271=AO$3)*('Old CCC projections data'!$F$2:$BN$271))*Model!$B$47</f>
        <v>1.1871345029239767E-2</v>
      </c>
      <c r="AP15" s="18" cm="1">
        <f t="array" ref="AP15">SUMPRODUCT(('Old CCC projections data'!$F$1:$BN$1=$B15)*('Old CCC projections data'!$A$2:$A$271=AP$2)*('Old CCC projections data'!$D$2:$D$271=AP$3)*('Old CCC projections data'!$F$2:$BN$271))*Model!$B$47</f>
        <v>146.00256998903427</v>
      </c>
      <c r="AQ15" s="18" cm="1">
        <f t="array" ref="AQ15">SUMPRODUCT(('Old CCC projections data'!$F$1:$BN$1=$B15)*('Old CCC projections data'!$A$2:$A$271=AQ$2)*('Old CCC projections data'!$D$2:$D$271=AQ$3)*('Old CCC projections data'!$F$2:$BN$271))*Model!$B$47</f>
        <v>219.00385498355141</v>
      </c>
      <c r="AR15" s="18" cm="1">
        <f t="array" ref="AR15">SUMPRODUCT(('Old CCC projections data'!$F$1:$BN$1=$B15)*('Old CCC projections data'!$A$2:$A$271=AR$2)*('Old CCC projections data'!$D$2:$D$271=AR$3)*('Old CCC projections data'!$F$2:$BN$271))*Model!$B$47</f>
        <v>292.00513997806854</v>
      </c>
      <c r="AS15" s="18" cm="1">
        <f t="array" ref="AS15">SUMPRODUCT(('Old CCC projections data'!$F$1:$BN$1=$B15)*('Old CCC projections data'!$A$2:$A$271=AS$2)*('Old CCC projections data'!$D$2:$D$271=AS$3)*('Old CCC projections data'!$F$2:$BN$271))*Model!$B$47</f>
        <v>365.00642497258576</v>
      </c>
      <c r="AT15" s="18" cm="1">
        <f t="array" ref="AT15">SUMPRODUCT(('Old CCC projections data'!$F$1:$BN$1=$B15)*('Old CCC projections data'!$A$2:$A$271=AT$2)*('Old CCC projections data'!$D$2:$D$271=AT$3)*('Old CCC projections data'!$F$2:$BN$271))*Model!$B$47</f>
        <v>438.00770996710281</v>
      </c>
      <c r="AU15" s="18" cm="1">
        <f t="array" ref="AU15">SUMPRODUCT(('Old CCC projections data'!$F$1:$BN$1=$B15)*('Old CCC projections data'!$A$2:$A$271=AU$2)*('Old CCC projections data'!$D$2:$D$271=AU$3)*('Old CCC projections data'!$F$2:$BN$271))*Model!$B$47</f>
        <v>73.001284994517135</v>
      </c>
      <c r="AV15" s="18" cm="1">
        <f t="array" ref="AV15">SUMPRODUCT(('Old CCC projections data'!$F$1:$BN$1=$B15)*('Old CCC projections data'!$A$2:$A$271=AV$2)*('Old CCC projections data'!$D$2:$D$271=AV$3)*('Old CCC projections data'!$F$2:$BN$271))*Model!$B$47</f>
        <v>80.301413493968852</v>
      </c>
      <c r="AW15" s="18" cm="1">
        <f t="array" ref="AW15">SUMPRODUCT(('Old CCC projections data'!$F$1:$BN$1=$B15)*('Old CCC projections data'!$A$2:$A$271=AW$2)*('Old CCC projections data'!$D$2:$D$271=AW$3)*('Old CCC projections data'!$F$2:$BN$271))*Model!$B$47</f>
        <v>170.89477371903348</v>
      </c>
      <c r="AX15" s="18" cm="1">
        <f t="array" ref="AX15">SUMPRODUCT(('Old CCC projections data'!$F$1:$BN$1=$B15)*('Old CCC projections data'!$A$2:$A$271=AX$2)*('Old CCC projections data'!$D$2:$D$271=AX$3)*('Old CCC projections data'!$F$2:$BN$271))*Model!$B$47</f>
        <v>1.1871345029239767E-2</v>
      </c>
      <c r="AY15" s="18">
        <v>68.428571428571431</v>
      </c>
      <c r="AZ15" s="18">
        <v>46.66666666666665</v>
      </c>
      <c r="BA15" s="18">
        <v>70</v>
      </c>
      <c r="BB15" s="18"/>
      <c r="BC15" s="20" cm="1">
        <f t="array" ref="BC15">SUMPRODUCT(('Old CCC projections data'!$F$1:$BN$1=$B15)*('Old CCC projections data'!$A$2:$A$271=BC$2)*('Old CCC projections data'!$D$2:$D$271=BC$3)*('Old CCC projections data'!$F$2:$BN$271))</f>
        <v>35786.405654674054</v>
      </c>
      <c r="BD15" s="20" cm="1">
        <f t="array" ref="BD15">SUMPRODUCT(('Old CCC projections data'!$F$1:$BN$1=$B15)*('Old CCC projections data'!$A$2:$A$271=BD$2)*('Old CCC projections data'!$D$2:$D$271=BD$3)*('Old CCC projections data'!$F$2:$BN$271))</f>
        <v>37152.1385402913</v>
      </c>
      <c r="BE15" s="20"/>
      <c r="BF15" s="20"/>
      <c r="BG15" s="20" cm="1">
        <f t="array" ref="BG15">SUMPRODUCT(('Old CCC projections data'!$F$1:$BN$1=$B15)*('Old CCC projections data'!$A$2:$A$271=BG$2)*('Old CCC projections data'!$D$2:$D$271=BG$3)*('Old CCC projections data'!$F$2:$BN$271))</f>
        <v>30060.14276451862</v>
      </c>
      <c r="BH15" s="20" cm="1">
        <f t="array" ref="BH15">SUMPRODUCT(('Old CCC projections data'!$F$1:$BN$1=$B15)*('Old CCC projections data'!$A$2:$A$271=BH$2)*('Old CCC projections data'!$D$2:$D$271=BH$3)*('Old CCC projections data'!$F$2:$BN$271))</f>
        <v>28556.577765745133</v>
      </c>
      <c r="BI15" s="20" cm="1">
        <f t="array" ref="BI15">SUMPRODUCT(('Old CCC projections data'!$F$1:$BN$1=$B15)*('Old CCC projections data'!$A$2:$A$271=BI$2)*('Old CCC projections data'!$D$2:$D$271=BI$3)*('Old CCC projections data'!$F$2:$BN$271))</f>
        <v>27381.215154339345</v>
      </c>
      <c r="BJ15" s="20" cm="1">
        <f t="array" ref="BJ15">SUMPRODUCT(('Old CCC projections data'!$F$1:$BN$1=$B15)*('Old CCC projections data'!$A$2:$A$271=BJ$2)*('Old CCC projections data'!$D$2:$D$271=BJ$3)*('Old CCC projections data'!$F$2:$BN$271))</f>
        <v>26625.248562315228</v>
      </c>
      <c r="BK15" s="20" cm="1">
        <f t="array" ref="BK15">SUMPRODUCT(('Old CCC projections data'!$F$1:$BN$1=$B15)*('Old CCC projections data'!$A$2:$A$271=BK$2)*('Old CCC projections data'!$D$2:$D$271=BK$3)*('Old CCC projections data'!$F$2:$BN$271))</f>
        <v>25638.262778598968</v>
      </c>
      <c r="BL15" s="20" cm="1">
        <f t="array" ref="BL15">SUMPRODUCT(('Old CCC projections data'!$F$1:$BN$1=$B15)*('Old CCC projections data'!$A$2:$A$271=BL$2)*('Old CCC projections data'!$D$2:$D$271=BL$3)*('Old CCC projections data'!$F$2:$BN$271))</f>
        <v>31477.01813418062</v>
      </c>
      <c r="BM15" s="20" cm="1">
        <f t="array" ref="BM15">SUMPRODUCT(('Old CCC projections data'!$F$1:$BN$1=$B15)*('Old CCC projections data'!$A$2:$A$271=BM$2)*('Old CCC projections data'!$D$2:$D$271=BM$3)*('Old CCC projections data'!$F$2:$BN$271))</f>
        <v>29686.989195497019</v>
      </c>
      <c r="BN15" s="20" cm="1">
        <f t="array" ref="BN15">SUMPRODUCT(('Old CCC projections data'!$F$1:$BN$1=$B15)*('Old CCC projections data'!$A$2:$A$271=BN$2)*('Old CCC projections data'!$D$2:$D$271=BN$3)*('Old CCC projections data'!$F$2:$BN$271))</f>
        <v>33772.256001092159</v>
      </c>
      <c r="BO15" s="20" cm="1">
        <f t="array" ref="BO15">SUMPRODUCT(('Old CCC projections data'!$F$1:$BN$1=$B15)*('Old CCC projections data'!$A$2:$A$271=BO$2)*('Old CCC projections data'!$D$2:$D$271=BO$3)*('Old CCC projections data'!$F$2:$BN$271))</f>
        <v>32078.204866499022</v>
      </c>
      <c r="BP15" s="20" cm="1">
        <f t="array" ref="BP15">SUMPRODUCT(('Old CCC projections data'!$F$1:$BN$1=$B15)*('Old CCC projections data'!$A$2:$A$271=BP$2)*('Old CCC projections data'!$D$2:$D$271=BP$3)*('Old CCC projections data'!$F$2:$BN$271))</f>
        <v>30639.099942171859</v>
      </c>
      <c r="BQ15" s="20" cm="1">
        <f t="array" ref="BQ15">SUMPRODUCT(('Old CCC projections data'!$F$1:$BN$1=$B15)*('Old CCC projections data'!$A$2:$A$271=BQ$2)*('Old CCC projections data'!$D$2:$D$271=BQ$3)*('Old CCC projections data'!$F$2:$BN$271))</f>
        <v>29571.959186779146</v>
      </c>
      <c r="BR15" s="20" cm="1">
        <f t="array" ref="BR15">SUMPRODUCT(('Old CCC projections data'!$F$1:$BN$1=$B15)*('Old CCC projections data'!$A$2:$A$271=BR$2)*('Old CCC projections data'!$D$2:$D$271=BR$3)*('Old CCC projections data'!$F$2:$BN$271))</f>
        <v>28721.948691107071</v>
      </c>
      <c r="BS15" s="20" cm="1">
        <f t="array" ref="BS15">SUMPRODUCT(('Old CCC projections data'!$F$1:$BN$1=$B15)*('Old CCC projections data'!$A$2:$A$271=BS$2)*('Old CCC projections data'!$D$2:$D$271=BS$3)*('Old CCC projections data'!$F$2:$BN$271))</f>
        <v>27752.072750349718</v>
      </c>
      <c r="BT15" s="20" cm="1">
        <f t="array" ref="BT15">SUMPRODUCT(('Old CCC projections data'!$F$1:$BN$1=$B15)*('Old CCC projections data'!$A$2:$A$271=BT$2)*('Old CCC projections data'!$D$2:$D$271=BT$3)*('Old CCC projections data'!$F$2:$BN$271))</f>
        <v>33137.59171991123</v>
      </c>
      <c r="BU15" s="20" cm="1">
        <f t="array" ref="BU15">SUMPRODUCT(('Old CCC projections data'!$F$1:$BN$1=$B15)*('Old CCC projections data'!$A$2:$A$271=BU$2)*('Old CCC projections data'!$D$2:$D$271=BU$3)*('Old CCC projections data'!$F$2:$BN$271))</f>
        <v>31519.159658923447</v>
      </c>
      <c r="BV15" s="20" cm="1">
        <f t="array" ref="BV15">SUMPRODUCT(('Old CCC projections data'!$F$1:$BN$1=$B15)*('Old CCC projections data'!$A$2:$A$271=BV$2)*('Old CCC projections data'!$D$2:$D$271=BV$3)*('Old CCC projections data'!$F$2:$BN$271))</f>
        <v>35216.090573239926</v>
      </c>
      <c r="BW15" s="20" cm="1">
        <f t="array" ref="BW15">SUMPRODUCT(('Old CCC projections data'!$F$1:$BN$1=$B15)*('Old CCC projections data'!$A$2:$A$271=BW$2)*('Old CCC projections data'!$D$2:$D$271=BW$3)*('Old CCC projections data'!$F$2:$BN$271))</f>
        <v>28364.579205251786</v>
      </c>
      <c r="BX15" s="20" cm="1">
        <f t="array" ref="BX15">SUMPRODUCT(('Old CCC projections data'!$F$1:$BN$1=$B15)*('Old CCC projections data'!$A$2:$A$271=BX$2)*('Old CCC projections data'!$D$2:$D$271=BX$3)*('Old CCC projections data'!$F$2:$BN$271))</f>
        <v>26897.752284528455</v>
      </c>
      <c r="BY15" s="20" cm="1">
        <f t="array" ref="BY15">SUMPRODUCT(('Old CCC projections data'!$F$1:$BN$1=$B15)*('Old CCC projections data'!$A$2:$A$271=BY$2)*('Old CCC projections data'!$D$2:$D$271=BY$3)*('Old CCC projections data'!$F$2:$BN$271))</f>
        <v>25794.332390012245</v>
      </c>
      <c r="BZ15" s="20" cm="1">
        <f t="array" ref="BZ15">SUMPRODUCT(('Old CCC projections data'!$F$1:$BN$1=$B15)*('Old CCC projections data'!$A$2:$A$271=BZ$2)*('Old CCC projections data'!$D$2:$D$271=BZ$3)*('Old CCC projections data'!$F$2:$BN$271))</f>
        <v>25290.444075541644</v>
      </c>
      <c r="CA15" s="20" cm="1">
        <f t="array" ref="CA15">SUMPRODUCT(('Old CCC projections data'!$F$1:$BN$1=$B15)*('Old CCC projections data'!$A$2:$A$271=CA$2)*('Old CCC projections data'!$D$2:$D$271=CA$3)*('Old CCC projections data'!$F$2:$BN$271))</f>
        <v>24628.547568832291</v>
      </c>
      <c r="CB15" s="20" cm="1">
        <f t="array" ref="CB15">SUMPRODUCT(('Old CCC projections data'!$F$1:$BN$1=$B15)*('Old CCC projections data'!$A$2:$A$271=CB$2)*('Old CCC projections data'!$D$2:$D$271=CB$3)*('Old CCC projections data'!$F$2:$BN$271))</f>
        <v>29688.756784852412</v>
      </c>
      <c r="CC15" s="20" cm="1">
        <f t="array" ref="CC15">SUMPRODUCT(('Old CCC projections data'!$F$1:$BN$1=$B15)*('Old CCC projections data'!$A$2:$A$271=CC$2)*('Old CCC projections data'!$D$2:$D$271=CC$3)*('Old CCC projections data'!$F$2:$BN$271))</f>
        <v>29534.992710358289</v>
      </c>
      <c r="CD15" s="20" cm="1">
        <f t="array" ref="CD15">SUMPRODUCT(('Old CCC projections data'!$F$1:$BN$1=$B15)*('Old CCC projections data'!$A$2:$A$271=CD$2)*('Old CCC projections data'!$D$2:$D$271=CD$3)*('Old CCC projections data'!$F$2:$BN$271))</f>
        <v>27925.305516472057</v>
      </c>
      <c r="CE15" s="20" cm="1">
        <f t="array" ref="CE15">SUMPRODUCT(('Old CCC projections data'!$F$1:$BN$1=$B15)*('Old CCC projections data'!$A$2:$A$271=CE$2)*('Old CCC projections data'!$D$2:$D$271=CE$3)*('Old CCC projections data'!$F$2:$BN$271))</f>
        <v>32283.65502096148</v>
      </c>
      <c r="CF15" s="20" cm="1">
        <f t="array" ref="CF15">SUMPRODUCT(('Old CCC projections data'!$F$1:$BN$1=$B15)*('Old CCC projections data'!$A$2:$A$271=CF$2)*('Old CCC projections data'!$D$2:$D$271=CF$3)*('Old CCC projections data'!$F$2:$BN$271))</f>
        <v>32515.235353757722</v>
      </c>
      <c r="CG15" s="20" cm="1">
        <f t="array" ref="CG15">SUMPRODUCT(('Old CCC projections data'!$F$1:$BN$1=$B15)*('Old CCC projections data'!$A$2:$A$271=CG$2)*('Old CCC projections data'!$D$2:$D$271=CG$3)*('Old CCC projections data'!$F$2:$BN$271))</f>
        <v>31212.275939337051</v>
      </c>
      <c r="CH15" s="20" cm="1">
        <f t="array" ref="CH15">SUMPRODUCT(('Old CCC projections data'!$F$1:$BN$1=$B15)*('Old CCC projections data'!$A$2:$A$271=CH$2)*('Old CCC projections data'!$D$2:$D$271=CH$3)*('Old CCC projections data'!$F$2:$BN$271))</f>
        <v>30282.106617959496</v>
      </c>
      <c r="CI15" s="20" cm="1">
        <f t="array" ref="CI15">SUMPRODUCT(('Old CCC projections data'!$F$1:$BN$1=$B15)*('Old CCC projections data'!$A$2:$A$271=CI$2)*('Old CCC projections data'!$D$2:$D$271=CI$3)*('Old CCC projections data'!$F$2:$BN$271))</f>
        <v>29718.925905988297</v>
      </c>
      <c r="CJ15" s="20" cm="1">
        <f t="array" ref="CJ15">SUMPRODUCT(('Old CCC projections data'!$F$1:$BN$1=$B15)*('Old CCC projections data'!$A$2:$A$271=CJ$2)*('Old CCC projections data'!$D$2:$D$271=CJ$3)*('Old CCC projections data'!$F$2:$BN$271))</f>
        <v>29469.817732824777</v>
      </c>
      <c r="CK15" s="20" cm="1">
        <f t="array" ref="CK15">SUMPRODUCT(('Old CCC projections data'!$F$1:$BN$1=$B15)*('Old CCC projections data'!$A$2:$A$271=CK$2)*('Old CCC projections data'!$D$2:$D$271=CK$3)*('Old CCC projections data'!$F$2:$BN$271))</f>
        <v>28946.163744415302</v>
      </c>
      <c r="CL15" s="20" cm="1">
        <f t="array" ref="CL15">SUMPRODUCT(('Old CCC projections data'!$F$1:$BN$1=$B15)*('Old CCC projections data'!$A$2:$A$271=CL$2)*('Old CCC projections data'!$D$2:$D$271=CL$3)*('Old CCC projections data'!$F$2:$BN$271))</f>
        <v>33624.023505860489</v>
      </c>
      <c r="CM15" s="20" cm="1">
        <f t="array" ref="CM15">SUMPRODUCT(('Old CCC projections data'!$F$1:$BN$1=$B15)*('Old CCC projections data'!$A$2:$A$271=CM$2)*('Old CCC projections data'!$D$2:$D$271=CM$3)*('Old CCC projections data'!$F$2:$BN$271))</f>
        <v>32176.308487696326</v>
      </c>
      <c r="CN15" s="20" cm="1">
        <f t="array" ref="CN15">SUMPRODUCT(('Old CCC projections data'!$F$1:$BN$1=$B15)*('Old CCC projections data'!$A$2:$A$271=CN$2)*('Old CCC projections data'!$D$2:$D$271=CN$3)*('Old CCC projections data'!$F$2:$BN$271))</f>
        <v>35439.516420730019</v>
      </c>
      <c r="CO15" s="20" cm="1">
        <f t="array" ref="CO15">SUMPRODUCT(('Old CCC projections data'!$F$1:$BN$1=$B15)*('Old CCC projections data'!$A$2:$A$271=CO$2)*('Old CCC projections data'!$D$2:$D$271=CO$3)*('Old CCC projections data'!$F$2:$BN$271))</f>
        <v>27813.907750589413</v>
      </c>
      <c r="CP15" s="20" cm="1">
        <f t="array" ref="CP15">SUMPRODUCT(('Old CCC projections data'!$F$1:$BN$1=$B15)*('Old CCC projections data'!$A$2:$A$271=CP$2)*('Old CCC projections data'!$D$2:$D$271=CP$3)*('Old CCC projections data'!$F$2:$BN$271))</f>
        <v>26070.700513615335</v>
      </c>
      <c r="CQ15" s="20" cm="1">
        <f t="array" ref="CQ15">SUMPRODUCT(('Old CCC projections data'!$F$1:$BN$1=$B15)*('Old CCC projections data'!$A$2:$A$271=CQ$2)*('Old CCC projections data'!$D$2:$D$271=CQ$3)*('Old CCC projections data'!$F$2:$BN$271))</f>
        <v>24645.946382199338</v>
      </c>
      <c r="CR15" s="20" cm="1">
        <f t="array" ref="CR15">SUMPRODUCT(('Old CCC projections data'!$F$1:$BN$1=$B15)*('Old CCC projections data'!$A$2:$A$271=CR$2)*('Old CCC projections data'!$D$2:$D$271=CR$3)*('Old CCC projections data'!$F$2:$BN$271))</f>
        <v>23824.592592451085</v>
      </c>
      <c r="CS15" s="20" cm="1">
        <f t="array" ref="CS15">SUMPRODUCT(('Old CCC projections data'!$F$1:$BN$1=$B15)*('Old CCC projections data'!$A$2:$A$271=CS$2)*('Old CCC projections data'!$D$2:$D$271=CS$3)*('Old CCC projections data'!$F$2:$BN$271))</f>
        <v>22881.734031376469</v>
      </c>
      <c r="CT15" s="20" cm="1">
        <f t="array" ref="CT15">SUMPRODUCT(('Old CCC projections data'!$F$1:$BN$1=$B15)*('Old CCC projections data'!$A$2:$A$271=CT$2)*('Old CCC projections data'!$D$2:$D$271=CT$3)*('Old CCC projections data'!$F$2:$BN$271))</f>
        <v>29386.333893522238</v>
      </c>
      <c r="CU15" s="20" cm="1">
        <f t="array" ref="CU15">SUMPRODUCT(('Old CCC projections data'!$F$1:$BN$1=$B15)*('Old CCC projections data'!$A$2:$A$271=CU$2)*('Old CCC projections data'!$D$2:$D$271=CU$3)*('Old CCC projections data'!$F$2:$BN$271))</f>
        <v>29221.234209104954</v>
      </c>
      <c r="CV15" s="20" cm="1">
        <f t="array" ref="CV15">SUMPRODUCT(('Old CCC projections data'!$F$1:$BN$1=$B15)*('Old CCC projections data'!$A$2:$A$271=CV$2)*('Old CCC projections data'!$D$2:$D$271=CV$3)*('Old CCC projections data'!$F$2:$BN$271))</f>
        <v>27442.675119665244</v>
      </c>
      <c r="CW15" s="20" cm="1">
        <f t="array" ref="CW15">SUMPRODUCT(('Old CCC projections data'!$F$1:$BN$1=$B15)*('Old CCC projections data'!$A$2:$A$271=CW$2)*('Old CCC projections data'!$D$2:$D$271=CW$3)*('Old CCC projections data'!$F$2:$BN$271))</f>
        <v>32251.569137390074</v>
      </c>
      <c r="CX15" s="20">
        <f t="shared" si="19"/>
        <v>4085.2668055951399</v>
      </c>
      <c r="CY15" s="20" t="str">
        <f t="shared" si="29"/>
        <v>Demo path - C price $100 3%</v>
      </c>
      <c r="CZ15" s="3">
        <f t="shared" si="30"/>
        <v>2033</v>
      </c>
      <c r="DA15" s="18">
        <f t="shared" si="31"/>
        <v>0</v>
      </c>
      <c r="DB15" s="18">
        <f ca="1">(H18+IF($DB$3&gt;0,NPV($DB$2,H19:OFFSET(H18,$DB$3,0)),0))/($DB$3+1)</f>
        <v>159.54095029640749</v>
      </c>
      <c r="DC15" s="18">
        <f t="shared" ca="1" si="20"/>
        <v>59.540950296407487</v>
      </c>
      <c r="DD15" s="18">
        <f t="shared" si="32"/>
        <v>100</v>
      </c>
      <c r="DE15" s="126">
        <f>DE14-($DE$12-$DE$18)/6</f>
        <v>30090.040144135091</v>
      </c>
      <c r="DF15" s="20" cm="1">
        <f t="array" ref="DF15">SUMPRODUCT(($BG$2:$BM$2=CY15)*($B$5:$B$35=CZ15)*($BG$5:$BM$35))</f>
        <v>26606.233838252152</v>
      </c>
      <c r="DG15" s="20">
        <f t="shared" si="16"/>
        <v>3483.8063058829393</v>
      </c>
      <c r="DH15" s="20" cm="1">
        <f t="array" ref="DH15">IF(CZ15=2023,SUMPRODUCT(($B$5:$B$35=CZ15-1)*($BN$5:$BN$35))-SUMPRODUCT(($BG$2:$BM$2=CY15)*($B$5:$B$35=CZ15-1)*($BG$5:$BM$35)),DG14)</f>
        <v>3574.378131485224</v>
      </c>
      <c r="DI15" s="18">
        <f t="shared" ca="1" si="17"/>
        <v>159.54095029640749</v>
      </c>
      <c r="DJ15" s="89">
        <f t="shared" si="22"/>
        <v>8.1558807411005496</v>
      </c>
      <c r="DK15" s="89">
        <f t="shared" si="23"/>
        <v>8.1815464907622832</v>
      </c>
      <c r="DL15" s="89">
        <f t="shared" ca="1" si="24"/>
        <v>5.0723006309426628</v>
      </c>
      <c r="DM15" s="20">
        <f t="shared" ca="1" si="25"/>
        <v>1750.1154054998171</v>
      </c>
      <c r="DN15" s="20">
        <f t="shared" ca="1" si="26"/>
        <v>3816.3725412300173</v>
      </c>
      <c r="DO15" s="20">
        <f t="shared" ca="1" si="27"/>
        <v>2783.2439733649171</v>
      </c>
      <c r="DP15" s="113"/>
      <c r="DQ15" s="18"/>
      <c r="DT15" s="20"/>
      <c r="DU15" s="18"/>
      <c r="DV15" s="20"/>
    </row>
    <row r="16" spans="1:128" x14ac:dyDescent="0.25">
      <c r="A16">
        <v>0.5</v>
      </c>
      <c r="B16">
        <f t="shared" si="28"/>
        <v>2031</v>
      </c>
      <c r="C16" s="190">
        <f>IF(C15*(1+A16*Model!$B$19*IF(Model!$B$28=0,1,((Model!$B$28-B16)/(Model!$B$28-$B$9))))&gt;Model!$B$44,C15*(1+A16*Model!$B$19*IF(Model!$B$28=0,1,((Model!$B$28-B16)/(Model!$B$28-$B$9)))),Model!$B$44)</f>
        <v>80.588281055767297</v>
      </c>
      <c r="D16" s="18" cm="1">
        <f t="array" ref="D16">SUMPRODUCT(('Old CCC projections data'!$F$1:$BN$1=$B16)*('Old CCC projections data'!$A$2:$A$271=D$2)*('Old CCC projections data'!$D$2:$D$271=D$3)*('Old CCC projections data'!$F$2:$BN$271))*Model!$B$47</f>
        <v>41.549707602339183</v>
      </c>
      <c r="E16" s="18" cm="1">
        <f t="array" ref="E16">SUMPRODUCT(('Old CCC projections data'!$F$1:$BN$1=$B16)*('Old CCC projections data'!$A$2:$A$271=E$2)*('Old CCC projections data'!$D$2:$D$271=E$3)*('Old CCC projections data'!$F$2:$BN$271))*Model!$B$47</f>
        <v>1.1871345029239767E-2</v>
      </c>
      <c r="F16" s="18"/>
      <c r="G16" s="18"/>
      <c r="H16" s="18" cm="1">
        <f t="array" ref="H16">SUMPRODUCT(('Old CCC projections data'!$F$1:$BN$1=$B16)*('Old CCC projections data'!$A$2:$A$271=H$2)*('Old CCC projections data'!$D$2:$D$271=H$3)*('Old CCC projections data'!$F$2:$BN$271))*Model!$B$47</f>
        <v>150.38264708870531</v>
      </c>
      <c r="I16" s="18" cm="1">
        <f t="array" ref="I16">SUMPRODUCT(('Old CCC projections data'!$F$1:$BN$1=$B16)*('Old CCC projections data'!$A$2:$A$271=I$2)*('Old CCC projections data'!$D$2:$D$271=I$3)*('Old CCC projections data'!$F$2:$BN$271))*Model!$B$47</f>
        <v>225.57397063305794</v>
      </c>
      <c r="J16" s="18" cm="1">
        <f t="array" ref="J16">SUMPRODUCT(('Old CCC projections data'!$F$1:$BN$1=$B16)*('Old CCC projections data'!$A$2:$A$271=J$2)*('Old CCC projections data'!$D$2:$D$271=J$3)*('Old CCC projections data'!$F$2:$BN$271))*Model!$B$47</f>
        <v>300.76529417741062</v>
      </c>
      <c r="K16" s="18" cm="1">
        <f t="array" ref="K16">SUMPRODUCT(('Old CCC projections data'!$F$1:$BN$1=$B16)*('Old CCC projections data'!$A$2:$A$271=K$2)*('Old CCC projections data'!$D$2:$D$271=K$3)*('Old CCC projections data'!$F$2:$BN$271))*Model!$B$47</f>
        <v>375.95661772176334</v>
      </c>
      <c r="L16" s="18" cm="1">
        <f t="array" ref="L16">SUMPRODUCT(('Old CCC projections data'!$F$1:$BN$1=$B16)*('Old CCC projections data'!$A$2:$A$271=L$2)*('Old CCC projections data'!$D$2:$D$271=L$3)*('Old CCC projections data'!$F$2:$BN$271))*Model!$B$47</f>
        <v>451.14794126611588</v>
      </c>
      <c r="M16" s="18" cm="1">
        <f t="array" ref="M16">SUMPRODUCT(('Old CCC projections data'!$F$1:$BN$1=$B16)*('Old CCC projections data'!$A$2:$A$271=M$2)*('Old CCC projections data'!$D$2:$D$271=M$3)*('Old CCC projections data'!$F$2:$BN$271))*Model!$B$47</f>
        <v>75.191323544352656</v>
      </c>
      <c r="N16" s="189" cm="1">
        <f t="array" ref="N16">SUMPRODUCT(('Old CCC projections data'!$F$1:$BN$1=$B16)*('Old CCC projections data'!$A$2:$A$271=N$2)*('Old CCC projections data'!$D$2:$D$271=N$3)*('Old CCC projections data'!$F$2:$BN$271))*Model!$B$47</f>
        <v>176.02161693060449</v>
      </c>
      <c r="O16" s="18" cm="1">
        <f t="array" ref="O16">SUMPRODUCT(('Old CCC projections data'!$F$1:$BN$1=$B16)*('Old CCC projections data'!$A$2:$A$271=O$2)*('Old CCC projections data'!$D$2:$D$271=O$3)*('Old CCC projections data'!$F$2:$BN$271))*Model!$B$47</f>
        <v>1.1871345029239767E-2</v>
      </c>
      <c r="P16" s="18" cm="1">
        <f t="array" ref="P16">SUMPRODUCT(('Old CCC projections data'!$F$1:$BN$1=$B16)*('Old CCC projections data'!$A$2:$A$271=P$2)*('Old CCC projections data'!$D$2:$D$271=P$3)*('Old CCC projections data'!$F$2:$BN$271))*Model!$B$47</f>
        <v>150.38264708870531</v>
      </c>
      <c r="Q16" s="18" cm="1">
        <f t="array" ref="Q16">SUMPRODUCT(('Old CCC projections data'!$F$1:$BN$1=$B16)*('Old CCC projections data'!$A$2:$A$271=Q$2)*('Old CCC projections data'!$D$2:$D$271=Q$3)*('Old CCC projections data'!$F$2:$BN$271))*Model!$B$47</f>
        <v>225.57397063305794</v>
      </c>
      <c r="R16" s="18" cm="1">
        <f t="array" ref="R16">SUMPRODUCT(('Old CCC projections data'!$F$1:$BN$1=$B16)*('Old CCC projections data'!$A$2:$A$271=R$2)*('Old CCC projections data'!$D$2:$D$271=R$3)*('Old CCC projections data'!$F$2:$BN$271))*Model!$B$47</f>
        <v>300.76529417741062</v>
      </c>
      <c r="S16" s="18" cm="1">
        <f t="array" ref="S16">SUMPRODUCT(('Old CCC projections data'!$F$1:$BN$1=$B16)*('Old CCC projections data'!$A$2:$A$271=S$2)*('Old CCC projections data'!$D$2:$D$271=S$3)*('Old CCC projections data'!$F$2:$BN$271))*Model!$B$47</f>
        <v>375.95661772176334</v>
      </c>
      <c r="T16" s="18" cm="1">
        <f t="array" ref="T16">SUMPRODUCT(('Old CCC projections data'!$F$1:$BN$1=$B16)*('Old CCC projections data'!$A$2:$A$271=T$2)*('Old CCC projections data'!$D$2:$D$271=T$3)*('Old CCC projections data'!$F$2:$BN$271))*Model!$B$47</f>
        <v>451.14794126611588</v>
      </c>
      <c r="U16" s="18" cm="1">
        <f t="array" ref="U16">SUMPRODUCT(('Old CCC projections data'!$F$1:$BN$1=$B16)*('Old CCC projections data'!$A$2:$A$271=U$2)*('Old CCC projections data'!$D$2:$D$271=U$3)*('Old CCC projections data'!$F$2:$BN$271))*Model!$B$47</f>
        <v>75.191323544352656</v>
      </c>
      <c r="V16" s="18" cm="1">
        <f t="array" ref="V16">SUMPRODUCT(('Old CCC projections data'!$F$1:$BN$1=$B16)*('Old CCC projections data'!$A$2:$A$271=V$2)*('Old CCC projections data'!$D$2:$D$271=V$3)*('Old CCC projections data'!$F$2:$BN$271))*Model!$B$47</f>
        <v>176.02161693060449</v>
      </c>
      <c r="W16" s="18" cm="1">
        <f t="array" ref="W16">SUMPRODUCT(('Old CCC projections data'!$F$1:$BN$1=$B16)*('Old CCC projections data'!$A$2:$A$271=W$2)*('Old CCC projections data'!$D$2:$D$271=W$3)*('Old CCC projections data'!$F$2:$BN$271))*Model!$B$47</f>
        <v>1.1871345029239767E-2</v>
      </c>
      <c r="X16" s="18" cm="1">
        <f t="array" ref="X16">SUMPRODUCT(('Old CCC projections data'!$F$1:$BN$1=$B16)*('Old CCC projections data'!$A$2:$A$271=X$2)*('Old CCC projections data'!$D$2:$D$271=X$3)*('Old CCC projections data'!$F$2:$BN$271))*Model!$B$47</f>
        <v>150.38264708870531</v>
      </c>
      <c r="Y16" s="18" cm="1">
        <f t="array" ref="Y16">SUMPRODUCT(('Old CCC projections data'!$F$1:$BN$1=$B16)*('Old CCC projections data'!$A$2:$A$271=Y$2)*('Old CCC projections data'!$D$2:$D$271=Y$3)*('Old CCC projections data'!$F$2:$BN$271))*Model!$B$47</f>
        <v>225.57397063305794</v>
      </c>
      <c r="Z16" s="18" cm="1">
        <f t="array" ref="Z16">SUMPRODUCT(('Old CCC projections data'!$F$1:$BN$1=$B16)*('Old CCC projections data'!$A$2:$A$271=Z$2)*('Old CCC projections data'!$D$2:$D$271=Z$3)*('Old CCC projections data'!$F$2:$BN$271))*Model!$B$47</f>
        <v>300.76529417741062</v>
      </c>
      <c r="AA16" s="18" cm="1">
        <f t="array" ref="AA16">SUMPRODUCT(('Old CCC projections data'!$F$1:$BN$1=$B16)*('Old CCC projections data'!$A$2:$A$271=AA$2)*('Old CCC projections data'!$D$2:$D$271=AA$3)*('Old CCC projections data'!$F$2:$BN$271))*Model!$B$47</f>
        <v>375.95661772176334</v>
      </c>
      <c r="AB16" s="18" cm="1">
        <f t="array" ref="AB16">SUMPRODUCT(('Old CCC projections data'!$F$1:$BN$1=$B16)*('Old CCC projections data'!$A$2:$A$271=AB$2)*('Old CCC projections data'!$D$2:$D$271=AB$3)*('Old CCC projections data'!$F$2:$BN$271))*Model!$B$47</f>
        <v>451.14794126611588</v>
      </c>
      <c r="AC16" s="18" cm="1">
        <f t="array" ref="AC16">SUMPRODUCT(('Old CCC projections data'!$F$1:$BN$1=$B16)*('Old CCC projections data'!$A$2:$A$271=AC$2)*('Old CCC projections data'!$D$2:$D$271=AC$3)*('Old CCC projections data'!$F$2:$BN$271))*Model!$B$47</f>
        <v>75.191323544352656</v>
      </c>
      <c r="AD16" s="18" cm="1">
        <f t="array" ref="AD16">SUMPRODUCT(('Old CCC projections data'!$F$1:$BN$1=$B16)*('Old CCC projections data'!$A$2:$A$271=AD$2)*('Old CCC projections data'!$D$2:$D$271=AD$3)*('Old CCC projections data'!$F$2:$BN$271))*Model!$B$47</f>
        <v>82.710455898787913</v>
      </c>
      <c r="AE16" s="18" cm="1">
        <f t="array" ref="AE16">SUMPRODUCT(('Old CCC projections data'!$F$1:$BN$1=$B16)*('Old CCC projections data'!$A$2:$A$271=AE$2)*('Old CCC projections data'!$D$2:$D$271=AE$3)*('Old CCC projections data'!$F$2:$BN$271))*Model!$B$47</f>
        <v>176.02161693060449</v>
      </c>
      <c r="AF16" s="18" cm="1">
        <f t="array" ref="AF16">SUMPRODUCT(('Old CCC projections data'!$F$1:$BN$1=$B16)*('Old CCC projections data'!$A$2:$A$271=AF$2)*('Old CCC projections data'!$D$2:$D$271=AF$3)*('Old CCC projections data'!$F$2:$BN$271))*Model!$B$47</f>
        <v>1.1871345029239767E-2</v>
      </c>
      <c r="AG16" s="18" cm="1">
        <f t="array" ref="AG16">SUMPRODUCT(('Old CCC projections data'!$F$1:$BN$1=$B16)*('Old CCC projections data'!$A$2:$A$271=AG$2)*('Old CCC projections data'!$D$2:$D$271=AG$3)*('Old CCC projections data'!$F$2:$BN$271))*Model!$B$47</f>
        <v>150.38264708870531</v>
      </c>
      <c r="AH16" s="18" cm="1">
        <f t="array" ref="AH16">SUMPRODUCT(('Old CCC projections data'!$F$1:$BN$1=$B16)*('Old CCC projections data'!$A$2:$A$271=AH$2)*('Old CCC projections data'!$D$2:$D$271=AH$3)*('Old CCC projections data'!$F$2:$BN$271))*Model!$B$47</f>
        <v>225.57397063305794</v>
      </c>
      <c r="AI16" s="18" cm="1">
        <f t="array" ref="AI16">SUMPRODUCT(('Old CCC projections data'!$F$1:$BN$1=$B16)*('Old CCC projections data'!$A$2:$A$271=AI$2)*('Old CCC projections data'!$D$2:$D$271=AI$3)*('Old CCC projections data'!$F$2:$BN$271))*Model!$B$47</f>
        <v>300.76529417741062</v>
      </c>
      <c r="AJ16" s="18" cm="1">
        <f t="array" ref="AJ16">SUMPRODUCT(('Old CCC projections data'!$F$1:$BN$1=$B16)*('Old CCC projections data'!$A$2:$A$271=AJ$2)*('Old CCC projections data'!$D$2:$D$271=AJ$3)*('Old CCC projections data'!$F$2:$BN$271))*Model!$B$47</f>
        <v>375.95661772176334</v>
      </c>
      <c r="AK16" s="18" cm="1">
        <f t="array" ref="AK16">SUMPRODUCT(('Old CCC projections data'!$F$1:$BN$1=$B16)*('Old CCC projections data'!$A$2:$A$271=AK$2)*('Old CCC projections data'!$D$2:$D$271=AK$3)*('Old CCC projections data'!$F$2:$BN$271))*Model!$B$47</f>
        <v>406.03314713950436</v>
      </c>
      <c r="AL16" s="18" cm="1">
        <f t="array" ref="AL16">SUMPRODUCT(('Old CCC projections data'!$F$1:$BN$1=$B16)*('Old CCC projections data'!$A$2:$A$271=AL$2)*('Old CCC projections data'!$D$2:$D$271=AL$3)*('Old CCC projections data'!$F$2:$BN$271))*Model!$B$47</f>
        <v>451.14794126611588</v>
      </c>
      <c r="AM16" s="18" cm="1">
        <f t="array" ref="AM16">SUMPRODUCT(('Old CCC projections data'!$F$1:$BN$1=$B16)*('Old CCC projections data'!$A$2:$A$271=AM$2)*('Old CCC projections data'!$D$2:$D$271=AM$3)*('Old CCC projections data'!$F$2:$BN$271))*Model!$B$47</f>
        <v>75.191323544352656</v>
      </c>
      <c r="AN16" s="18" cm="1">
        <f t="array" ref="AN16">SUMPRODUCT(('Old CCC projections data'!$F$1:$BN$1=$B16)*('Old CCC projections data'!$A$2:$A$271=AN$2)*('Old CCC projections data'!$D$2:$D$271=AN$3)*('Old CCC projections data'!$F$2:$BN$271))*Model!$B$47</f>
        <v>176.02161693060449</v>
      </c>
      <c r="AO16" s="18" cm="1">
        <f t="array" ref="AO16">SUMPRODUCT(('Old CCC projections data'!$F$1:$BN$1=$B16)*('Old CCC projections data'!$A$2:$A$271=AO$2)*('Old CCC projections data'!$D$2:$D$271=AO$3)*('Old CCC projections data'!$F$2:$BN$271))*Model!$B$47</f>
        <v>1.1871345029239767E-2</v>
      </c>
      <c r="AP16" s="18" cm="1">
        <f t="array" ref="AP16">SUMPRODUCT(('Old CCC projections data'!$F$1:$BN$1=$B16)*('Old CCC projections data'!$A$2:$A$271=AP$2)*('Old CCC projections data'!$D$2:$D$271=AP$3)*('Old CCC projections data'!$F$2:$BN$271))*Model!$B$47</f>
        <v>150.38264708870531</v>
      </c>
      <c r="AQ16" s="18" cm="1">
        <f t="array" ref="AQ16">SUMPRODUCT(('Old CCC projections data'!$F$1:$BN$1=$B16)*('Old CCC projections data'!$A$2:$A$271=AQ$2)*('Old CCC projections data'!$D$2:$D$271=AQ$3)*('Old CCC projections data'!$F$2:$BN$271))*Model!$B$47</f>
        <v>225.57397063305794</v>
      </c>
      <c r="AR16" s="18" cm="1">
        <f t="array" ref="AR16">SUMPRODUCT(('Old CCC projections data'!$F$1:$BN$1=$B16)*('Old CCC projections data'!$A$2:$A$271=AR$2)*('Old CCC projections data'!$D$2:$D$271=AR$3)*('Old CCC projections data'!$F$2:$BN$271))*Model!$B$47</f>
        <v>300.76529417741062</v>
      </c>
      <c r="AS16" s="18" cm="1">
        <f t="array" ref="AS16">SUMPRODUCT(('Old CCC projections data'!$F$1:$BN$1=$B16)*('Old CCC projections data'!$A$2:$A$271=AS$2)*('Old CCC projections data'!$D$2:$D$271=AS$3)*('Old CCC projections data'!$F$2:$BN$271))*Model!$B$47</f>
        <v>375.95661772176334</v>
      </c>
      <c r="AT16" s="18" cm="1">
        <f t="array" ref="AT16">SUMPRODUCT(('Old CCC projections data'!$F$1:$BN$1=$B16)*('Old CCC projections data'!$A$2:$A$271=AT$2)*('Old CCC projections data'!$D$2:$D$271=AT$3)*('Old CCC projections data'!$F$2:$BN$271))*Model!$B$47</f>
        <v>451.14794126611588</v>
      </c>
      <c r="AU16" s="18" cm="1">
        <f t="array" ref="AU16">SUMPRODUCT(('Old CCC projections data'!$F$1:$BN$1=$B16)*('Old CCC projections data'!$A$2:$A$271=AU$2)*('Old CCC projections data'!$D$2:$D$271=AU$3)*('Old CCC projections data'!$F$2:$BN$271))*Model!$B$47</f>
        <v>75.191323544352656</v>
      </c>
      <c r="AV16" s="18" cm="1">
        <f t="array" ref="AV16">SUMPRODUCT(('Old CCC projections data'!$F$1:$BN$1=$B16)*('Old CCC projections data'!$A$2:$A$271=AV$2)*('Old CCC projections data'!$D$2:$D$271=AV$3)*('Old CCC projections data'!$F$2:$BN$271))*Model!$B$47</f>
        <v>82.710455898787913</v>
      </c>
      <c r="AW16" s="18" cm="1">
        <f t="array" ref="AW16">SUMPRODUCT(('Old CCC projections data'!$F$1:$BN$1=$B16)*('Old CCC projections data'!$A$2:$A$271=AW$2)*('Old CCC projections data'!$D$2:$D$271=AW$3)*('Old CCC projections data'!$F$2:$BN$271))*Model!$B$47</f>
        <v>176.02161693060449</v>
      </c>
      <c r="AX16" s="18" cm="1">
        <f t="array" ref="AX16">SUMPRODUCT(('Old CCC projections data'!$F$1:$BN$1=$B16)*('Old CCC projections data'!$A$2:$A$271=AX$2)*('Old CCC projections data'!$D$2:$D$271=AX$3)*('Old CCC projections data'!$F$2:$BN$271))*Model!$B$47</f>
        <v>1.1871345029239767E-2</v>
      </c>
      <c r="AY16" s="18">
        <v>64.857142857142861</v>
      </c>
      <c r="AZ16" s="18">
        <v>44.333333333333314</v>
      </c>
      <c r="BA16" s="18">
        <v>70</v>
      </c>
      <c r="BB16" s="18"/>
      <c r="BC16" s="20" cm="1">
        <f t="array" ref="BC16">SUMPRODUCT(('Old CCC projections data'!$F$1:$BN$1=$B16)*('Old CCC projections data'!$A$2:$A$271=BC$2)*('Old CCC projections data'!$D$2:$D$271=BC$3)*('Old CCC projections data'!$F$2:$BN$271))</f>
        <v>35778.513686598715</v>
      </c>
      <c r="BD16" s="126">
        <f>BD15-($BD$15-$BD$24)/9</f>
        <v>36636.764108362171</v>
      </c>
      <c r="BE16" s="20"/>
      <c r="BF16" s="20"/>
      <c r="BG16" s="20" cm="1">
        <f t="array" ref="BG16">SUMPRODUCT(('Old CCC projections data'!$F$1:$BN$1=$B16)*('Old CCC projections data'!$A$2:$A$271=BG$2)*('Old CCC projections data'!$D$2:$D$271=BG$3)*('Old CCC projections data'!$F$2:$BN$271))</f>
        <v>28932.562833278669</v>
      </c>
      <c r="BH16" s="20" cm="1">
        <f t="array" ref="BH16">SUMPRODUCT(('Old CCC projections data'!$F$1:$BN$1=$B16)*('Old CCC projections data'!$A$2:$A$271=BH$2)*('Old CCC projections data'!$D$2:$D$271=BH$3)*('Old CCC projections data'!$F$2:$BN$271))</f>
        <v>27371.747361113568</v>
      </c>
      <c r="BI16" s="20" cm="1">
        <f t="array" ref="BI16">SUMPRODUCT(('Old CCC projections data'!$F$1:$BN$1=$B16)*('Old CCC projections data'!$A$2:$A$271=BI$2)*('Old CCC projections data'!$D$2:$D$271=BI$3)*('Old CCC projections data'!$F$2:$BN$271))</f>
        <v>26108.890979217442</v>
      </c>
      <c r="BJ16" s="20" cm="1">
        <f t="array" ref="BJ16">SUMPRODUCT(('Old CCC projections data'!$F$1:$BN$1=$B16)*('Old CCC projections data'!$A$2:$A$271=BJ$2)*('Old CCC projections data'!$D$2:$D$271=BJ$3)*('Old CCC projections data'!$F$2:$BN$271))</f>
        <v>25287.984479000075</v>
      </c>
      <c r="BK16" s="20" cm="1">
        <f t="array" ref="BK16">SUMPRODUCT(('Old CCC projections data'!$F$1:$BN$1=$B16)*('Old CCC projections data'!$A$2:$A$271=BK$2)*('Old CCC projections data'!$D$2:$D$271=BK$3)*('Old CCC projections data'!$F$2:$BN$271))</f>
        <v>24214.324672287879</v>
      </c>
      <c r="BL16" s="20" cm="1">
        <f t="array" ref="BL16">SUMPRODUCT(('Old CCC projections data'!$F$1:$BN$1=$B16)*('Old CCC projections data'!$A$2:$A$271=BL$2)*('Old CCC projections data'!$D$2:$D$271=BL$3)*('Old CCC projections data'!$F$2:$BN$271))</f>
        <v>30481.781957002353</v>
      </c>
      <c r="BM16" s="20" cm="1">
        <f t="array" ref="BM16">SUMPRODUCT(('Old CCC projections data'!$F$1:$BN$1=$B16)*('Old CCC projections data'!$A$2:$A$271=BM$2)*('Old CCC projections data'!$D$2:$D$271=BM$3)*('Old CCC projections data'!$F$2:$BN$271))</f>
        <v>28465.728168087095</v>
      </c>
      <c r="BN16" s="126">
        <f>BN15-($BN$15-$BN$21)/6</f>
        <v>32544.850715439803</v>
      </c>
      <c r="BO16" s="20" cm="1">
        <f t="array" ref="BO16">SUMPRODUCT(('Old CCC projections data'!$F$1:$BN$1=$B16)*('Old CCC projections data'!$A$2:$A$271=BO$2)*('Old CCC projections data'!$D$2:$D$271=BO$3)*('Old CCC projections data'!$F$2:$BN$271))</f>
        <v>31269.969358465405</v>
      </c>
      <c r="BP16" s="20" cm="1">
        <f t="array" ref="BP16">SUMPRODUCT(('Old CCC projections data'!$F$1:$BN$1=$B16)*('Old CCC projections data'!$A$2:$A$271=BP$2)*('Old CCC projections data'!$D$2:$D$271=BP$3)*('Old CCC projections data'!$F$2:$BN$271))</f>
        <v>29655.624929763504</v>
      </c>
      <c r="BQ16" s="20" cm="1">
        <f t="array" ref="BQ16">SUMPRODUCT(('Old CCC projections data'!$F$1:$BN$1=$B16)*('Old CCC projections data'!$A$2:$A$271=BQ$2)*('Old CCC projections data'!$D$2:$D$271=BQ$3)*('Old CCC projections data'!$F$2:$BN$271))</f>
        <v>28430.574674745312</v>
      </c>
      <c r="BR16" s="20" cm="1">
        <f t="array" ref="BR16">SUMPRODUCT(('Old CCC projections data'!$F$1:$BN$1=$B16)*('Old CCC projections data'!$A$2:$A$271=BR$2)*('Old CCC projections data'!$D$2:$D$271=BR$3)*('Old CCC projections data'!$F$2:$BN$271))</f>
        <v>27480.384154343323</v>
      </c>
      <c r="BS16" s="20" cm="1">
        <f t="array" ref="BS16">SUMPRODUCT(('Old CCC projections data'!$F$1:$BN$1=$B16)*('Old CCC projections data'!$A$2:$A$271=BS$2)*('Old CCC projections data'!$D$2:$D$271=BS$3)*('Old CCC projections data'!$F$2:$BN$271))</f>
        <v>26412.309055945589</v>
      </c>
      <c r="BT16" s="20" cm="1">
        <f t="array" ref="BT16">SUMPRODUCT(('Old CCC projections data'!$F$1:$BN$1=$B16)*('Old CCC projections data'!$A$2:$A$271=BT$2)*('Old CCC projections data'!$D$2:$D$271=BT$3)*('Old CCC projections data'!$F$2:$BN$271))</f>
        <v>32354.718811337119</v>
      </c>
      <c r="BU16" s="20" cm="1">
        <f t="array" ref="BU16">SUMPRODUCT(('Old CCC projections data'!$F$1:$BN$1=$B16)*('Old CCC projections data'!$A$2:$A$271=BU$2)*('Old CCC projections data'!$D$2:$D$271=BU$3)*('Old CCC projections data'!$F$2:$BN$271))</f>
        <v>30664.47150706331</v>
      </c>
      <c r="BV16" s="20" cm="1">
        <f t="array" ref="BV16">SUMPRODUCT(('Old CCC projections data'!$F$1:$BN$1=$B16)*('Old CCC projections data'!$A$2:$A$271=BV$2)*('Old CCC projections data'!$D$2:$D$271=BV$3)*('Old CCC projections data'!$F$2:$BN$271))</f>
        <v>34912.326999117358</v>
      </c>
      <c r="BW16" s="20" cm="1">
        <f t="array" ref="BW16">SUMPRODUCT(('Old CCC projections data'!$F$1:$BN$1=$B16)*('Old CCC projections data'!$A$2:$A$271=BW$2)*('Old CCC projections data'!$D$2:$D$271=BW$3)*('Old CCC projections data'!$F$2:$BN$271))</f>
        <v>27106.780127109039</v>
      </c>
      <c r="BX16" s="20" cm="1">
        <f t="array" ref="BX16">SUMPRODUCT(('Old CCC projections data'!$F$1:$BN$1=$B16)*('Old CCC projections data'!$A$2:$A$271=BX$2)*('Old CCC projections data'!$D$2:$D$271=BX$3)*('Old CCC projections data'!$F$2:$BN$271))</f>
        <v>25593.570240395413</v>
      </c>
      <c r="BY16" s="20" cm="1">
        <f t="array" ref="BY16">SUMPRODUCT(('Old CCC projections data'!$F$1:$BN$1=$B16)*('Old CCC projections data'!$A$2:$A$271=BY$2)*('Old CCC projections data'!$D$2:$D$271=BY$3)*('Old CCC projections data'!$F$2:$BN$271))</f>
        <v>24456.99457516654</v>
      </c>
      <c r="BZ16" s="20" cm="1">
        <f t="array" ref="BZ16">SUMPRODUCT(('Old CCC projections data'!$F$1:$BN$1=$B16)*('Old CCC projections data'!$A$2:$A$271=BZ$2)*('Old CCC projections data'!$D$2:$D$271=BZ$3)*('Old CCC projections data'!$F$2:$BN$271))</f>
        <v>23911.280457111661</v>
      </c>
      <c r="CA16" s="20" cm="1">
        <f t="array" ref="CA16">SUMPRODUCT(('Old CCC projections data'!$F$1:$BN$1=$B16)*('Old CCC projections data'!$A$2:$A$271=CA$2)*('Old CCC projections data'!$D$2:$D$271=CA$3)*('Old CCC projections data'!$F$2:$BN$271))</f>
        <v>23216.687631391778</v>
      </c>
      <c r="CB16" s="20" cm="1">
        <f t="array" ref="CB16">SUMPRODUCT(('Old CCC projections data'!$F$1:$BN$1=$B16)*('Old CCC projections data'!$A$2:$A$271=CB$2)*('Old CCC projections data'!$D$2:$D$271=CB$3)*('Old CCC projections data'!$F$2:$BN$271))</f>
        <v>28528.139229759116</v>
      </c>
      <c r="CC16" s="20" cm="1">
        <f t="array" ref="CC16">SUMPRODUCT(('Old CCC projections data'!$F$1:$BN$1=$B16)*('Old CCC projections data'!$A$2:$A$271=CC$2)*('Old CCC projections data'!$D$2:$D$271=CC$3)*('Old CCC projections data'!$F$2:$BN$271))</f>
        <v>28363.774309811368</v>
      </c>
      <c r="CD16" s="20" cm="1">
        <f t="array" ref="CD16">SUMPRODUCT(('Old CCC projections data'!$F$1:$BN$1=$B16)*('Old CCC projections data'!$A$2:$A$271=CD$2)*('Old CCC projections data'!$D$2:$D$271=CD$3)*('Old CCC projections data'!$F$2:$BN$271))</f>
        <v>26627.909764364016</v>
      </c>
      <c r="CE16" s="20" cm="1">
        <f t="array" ref="CE16">SUMPRODUCT(('Old CCC projections data'!$F$1:$BN$1=$B16)*('Old CCC projections data'!$A$2:$A$271=CE$2)*('Old CCC projections data'!$D$2:$D$271=CE$3)*('Old CCC projections data'!$F$2:$BN$271))</f>
        <v>29700.783441986157</v>
      </c>
      <c r="CF16" s="20" cm="1">
        <f t="array" ref="CF16">SUMPRODUCT(('Old CCC projections data'!$F$1:$BN$1=$B16)*('Old CCC projections data'!$A$2:$A$271=CF$2)*('Old CCC projections data'!$D$2:$D$271=CF$3)*('Old CCC projections data'!$F$2:$BN$271))</f>
        <v>32010.083448664172</v>
      </c>
      <c r="CG16" s="20" cm="1">
        <f t="array" ref="CG16">SUMPRODUCT(('Old CCC projections data'!$F$1:$BN$1=$B16)*('Old CCC projections data'!$A$2:$A$271=CG$2)*('Old CCC projections data'!$D$2:$D$271=CG$3)*('Old CCC projections data'!$F$2:$BN$271))</f>
        <v>30600.780224367463</v>
      </c>
      <c r="CH16" s="20" cm="1">
        <f t="array" ref="CH16">SUMPRODUCT(('Old CCC projections data'!$F$1:$BN$1=$B16)*('Old CCC projections data'!$A$2:$A$271=CH$2)*('Old CCC projections data'!$D$2:$D$271=CH$3)*('Old CCC projections data'!$F$2:$BN$271))</f>
        <v>29496.63307629482</v>
      </c>
      <c r="CI16" s="20" cm="1">
        <f t="array" ref="CI16">SUMPRODUCT(('Old CCC projections data'!$F$1:$BN$1=$B16)*('Old CCC projections data'!$A$2:$A$271=CI$2)*('Old CCC projections data'!$D$2:$D$271=CI$3)*('Old CCC projections data'!$F$2:$BN$271))</f>
        <v>28851.558183081866</v>
      </c>
      <c r="CJ16" s="20" cm="1">
        <f t="array" ref="CJ16">SUMPRODUCT(('Old CCC projections data'!$F$1:$BN$1=$B16)*('Old CCC projections data'!$A$2:$A$271=CJ$2)*('Old CCC projections data'!$D$2:$D$271=CJ$3)*('Old CCC projections data'!$F$2:$BN$271))</f>
        <v>28546.22329691469</v>
      </c>
      <c r="CK16" s="20" cm="1">
        <f t="array" ref="CK16">SUMPRODUCT(('Old CCC projections data'!$F$1:$BN$1=$B16)*('Old CCC projections data'!$A$2:$A$271=CK$2)*('Old CCC projections data'!$D$2:$D$271=CK$3)*('Old CCC projections data'!$F$2:$BN$271))</f>
        <v>27987.182731210472</v>
      </c>
      <c r="CL16" s="20" cm="1">
        <f t="array" ref="CL16">SUMPRODUCT(('Old CCC projections data'!$F$1:$BN$1=$B16)*('Old CCC projections data'!$A$2:$A$271=CL$2)*('Old CCC projections data'!$D$2:$D$271=CL$3)*('Old CCC projections data'!$F$2:$BN$271))</f>
        <v>33172.477994546658</v>
      </c>
      <c r="CM16" s="20" cm="1">
        <f t="array" ref="CM16">SUMPRODUCT(('Old CCC projections data'!$F$1:$BN$1=$B16)*('Old CCC projections data'!$A$2:$A$271=CM$2)*('Old CCC projections data'!$D$2:$D$271=CM$3)*('Old CCC projections data'!$F$2:$BN$271))</f>
        <v>31607.824687591965</v>
      </c>
      <c r="CN16" s="20" cm="1">
        <f t="array" ref="CN16">SUMPRODUCT(('Old CCC projections data'!$F$1:$BN$1=$B16)*('Old CCC projections data'!$A$2:$A$271=CN$2)*('Old CCC projections data'!$D$2:$D$271=CN$3)*('Old CCC projections data'!$F$2:$BN$271))</f>
        <v>35268.706505779104</v>
      </c>
      <c r="CO16" s="20" cm="1">
        <f t="array" ref="CO16">SUMPRODUCT(('Old CCC projections data'!$F$1:$BN$1=$B16)*('Old CCC projections data'!$A$2:$A$271=CO$2)*('Old CCC projections data'!$D$2:$D$271=CO$3)*('Old CCC projections data'!$F$2:$BN$271))</f>
        <v>26626.123274059788</v>
      </c>
      <c r="CP16" s="20" cm="1">
        <f t="array" ref="CP16">SUMPRODUCT(('Old CCC projections data'!$F$1:$BN$1=$B16)*('Old CCC projections data'!$A$2:$A$271=CP$2)*('Old CCC projections data'!$D$2:$D$271=CP$3)*('Old CCC projections data'!$F$2:$BN$271))</f>
        <v>24838.666873708866</v>
      </c>
      <c r="CQ16" s="20" cm="1">
        <f t="array" ref="CQ16">SUMPRODUCT(('Old CCC projections data'!$F$1:$BN$1=$B16)*('Old CCC projections data'!$A$2:$A$271=CQ$2)*('Old CCC projections data'!$D$2:$D$271=CQ$3)*('Old CCC projections data'!$F$2:$BN$271))</f>
        <v>23417.377901584467</v>
      </c>
      <c r="CR16" s="20" cm="1">
        <f t="array" ref="CR16">SUMPRODUCT(('Old CCC projections data'!$F$1:$BN$1=$B16)*('Old CCC projections data'!$A$2:$A$271=CR$2)*('Old CCC projections data'!$D$2:$D$271=CR$3)*('Old CCC projections data'!$F$2:$BN$271))</f>
        <v>22420.05367422746</v>
      </c>
      <c r="CS16" s="20" cm="1">
        <f t="array" ref="CS16">SUMPRODUCT(('Old CCC projections data'!$F$1:$BN$1=$B16)*('Old CCC projections data'!$A$2:$A$271=CS$2)*('Old CCC projections data'!$D$2:$D$271=CS$3)*('Old CCC projections data'!$F$2:$BN$271))</f>
        <v>21415.359637793037</v>
      </c>
      <c r="CT16" s="20" cm="1">
        <f t="array" ref="CT16">SUMPRODUCT(('Old CCC projections data'!$F$1:$BN$1=$B16)*('Old CCC projections data'!$A$2:$A$271=CT$2)*('Old CCC projections data'!$D$2:$D$271=CT$3)*('Old CCC projections data'!$F$2:$BN$271))</f>
        <v>28322.078176971885</v>
      </c>
      <c r="CU16" s="20" cm="1">
        <f t="array" ref="CU16">SUMPRODUCT(('Old CCC projections data'!$F$1:$BN$1=$B16)*('Old CCC projections data'!$A$2:$A$271=CU$2)*('Old CCC projections data'!$D$2:$D$271=CU$3)*('Old CCC projections data'!$F$2:$BN$271))</f>
        <v>28148.772817537709</v>
      </c>
      <c r="CV16" s="20" cm="1">
        <f t="array" ref="CV16">SUMPRODUCT(('Old CCC projections data'!$F$1:$BN$1=$B16)*('Old CCC projections data'!$A$2:$A$271=CV$2)*('Old CCC projections data'!$D$2:$D$271=CV$3)*('Old CCC projections data'!$F$2:$BN$271))</f>
        <v>26179.916111118549</v>
      </c>
      <c r="CW16" s="20" cm="1">
        <f t="array" ref="CW16">SUMPRODUCT(('Old CCC projections data'!$F$1:$BN$1=$B16)*('Old CCC projections data'!$A$2:$A$271=CW$2)*('Old CCC projections data'!$D$2:$D$271=CW$3)*('Old CCC projections data'!$F$2:$BN$271))</f>
        <v>31734.788237653858</v>
      </c>
      <c r="CX16" s="20">
        <f t="shared" si="19"/>
        <v>4079.1225473527084</v>
      </c>
      <c r="CY16" s="20" t="str">
        <f t="shared" si="29"/>
        <v>Demo path - C price $100 3%</v>
      </c>
      <c r="CZ16" s="3">
        <f t="shared" si="30"/>
        <v>2034</v>
      </c>
      <c r="DA16" s="18">
        <f t="shared" si="31"/>
        <v>0</v>
      </c>
      <c r="DB16" s="18">
        <f ca="1">(H19+IF($DB$3&gt;0,NPV($DB$2,H20:OFFSET(H19,$DB$3,0)),0))/($DB$3+1)</f>
        <v>164.32717880529972</v>
      </c>
      <c r="DC16" s="18">
        <f t="shared" ca="1" si="20"/>
        <v>64.327178805299724</v>
      </c>
      <c r="DD16" s="18">
        <f t="shared" si="32"/>
        <v>100</v>
      </c>
      <c r="DE16" s="126">
        <f>DE15-($DE$12-$DE$18)/6</f>
        <v>28862.634858482736</v>
      </c>
      <c r="DF16" s="20" cm="1">
        <f t="array" ref="DF16">SUMPRODUCT(($BG$2:$BM$2=CY16)*($B$5:$B$35=CZ16)*($BG$5:$BM$35))</f>
        <v>25506.602802874662</v>
      </c>
      <c r="DG16" s="20">
        <f t="shared" si="16"/>
        <v>3356.0320556080733</v>
      </c>
      <c r="DH16" s="20" cm="1">
        <f t="array" ref="DH16">IF(CZ16=2023,SUMPRODUCT(($B$5:$B$35=CZ16-1)*($BN$5:$BN$35))-SUMPRODUCT(($BG$2:$BM$2=CY16)*($B$5:$B$35=CZ16-1)*($BG$5:$BM$35)),DG15)</f>
        <v>3483.8063058829393</v>
      </c>
      <c r="DI16" s="18">
        <f t="shared" ca="1" si="17"/>
        <v>164.32717880529972</v>
      </c>
      <c r="DJ16" s="89">
        <f t="shared" si="22"/>
        <v>8.1185146192721334</v>
      </c>
      <c r="DK16" s="89">
        <f t="shared" si="23"/>
        <v>8.1558807411005496</v>
      </c>
      <c r="DL16" s="89">
        <f t="shared" ca="1" si="24"/>
        <v>5.1018594331842078</v>
      </c>
      <c r="DM16" s="20">
        <f t="shared" ca="1" si="25"/>
        <v>1882.5514022264206</v>
      </c>
      <c r="DN16" s="20">
        <f t="shared" ca="1" si="26"/>
        <v>3917.1426817913984</v>
      </c>
      <c r="DO16" s="20">
        <f t="shared" ca="1" si="27"/>
        <v>2899.8470420089097</v>
      </c>
      <c r="DP16" s="113"/>
      <c r="DQ16" s="18"/>
      <c r="DS16" t="s">
        <v>255</v>
      </c>
    </row>
    <row r="17" spans="1:131" ht="15.75" thickBot="1" x14ac:dyDescent="0.3">
      <c r="A17">
        <v>0.5</v>
      </c>
      <c r="B17">
        <f t="shared" si="28"/>
        <v>2032</v>
      </c>
      <c r="C17" s="190">
        <f>IF(C16*(1+A17*Model!$B$19*IF(Model!$B$28=0,1,((Model!$B$28-B17)/(Model!$B$28-$B$9))))&gt;Model!$B$44,C16*(1+A17*Model!$B$19*IF(Model!$B$28=0,1,((Model!$B$28-B17)/(Model!$B$28-$B$9)))),Model!$B$44)</f>
        <v>78.613868169900996</v>
      </c>
      <c r="D17" s="18" cm="1">
        <f t="array" ref="D17">SUMPRODUCT(('Old CCC projections data'!$F$1:$BN$1=$B17)*('Old CCC projections data'!$A$2:$A$271=D$2)*('Old CCC projections data'!$D$2:$D$271=D$3)*('Old CCC projections data'!$F$2:$BN$271))*Model!$B$47</f>
        <v>41.549707602339183</v>
      </c>
      <c r="E17" s="18" cm="1">
        <f t="array" ref="E17">SUMPRODUCT(('Old CCC projections data'!$F$1:$BN$1=$B17)*('Old CCC projections data'!$A$2:$A$271=E$2)*('Old CCC projections data'!$D$2:$D$271=E$3)*('Old CCC projections data'!$F$2:$BN$271))*Model!$B$47</f>
        <v>1.1871345029239767E-2</v>
      </c>
      <c r="F17" s="18"/>
      <c r="G17" s="18"/>
      <c r="H17" s="18" cm="1">
        <f t="array" ref="H17">SUMPRODUCT(('Old CCC projections data'!$F$1:$BN$1=$B17)*('Old CCC projections data'!$A$2:$A$271=H$2)*('Old CCC projections data'!$D$2:$D$271=H$3)*('Old CCC projections data'!$F$2:$BN$271))*Model!$B$47</f>
        <v>154.89412650136646</v>
      </c>
      <c r="I17" s="18" cm="1">
        <f t="array" ref="I17">SUMPRODUCT(('Old CCC projections data'!$F$1:$BN$1=$B17)*('Old CCC projections data'!$A$2:$A$271=I$2)*('Old CCC projections data'!$D$2:$D$271=I$3)*('Old CCC projections data'!$F$2:$BN$271))*Model!$B$47</f>
        <v>232.3411897520497</v>
      </c>
      <c r="J17" s="18" cm="1">
        <f t="array" ref="J17">SUMPRODUCT(('Old CCC projections data'!$F$1:$BN$1=$B17)*('Old CCC projections data'!$A$2:$A$271=J$2)*('Old CCC projections data'!$D$2:$D$271=J$3)*('Old CCC projections data'!$F$2:$BN$271))*Model!$B$47</f>
        <v>309.78825300273292</v>
      </c>
      <c r="K17" s="18" cm="1">
        <f t="array" ref="K17">SUMPRODUCT(('Old CCC projections data'!$F$1:$BN$1=$B17)*('Old CCC projections data'!$A$2:$A$271=K$2)*('Old CCC projections data'!$D$2:$D$271=K$3)*('Old CCC projections data'!$F$2:$BN$271))*Model!$B$47</f>
        <v>387.23531625341622</v>
      </c>
      <c r="L17" s="18" cm="1">
        <f t="array" ref="L17">SUMPRODUCT(('Old CCC projections data'!$F$1:$BN$1=$B17)*('Old CCC projections data'!$A$2:$A$271=L$2)*('Old CCC projections data'!$D$2:$D$271=L$3)*('Old CCC projections data'!$F$2:$BN$271))*Model!$B$47</f>
        <v>464.6823795040994</v>
      </c>
      <c r="M17" s="18" cm="1">
        <f t="array" ref="M17">SUMPRODUCT(('Old CCC projections data'!$F$1:$BN$1=$B17)*('Old CCC projections data'!$A$2:$A$271=M$2)*('Old CCC projections data'!$D$2:$D$271=M$3)*('Old CCC projections data'!$F$2:$BN$271))*Model!$B$47</f>
        <v>77.447063250683229</v>
      </c>
      <c r="N17" s="189" cm="1">
        <f t="array" ref="N17">SUMPRODUCT(('Old CCC projections data'!$F$1:$BN$1=$B17)*('Old CCC projections data'!$A$2:$A$271=N$2)*('Old CCC projections data'!$D$2:$D$271=N$3)*('Old CCC projections data'!$F$2:$BN$271))*Model!$B$47</f>
        <v>181.30226543852265</v>
      </c>
      <c r="O17" s="18" cm="1">
        <f t="array" ref="O17">SUMPRODUCT(('Old CCC projections data'!$F$1:$BN$1=$B17)*('Old CCC projections data'!$A$2:$A$271=O$2)*('Old CCC projections data'!$D$2:$D$271=O$3)*('Old CCC projections data'!$F$2:$BN$271))*Model!$B$47</f>
        <v>1.1871345029239767E-2</v>
      </c>
      <c r="P17" s="18" cm="1">
        <f t="array" ref="P17">SUMPRODUCT(('Old CCC projections data'!$F$1:$BN$1=$B17)*('Old CCC projections data'!$A$2:$A$271=P$2)*('Old CCC projections data'!$D$2:$D$271=P$3)*('Old CCC projections data'!$F$2:$BN$271))*Model!$B$47</f>
        <v>154.89412650136646</v>
      </c>
      <c r="Q17" s="18" cm="1">
        <f t="array" ref="Q17">SUMPRODUCT(('Old CCC projections data'!$F$1:$BN$1=$B17)*('Old CCC projections data'!$A$2:$A$271=Q$2)*('Old CCC projections data'!$D$2:$D$271=Q$3)*('Old CCC projections data'!$F$2:$BN$271))*Model!$B$47</f>
        <v>232.3411897520497</v>
      </c>
      <c r="R17" s="18" cm="1">
        <f t="array" ref="R17">SUMPRODUCT(('Old CCC projections data'!$F$1:$BN$1=$B17)*('Old CCC projections data'!$A$2:$A$271=R$2)*('Old CCC projections data'!$D$2:$D$271=R$3)*('Old CCC projections data'!$F$2:$BN$271))*Model!$B$47</f>
        <v>309.78825300273292</v>
      </c>
      <c r="S17" s="18" cm="1">
        <f t="array" ref="S17">SUMPRODUCT(('Old CCC projections data'!$F$1:$BN$1=$B17)*('Old CCC projections data'!$A$2:$A$271=S$2)*('Old CCC projections data'!$D$2:$D$271=S$3)*('Old CCC projections data'!$F$2:$BN$271))*Model!$B$47</f>
        <v>387.23531625341622</v>
      </c>
      <c r="T17" s="18" cm="1">
        <f t="array" ref="T17">SUMPRODUCT(('Old CCC projections data'!$F$1:$BN$1=$B17)*('Old CCC projections data'!$A$2:$A$271=T$2)*('Old CCC projections data'!$D$2:$D$271=T$3)*('Old CCC projections data'!$F$2:$BN$271))*Model!$B$47</f>
        <v>464.6823795040994</v>
      </c>
      <c r="U17" s="18" cm="1">
        <f t="array" ref="U17">SUMPRODUCT(('Old CCC projections data'!$F$1:$BN$1=$B17)*('Old CCC projections data'!$A$2:$A$271=U$2)*('Old CCC projections data'!$D$2:$D$271=U$3)*('Old CCC projections data'!$F$2:$BN$271))*Model!$B$47</f>
        <v>77.447063250683229</v>
      </c>
      <c r="V17" s="18" cm="1">
        <f t="array" ref="V17">SUMPRODUCT(('Old CCC projections data'!$F$1:$BN$1=$B17)*('Old CCC projections data'!$A$2:$A$271=V$2)*('Old CCC projections data'!$D$2:$D$271=V$3)*('Old CCC projections data'!$F$2:$BN$271))*Model!$B$47</f>
        <v>181.30226543852265</v>
      </c>
      <c r="W17" s="18" cm="1">
        <f t="array" ref="W17">SUMPRODUCT(('Old CCC projections data'!$F$1:$BN$1=$B17)*('Old CCC projections data'!$A$2:$A$271=W$2)*('Old CCC projections data'!$D$2:$D$271=W$3)*('Old CCC projections data'!$F$2:$BN$271))*Model!$B$47</f>
        <v>1.1871345029239767E-2</v>
      </c>
      <c r="X17" s="18" cm="1">
        <f t="array" ref="X17">SUMPRODUCT(('Old CCC projections data'!$F$1:$BN$1=$B17)*('Old CCC projections data'!$A$2:$A$271=X$2)*('Old CCC projections data'!$D$2:$D$271=X$3)*('Old CCC projections data'!$F$2:$BN$271))*Model!$B$47</f>
        <v>154.89412650136646</v>
      </c>
      <c r="Y17" s="18" cm="1">
        <f t="array" ref="Y17">SUMPRODUCT(('Old CCC projections data'!$F$1:$BN$1=$B17)*('Old CCC projections data'!$A$2:$A$271=Y$2)*('Old CCC projections data'!$D$2:$D$271=Y$3)*('Old CCC projections data'!$F$2:$BN$271))*Model!$B$47</f>
        <v>232.3411897520497</v>
      </c>
      <c r="Z17" s="18" cm="1">
        <f t="array" ref="Z17">SUMPRODUCT(('Old CCC projections data'!$F$1:$BN$1=$B17)*('Old CCC projections data'!$A$2:$A$271=Z$2)*('Old CCC projections data'!$D$2:$D$271=Z$3)*('Old CCC projections data'!$F$2:$BN$271))*Model!$B$47</f>
        <v>309.78825300273292</v>
      </c>
      <c r="AA17" s="18" cm="1">
        <f t="array" ref="AA17">SUMPRODUCT(('Old CCC projections data'!$F$1:$BN$1=$B17)*('Old CCC projections data'!$A$2:$A$271=AA$2)*('Old CCC projections data'!$D$2:$D$271=AA$3)*('Old CCC projections data'!$F$2:$BN$271))*Model!$B$47</f>
        <v>387.23531625341622</v>
      </c>
      <c r="AB17" s="18" cm="1">
        <f t="array" ref="AB17">SUMPRODUCT(('Old CCC projections data'!$F$1:$BN$1=$B17)*('Old CCC projections data'!$A$2:$A$271=AB$2)*('Old CCC projections data'!$D$2:$D$271=AB$3)*('Old CCC projections data'!$F$2:$BN$271))*Model!$B$47</f>
        <v>464.6823795040994</v>
      </c>
      <c r="AC17" s="18" cm="1">
        <f t="array" ref="AC17">SUMPRODUCT(('Old CCC projections data'!$F$1:$BN$1=$B17)*('Old CCC projections data'!$A$2:$A$271=AC$2)*('Old CCC projections data'!$D$2:$D$271=AC$3)*('Old CCC projections data'!$F$2:$BN$271))*Model!$B$47</f>
        <v>77.447063250683229</v>
      </c>
      <c r="AD17" s="18" cm="1">
        <f t="array" ref="AD17">SUMPRODUCT(('Old CCC projections data'!$F$1:$BN$1=$B17)*('Old CCC projections data'!$A$2:$A$271=AD$2)*('Old CCC projections data'!$D$2:$D$271=AD$3)*('Old CCC projections data'!$F$2:$BN$271))*Model!$B$47</f>
        <v>85.19176957575155</v>
      </c>
      <c r="AE17" s="18" cm="1">
        <f t="array" ref="AE17">SUMPRODUCT(('Old CCC projections data'!$F$1:$BN$1=$B17)*('Old CCC projections data'!$A$2:$A$271=AE$2)*('Old CCC projections data'!$D$2:$D$271=AE$3)*('Old CCC projections data'!$F$2:$BN$271))*Model!$B$47</f>
        <v>181.30226543852265</v>
      </c>
      <c r="AF17" s="18" cm="1">
        <f t="array" ref="AF17">SUMPRODUCT(('Old CCC projections data'!$F$1:$BN$1=$B17)*('Old CCC projections data'!$A$2:$A$271=AF$2)*('Old CCC projections data'!$D$2:$D$271=AF$3)*('Old CCC projections data'!$F$2:$BN$271))*Model!$B$47</f>
        <v>1.1871345029239767E-2</v>
      </c>
      <c r="AG17" s="18" cm="1">
        <f t="array" ref="AG17">SUMPRODUCT(('Old CCC projections data'!$F$1:$BN$1=$B17)*('Old CCC projections data'!$A$2:$A$271=AG$2)*('Old CCC projections data'!$D$2:$D$271=AG$3)*('Old CCC projections data'!$F$2:$BN$271))*Model!$B$47</f>
        <v>154.89412650136646</v>
      </c>
      <c r="AH17" s="18" cm="1">
        <f t="array" ref="AH17">SUMPRODUCT(('Old CCC projections data'!$F$1:$BN$1=$B17)*('Old CCC projections data'!$A$2:$A$271=AH$2)*('Old CCC projections data'!$D$2:$D$271=AH$3)*('Old CCC projections data'!$F$2:$BN$271))*Model!$B$47</f>
        <v>232.3411897520497</v>
      </c>
      <c r="AI17" s="18" cm="1">
        <f t="array" ref="AI17">SUMPRODUCT(('Old CCC projections data'!$F$1:$BN$1=$B17)*('Old CCC projections data'!$A$2:$A$271=AI$2)*('Old CCC projections data'!$D$2:$D$271=AI$3)*('Old CCC projections data'!$F$2:$BN$271))*Model!$B$47</f>
        <v>309.78825300273292</v>
      </c>
      <c r="AJ17" s="18" cm="1">
        <f t="array" ref="AJ17">SUMPRODUCT(('Old CCC projections data'!$F$1:$BN$1=$B17)*('Old CCC projections data'!$A$2:$A$271=AJ$2)*('Old CCC projections data'!$D$2:$D$271=AJ$3)*('Old CCC projections data'!$F$2:$BN$271))*Model!$B$47</f>
        <v>387.23531625341622</v>
      </c>
      <c r="AK17" s="18" cm="1">
        <f t="array" ref="AK17">SUMPRODUCT(('Old CCC projections data'!$F$1:$BN$1=$B17)*('Old CCC projections data'!$A$2:$A$271=AK$2)*('Old CCC projections data'!$D$2:$D$271=AK$3)*('Old CCC projections data'!$F$2:$BN$271))*Model!$B$47</f>
        <v>418.21414155368956</v>
      </c>
      <c r="AL17" s="18" cm="1">
        <f t="array" ref="AL17">SUMPRODUCT(('Old CCC projections data'!$F$1:$BN$1=$B17)*('Old CCC projections data'!$A$2:$A$271=AL$2)*('Old CCC projections data'!$D$2:$D$271=AL$3)*('Old CCC projections data'!$F$2:$BN$271))*Model!$B$47</f>
        <v>464.6823795040994</v>
      </c>
      <c r="AM17" s="18" cm="1">
        <f t="array" ref="AM17">SUMPRODUCT(('Old CCC projections data'!$F$1:$BN$1=$B17)*('Old CCC projections data'!$A$2:$A$271=AM$2)*('Old CCC projections data'!$D$2:$D$271=AM$3)*('Old CCC projections data'!$F$2:$BN$271))*Model!$B$47</f>
        <v>77.447063250683229</v>
      </c>
      <c r="AN17" s="18" cm="1">
        <f t="array" ref="AN17">SUMPRODUCT(('Old CCC projections data'!$F$1:$BN$1=$B17)*('Old CCC projections data'!$A$2:$A$271=AN$2)*('Old CCC projections data'!$D$2:$D$271=AN$3)*('Old CCC projections data'!$F$2:$BN$271))*Model!$B$47</f>
        <v>181.30226543852265</v>
      </c>
      <c r="AO17" s="18" cm="1">
        <f t="array" ref="AO17">SUMPRODUCT(('Old CCC projections data'!$F$1:$BN$1=$B17)*('Old CCC projections data'!$A$2:$A$271=AO$2)*('Old CCC projections data'!$D$2:$D$271=AO$3)*('Old CCC projections data'!$F$2:$BN$271))*Model!$B$47</f>
        <v>1.1871345029239767E-2</v>
      </c>
      <c r="AP17" s="18" cm="1">
        <f t="array" ref="AP17">SUMPRODUCT(('Old CCC projections data'!$F$1:$BN$1=$B17)*('Old CCC projections data'!$A$2:$A$271=AP$2)*('Old CCC projections data'!$D$2:$D$271=AP$3)*('Old CCC projections data'!$F$2:$BN$271))*Model!$B$47</f>
        <v>154.89412650136646</v>
      </c>
      <c r="AQ17" s="18" cm="1">
        <f t="array" ref="AQ17">SUMPRODUCT(('Old CCC projections data'!$F$1:$BN$1=$B17)*('Old CCC projections data'!$A$2:$A$271=AQ$2)*('Old CCC projections data'!$D$2:$D$271=AQ$3)*('Old CCC projections data'!$F$2:$BN$271))*Model!$B$47</f>
        <v>232.3411897520497</v>
      </c>
      <c r="AR17" s="18" cm="1">
        <f t="array" ref="AR17">SUMPRODUCT(('Old CCC projections data'!$F$1:$BN$1=$B17)*('Old CCC projections data'!$A$2:$A$271=AR$2)*('Old CCC projections data'!$D$2:$D$271=AR$3)*('Old CCC projections data'!$F$2:$BN$271))*Model!$B$47</f>
        <v>309.78825300273292</v>
      </c>
      <c r="AS17" s="18" cm="1">
        <f t="array" ref="AS17">SUMPRODUCT(('Old CCC projections data'!$F$1:$BN$1=$B17)*('Old CCC projections data'!$A$2:$A$271=AS$2)*('Old CCC projections data'!$D$2:$D$271=AS$3)*('Old CCC projections data'!$F$2:$BN$271))*Model!$B$47</f>
        <v>387.23531625341622</v>
      </c>
      <c r="AT17" s="18" cm="1">
        <f t="array" ref="AT17">SUMPRODUCT(('Old CCC projections data'!$F$1:$BN$1=$B17)*('Old CCC projections data'!$A$2:$A$271=AT$2)*('Old CCC projections data'!$D$2:$D$271=AT$3)*('Old CCC projections data'!$F$2:$BN$271))*Model!$B$47</f>
        <v>464.6823795040994</v>
      </c>
      <c r="AU17" s="18" cm="1">
        <f t="array" ref="AU17">SUMPRODUCT(('Old CCC projections data'!$F$1:$BN$1=$B17)*('Old CCC projections data'!$A$2:$A$271=AU$2)*('Old CCC projections data'!$D$2:$D$271=AU$3)*('Old CCC projections data'!$F$2:$BN$271))*Model!$B$47</f>
        <v>77.447063250683229</v>
      </c>
      <c r="AV17" s="18" cm="1">
        <f t="array" ref="AV17">SUMPRODUCT(('Old CCC projections data'!$F$1:$BN$1=$B17)*('Old CCC projections data'!$A$2:$A$271=AV$2)*('Old CCC projections data'!$D$2:$D$271=AV$3)*('Old CCC projections data'!$F$2:$BN$271))*Model!$B$47</f>
        <v>85.19176957575155</v>
      </c>
      <c r="AW17" s="18" cm="1">
        <f t="array" ref="AW17">SUMPRODUCT(('Old CCC projections data'!$F$1:$BN$1=$B17)*('Old CCC projections data'!$A$2:$A$271=AW$2)*('Old CCC projections data'!$D$2:$D$271=AW$3)*('Old CCC projections data'!$F$2:$BN$271))*Model!$B$47</f>
        <v>181.30226543852265</v>
      </c>
      <c r="AX17" s="18" cm="1">
        <f t="array" ref="AX17">SUMPRODUCT(('Old CCC projections data'!$F$1:$BN$1=$B17)*('Old CCC projections data'!$A$2:$A$271=AX$2)*('Old CCC projections data'!$D$2:$D$271=AX$3)*('Old CCC projections data'!$F$2:$BN$271))*Model!$B$47</f>
        <v>1.1871345029239767E-2</v>
      </c>
      <c r="AY17" s="18">
        <v>61.285714285714292</v>
      </c>
      <c r="AZ17" s="18">
        <v>41.999999999999979</v>
      </c>
      <c r="BA17" s="18">
        <v>70</v>
      </c>
      <c r="BB17" s="18"/>
      <c r="BC17" s="20" cm="1">
        <f t="array" ref="BC17">SUMPRODUCT(('Old CCC projections data'!$F$1:$BN$1=$B17)*('Old CCC projections data'!$A$2:$A$271=BC$2)*('Old CCC projections data'!$D$2:$D$271=BC$3)*('Old CCC projections data'!$F$2:$BN$271))</f>
        <v>35104.026931153363</v>
      </c>
      <c r="BD17" s="126">
        <f t="shared" ref="BD17:BD23" si="33">BD16-($BD$15-$BD$24)/9</f>
        <v>36121.389676433042</v>
      </c>
      <c r="BE17" s="20"/>
      <c r="BF17" s="20"/>
      <c r="BG17" s="20" cm="1">
        <f t="array" ref="BG17">SUMPRODUCT(('Old CCC projections data'!$F$1:$BN$1=$B17)*('Old CCC projections data'!$A$2:$A$271=BG$2)*('Old CCC projections data'!$D$2:$D$271=BG$3)*('Old CCC projections data'!$F$2:$BN$271))</f>
        <v>27743.067298302223</v>
      </c>
      <c r="BH17" s="20" cm="1">
        <f t="array" ref="BH17">SUMPRODUCT(('Old CCC projections data'!$F$1:$BN$1=$B17)*('Old CCC projections data'!$A$2:$A$271=BH$2)*('Old CCC projections data'!$D$2:$D$271=BH$3)*('Old CCC projections data'!$F$2:$BN$271))</f>
        <v>26110.915672621722</v>
      </c>
      <c r="BI17" s="20" cm="1">
        <f t="array" ref="BI17">SUMPRODUCT(('Old CCC projections data'!$F$1:$BN$1=$B17)*('Old CCC projections data'!$A$2:$A$271=BI$2)*('Old CCC projections data'!$D$2:$D$271=BI$3)*('Old CCC projections data'!$F$2:$BN$271))</f>
        <v>24791.912765791385</v>
      </c>
      <c r="BJ17" s="20" cm="1">
        <f t="array" ref="BJ17">SUMPRODUCT(('Old CCC projections data'!$F$1:$BN$1=$B17)*('Old CCC projections data'!$A$2:$A$271=BJ$2)*('Old CCC projections data'!$D$2:$D$271=BJ$3)*('Old CCC projections data'!$F$2:$BN$271))</f>
        <v>23984.085998912495</v>
      </c>
      <c r="BK17" s="20" cm="1">
        <f t="array" ref="BK17">SUMPRODUCT(('Old CCC projections data'!$F$1:$BN$1=$B17)*('Old CCC projections data'!$A$2:$A$271=BK$2)*('Old CCC projections data'!$D$2:$D$271=BK$3)*('Old CCC projections data'!$F$2:$BN$271))</f>
        <v>22946.710289119012</v>
      </c>
      <c r="BL17" s="20" cm="1">
        <f t="array" ref="BL17">SUMPRODUCT(('Old CCC projections data'!$F$1:$BN$1=$B17)*('Old CCC projections data'!$A$2:$A$271=BL$2)*('Old CCC projections data'!$D$2:$D$271=BL$3)*('Old CCC projections data'!$F$2:$BN$271))</f>
        <v>29302.50087034209</v>
      </c>
      <c r="BM17" s="20" cm="1">
        <f t="array" ref="BM17">SUMPRODUCT(('Old CCC projections data'!$F$1:$BN$1=$B17)*('Old CCC projections data'!$A$2:$A$271=BM$2)*('Old CCC projections data'!$D$2:$D$271=BM$3)*('Old CCC projections data'!$F$2:$BN$271))</f>
        <v>27210.620768268473</v>
      </c>
      <c r="BN17" s="126">
        <f>BN16-($BN$15-$BN$21)/6</f>
        <v>31317.445429787447</v>
      </c>
      <c r="BO17" s="20" cm="1">
        <f t="array" ref="BO17">SUMPRODUCT(('Old CCC projections data'!$F$1:$BN$1=$B17)*('Old CCC projections data'!$A$2:$A$271=BO$2)*('Old CCC projections data'!$D$2:$D$271=BO$3)*('Old CCC projections data'!$F$2:$BN$271))</f>
        <v>30152.891977749612</v>
      </c>
      <c r="BP17" s="20" cm="1">
        <f t="array" ref="BP17">SUMPRODUCT(('Old CCC projections data'!$F$1:$BN$1=$B17)*('Old CCC projections data'!$A$2:$A$271=BP$2)*('Old CCC projections data'!$D$2:$D$271=BP$3)*('Old CCC projections data'!$F$2:$BN$271))</f>
        <v>28490.572861304103</v>
      </c>
      <c r="BQ17" s="20" cm="1">
        <f t="array" ref="BQ17">SUMPRODUCT(('Old CCC projections data'!$F$1:$BN$1=$B17)*('Old CCC projections data'!$A$2:$A$271=BQ$2)*('Old CCC projections data'!$D$2:$D$271=BQ$3)*('Old CCC projections data'!$F$2:$BN$271))</f>
        <v>27169.918111186173</v>
      </c>
      <c r="BR17" s="20" cm="1">
        <f t="array" ref="BR17">SUMPRODUCT(('Old CCC projections data'!$F$1:$BN$1=$B17)*('Old CCC projections data'!$A$2:$A$271=BR$2)*('Old CCC projections data'!$D$2:$D$271=BR$3)*('Old CCC projections data'!$F$2:$BN$271))</f>
        <v>26142.847591695678</v>
      </c>
      <c r="BS17" s="20" cm="1">
        <f t="array" ref="BS17">SUMPRODUCT(('Old CCC projections data'!$F$1:$BN$1=$B17)*('Old CCC projections data'!$A$2:$A$271=BS$2)*('Old CCC projections data'!$D$2:$D$271=BS$3)*('Old CCC projections data'!$F$2:$BN$271))</f>
        <v>25071.657632510334</v>
      </c>
      <c r="BT17" s="20" cm="1">
        <f t="array" ref="BT17">SUMPRODUCT(('Old CCC projections data'!$F$1:$BN$1=$B17)*('Old CCC projections data'!$A$2:$A$271=BT$2)*('Old CCC projections data'!$D$2:$D$271=BT$3)*('Old CCC projections data'!$F$2:$BN$271))</f>
        <v>31323.413818015008</v>
      </c>
      <c r="BU17" s="20" cm="1">
        <f t="array" ref="BU17">SUMPRODUCT(('Old CCC projections data'!$F$1:$BN$1=$B17)*('Old CCC projections data'!$A$2:$A$271=BU$2)*('Old CCC projections data'!$D$2:$D$271=BU$3)*('Old CCC projections data'!$F$2:$BN$271))</f>
        <v>29590.635558350092</v>
      </c>
      <c r="BV17" s="20" cm="1">
        <f t="array" ref="BV17">SUMPRODUCT(('Old CCC projections data'!$F$1:$BN$1=$B17)*('Old CCC projections data'!$A$2:$A$271=BV$2)*('Old CCC projections data'!$D$2:$D$271=BV$3)*('Old CCC projections data'!$F$2:$BN$271))</f>
        <v>34594.118376269296</v>
      </c>
      <c r="BW17" s="20" cm="1">
        <f t="array" ref="BW17">SUMPRODUCT(('Old CCC projections data'!$F$1:$BN$1=$B17)*('Old CCC projections data'!$A$2:$A$271=BW$2)*('Old CCC projections data'!$D$2:$D$271=BW$3)*('Old CCC projections data'!$F$2:$BN$271))</f>
        <v>25721.429013880275</v>
      </c>
      <c r="BX17" s="20" cm="1">
        <f t="array" ref="BX17">SUMPRODUCT(('Old CCC projections data'!$F$1:$BN$1=$B17)*('Old CCC projections data'!$A$2:$A$271=BX$2)*('Old CCC projections data'!$D$2:$D$271=BX$3)*('Old CCC projections data'!$F$2:$BN$271))</f>
        <v>24273.226276486923</v>
      </c>
      <c r="BY17" s="20" cm="1">
        <f t="array" ref="BY17">SUMPRODUCT(('Old CCC projections data'!$F$1:$BN$1=$B17)*('Old CCC projections data'!$A$2:$A$271=BY$2)*('Old CCC projections data'!$D$2:$D$271=BY$3)*('Old CCC projections data'!$F$2:$BN$271))</f>
        <v>23123.823784924349</v>
      </c>
      <c r="BZ17" s="20" cm="1">
        <f t="array" ref="BZ17">SUMPRODUCT(('Old CCC projections data'!$F$1:$BN$1=$B17)*('Old CCC projections data'!$A$2:$A$271=BZ$2)*('Old CCC projections data'!$D$2:$D$271=BZ$3)*('Old CCC projections data'!$F$2:$BN$271))</f>
        <v>22613.34758637191</v>
      </c>
      <c r="CA17" s="20" cm="1">
        <f t="array" ref="CA17">SUMPRODUCT(('Old CCC projections data'!$F$1:$BN$1=$B17)*('Old CCC projections data'!$A$2:$A$271=CA$2)*('Old CCC projections data'!$D$2:$D$271=CA$3)*('Old CCC projections data'!$F$2:$BN$271))</f>
        <v>21943.59404834935</v>
      </c>
      <c r="CB17" s="20" cm="1">
        <f t="array" ref="CB17">SUMPRODUCT(('Old CCC projections data'!$F$1:$BN$1=$B17)*('Old CCC projections data'!$A$2:$A$271=CB$2)*('Old CCC projections data'!$D$2:$D$271=CB$3)*('Old CCC projections data'!$F$2:$BN$271))</f>
        <v>27228.880284256546</v>
      </c>
      <c r="CC17" s="20" cm="1">
        <f t="array" ref="CC17">SUMPRODUCT(('Old CCC projections data'!$F$1:$BN$1=$B17)*('Old CCC projections data'!$A$2:$A$271=CC$2)*('Old CCC projections data'!$D$2:$D$271=CC$3)*('Old CCC projections data'!$F$2:$BN$271))</f>
        <v>27066.26764713442</v>
      </c>
      <c r="CD17" s="20" cm="1">
        <f t="array" ref="CD17">SUMPRODUCT(('Old CCC projections data'!$F$1:$BN$1=$B17)*('Old CCC projections data'!$A$2:$A$271=CD$2)*('Old CCC projections data'!$D$2:$D$271=CD$3)*('Old CCC projections data'!$F$2:$BN$271))</f>
        <v>25237.489681727817</v>
      </c>
      <c r="CE17" s="20" cm="1">
        <f t="array" ref="CE17">SUMPRODUCT(('Old CCC projections data'!$F$1:$BN$1=$B17)*('Old CCC projections data'!$A$2:$A$271=CE$2)*('Old CCC projections data'!$D$2:$D$271=CE$3)*('Old CCC projections data'!$F$2:$BN$271))</f>
        <v>28554.51850966665</v>
      </c>
      <c r="CF17" s="20" cm="1">
        <f t="array" ref="CF17">SUMPRODUCT(('Old CCC projections data'!$F$1:$BN$1=$B17)*('Old CCC projections data'!$A$2:$A$271=CF$2)*('Old CCC projections data'!$D$2:$D$271=CF$3)*('Old CCC projections data'!$F$2:$BN$271))</f>
        <v>31374.521112085582</v>
      </c>
      <c r="CG17" s="20" cm="1">
        <f t="array" ref="CG17">SUMPRODUCT(('Old CCC projections data'!$F$1:$BN$1=$B17)*('Old CCC projections data'!$A$2:$A$271=CG$2)*('Old CCC projections data'!$D$2:$D$271=CG$3)*('Old CCC projections data'!$F$2:$BN$271))</f>
        <v>29825.100542260294</v>
      </c>
      <c r="CH17" s="20" cm="1">
        <f t="array" ref="CH17">SUMPRODUCT(('Old CCC projections data'!$F$1:$BN$1=$B17)*('Old CCC projections data'!$A$2:$A$271=CH$2)*('Old CCC projections data'!$D$2:$D$271=CH$3)*('Old CCC projections data'!$F$2:$BN$271))</f>
        <v>28657.656581253057</v>
      </c>
      <c r="CI17" s="20" cm="1">
        <f t="array" ref="CI17">SUMPRODUCT(('Old CCC projections data'!$F$1:$BN$1=$B17)*('Old CCC projections data'!$A$2:$A$271=CI$2)*('Old CCC projections data'!$D$2:$D$271=CI$3)*('Old CCC projections data'!$F$2:$BN$271))</f>
        <v>27991.064172859271</v>
      </c>
      <c r="CJ17" s="20" cm="1">
        <f t="array" ref="CJ17">SUMPRODUCT(('Old CCC projections data'!$F$1:$BN$1=$B17)*('Old CCC projections data'!$A$2:$A$271=CJ$2)*('Old CCC projections data'!$D$2:$D$271=CJ$3)*('Old CCC projections data'!$F$2:$BN$271))</f>
        <v>27677.380933791104</v>
      </c>
      <c r="CK17" s="20" cm="1">
        <f t="array" ref="CK17">SUMPRODUCT(('Old CCC projections data'!$F$1:$BN$1=$B17)*('Old CCC projections data'!$A$2:$A$271=CK$2)*('Old CCC projections data'!$D$2:$D$271=CK$3)*('Old CCC projections data'!$F$2:$BN$271))</f>
        <v>27201.135345171286</v>
      </c>
      <c r="CL17" s="20" cm="1">
        <f t="array" ref="CL17">SUMPRODUCT(('Old CCC projections data'!$F$1:$BN$1=$B17)*('Old CCC projections data'!$A$2:$A$271=CL$2)*('Old CCC projections data'!$D$2:$D$271=CL$3)*('Old CCC projections data'!$F$2:$BN$271))</f>
        <v>32625.384153963965</v>
      </c>
      <c r="CM17" s="20" cm="1">
        <f t="array" ref="CM17">SUMPRODUCT(('Old CCC projections data'!$F$1:$BN$1=$B17)*('Old CCC projections data'!$A$2:$A$271=CM$2)*('Old CCC projections data'!$D$2:$D$271=CM$3)*('Old CCC projections data'!$F$2:$BN$271))</f>
        <v>30938.105489240381</v>
      </c>
      <c r="CN17" s="20" cm="1">
        <f t="array" ref="CN17">SUMPRODUCT(('Old CCC projections data'!$F$1:$BN$1=$B17)*('Old CCC projections data'!$A$2:$A$271=CN$2)*('Old CCC projections data'!$D$2:$D$271=CN$3)*('Old CCC projections data'!$F$2:$BN$271))</f>
        <v>35059.204421205133</v>
      </c>
      <c r="CO17" s="20" cm="1">
        <f t="array" ref="CO17">SUMPRODUCT(('Old CCC projections data'!$F$1:$BN$1=$B17)*('Old CCC projections data'!$A$2:$A$271=CO$2)*('Old CCC projections data'!$D$2:$D$271=CO$3)*('Old CCC projections data'!$F$2:$BN$271))</f>
        <v>25417.60193223058</v>
      </c>
      <c r="CP17" s="20" cm="1">
        <f t="array" ref="CP17">SUMPRODUCT(('Old CCC projections data'!$F$1:$BN$1=$B17)*('Old CCC projections data'!$A$2:$A$271=CP$2)*('Old CCC projections data'!$D$2:$D$271=CP$3)*('Old CCC projections data'!$F$2:$BN$271))</f>
        <v>23526.168033355683</v>
      </c>
      <c r="CQ17" s="20" cm="1">
        <f t="array" ref="CQ17">SUMPRODUCT(('Old CCC projections data'!$F$1:$BN$1=$B17)*('Old CCC projections data'!$A$2:$A$271=CQ$2)*('Old CCC projections data'!$D$2:$D$271=CQ$3)*('Old CCC projections data'!$F$2:$BN$271))</f>
        <v>22042.048020730534</v>
      </c>
      <c r="CR17" s="20" cm="1">
        <f t="array" ref="CR17">SUMPRODUCT(('Old CCC projections data'!$F$1:$BN$1=$B17)*('Old CCC projections data'!$A$2:$A$271=CR$2)*('Old CCC projections data'!$D$2:$D$271=CR$3)*('Old CCC projections data'!$F$2:$BN$271))</f>
        <v>21109.059011854901</v>
      </c>
      <c r="CS17" s="20" cm="1">
        <f t="array" ref="CS17">SUMPRODUCT(('Old CCC projections data'!$F$1:$BN$1=$B17)*('Old CCC projections data'!$A$2:$A$271=CS$2)*('Old CCC projections data'!$D$2:$D$271=CS$3)*('Old CCC projections data'!$F$2:$BN$271))</f>
        <v>20134.995309375867</v>
      </c>
      <c r="CT17" s="20" cm="1">
        <f t="array" ref="CT17">SUMPRODUCT(('Old CCC projections data'!$F$1:$BN$1=$B17)*('Old CCC projections data'!$A$2:$A$271=CT$2)*('Old CCC projections data'!$D$2:$D$271=CT$3)*('Old CCC projections data'!$F$2:$BN$271))</f>
        <v>27181.245742714476</v>
      </c>
      <c r="CU17" s="20" cm="1">
        <f t="array" ref="CU17">SUMPRODUCT(('Old CCC projections data'!$F$1:$BN$1=$B17)*('Old CCC projections data'!$A$2:$A$271=CU$2)*('Old CCC projections data'!$D$2:$D$271=CU$3)*('Old CCC projections data'!$F$2:$BN$271))</f>
        <v>27001.340842493151</v>
      </c>
      <c r="CV17" s="20" cm="1">
        <f t="array" ref="CV17">SUMPRODUCT(('Old CCC projections data'!$F$1:$BN$1=$B17)*('Old CCC projections data'!$A$2:$A$271=CV$2)*('Old CCC projections data'!$D$2:$D$271=CV$3)*('Old CCC projections data'!$F$2:$BN$271))</f>
        <v>24940.768129921606</v>
      </c>
      <c r="CW17" s="20" cm="1">
        <f t="array" ref="CW17">SUMPRODUCT(('Old CCC projections data'!$F$1:$BN$1=$B17)*('Old CCC projections data'!$A$2:$A$271=CW$2)*('Old CCC projections data'!$D$2:$D$271=CW$3)*('Old CCC projections data'!$F$2:$BN$271))</f>
        <v>31259.173721694155</v>
      </c>
      <c r="CX17" s="20">
        <f t="shared" si="19"/>
        <v>4106.8246615189746</v>
      </c>
      <c r="CY17" s="20" t="str">
        <f t="shared" si="29"/>
        <v>Demo path - C price $100 3%</v>
      </c>
      <c r="CZ17" s="3">
        <f t="shared" si="30"/>
        <v>2035</v>
      </c>
      <c r="DA17" s="18">
        <f t="shared" si="31"/>
        <v>0</v>
      </c>
      <c r="DB17" s="18">
        <f ca="1">(H20+IF($DB$3&gt;0,NPV($DB$2,H21:OFFSET(H20,$DB$3,0)),0))/($DB$3+1)</f>
        <v>169.25699416945869</v>
      </c>
      <c r="DC17" s="18">
        <f t="shared" ca="1" si="20"/>
        <v>69.256994169458693</v>
      </c>
      <c r="DD17" s="18">
        <f t="shared" si="32"/>
        <v>100</v>
      </c>
      <c r="DE17" s="126">
        <f>DE16-($DE$12-$DE$18)/6</f>
        <v>27635.22957283038</v>
      </c>
      <c r="DF17" s="20" cm="1">
        <f t="array" ref="DF17">SUMPRODUCT(($BG$2:$BM$2=CY17)*($B$5:$B$35=CZ17)*($BG$5:$BM$35))</f>
        <v>24313.870226836443</v>
      </c>
      <c r="DG17" s="20">
        <f t="shared" si="16"/>
        <v>3321.3593459939366</v>
      </c>
      <c r="DH17" s="20" cm="1">
        <f t="array" ref="DH17">IF(CZ17=2023,SUMPRODUCT(($B$5:$B$35=CZ17-1)*($BN$5:$BN$35))-SUMPRODUCT(($BG$2:$BM$2=CY17)*($B$5:$B$35=CZ17-1)*($BG$5:$BM$35)),DG16)</f>
        <v>3356.0320556080733</v>
      </c>
      <c r="DI17" s="18">
        <f t="shared" ca="1" si="17"/>
        <v>169.25699416945869</v>
      </c>
      <c r="DJ17" s="89">
        <f t="shared" si="22"/>
        <v>8.1081294196766489</v>
      </c>
      <c r="DK17" s="89">
        <f t="shared" si="23"/>
        <v>8.1185146192721334</v>
      </c>
      <c r="DL17" s="89">
        <f t="shared" ca="1" si="24"/>
        <v>5.1314182354257518</v>
      </c>
      <c r="DM17" s="20">
        <f t="shared" ca="1" si="25"/>
        <v>2014.1785516563834</v>
      </c>
      <c r="DN17" s="20">
        <f t="shared" ca="1" si="26"/>
        <v>4012.6949006101363</v>
      </c>
      <c r="DO17" s="20">
        <f t="shared" ca="1" si="27"/>
        <v>3013.43672613326</v>
      </c>
      <c r="DP17" s="113"/>
    </row>
    <row r="18" spans="1:131" x14ac:dyDescent="0.25">
      <c r="A18">
        <v>0.5</v>
      </c>
      <c r="B18">
        <f t="shared" si="28"/>
        <v>2033</v>
      </c>
      <c r="C18" s="190">
        <f>IF(C17*(1+A18*Model!$B$19*IF(Model!$B$28=0,1,((Model!$B$28-B18)/(Model!$B$28-$B$9))))&gt;Model!$B$44,C17*(1+A18*Model!$B$19*IF(Model!$B$28=0,1,((Model!$B$28-B18)/(Model!$B$28-$B$9)))),Model!$B$44)</f>
        <v>76.687828399738422</v>
      </c>
      <c r="D18" s="18" cm="1">
        <f t="array" ref="D18">SUMPRODUCT(('Old CCC projections data'!$F$1:$BN$1=$B18)*('Old CCC projections data'!$A$2:$A$271=D$2)*('Old CCC projections data'!$D$2:$D$271=D$3)*('Old CCC projections data'!$F$2:$BN$271))*Model!$B$47</f>
        <v>41.549707602339183</v>
      </c>
      <c r="E18" s="18" cm="1">
        <f t="array" ref="E18">SUMPRODUCT(('Old CCC projections data'!$F$1:$BN$1=$B18)*('Old CCC projections data'!$A$2:$A$271=E$2)*('Old CCC projections data'!$D$2:$D$271=E$3)*('Old CCC projections data'!$F$2:$BN$271))*Model!$B$47</f>
        <v>1.1871345029239767E-2</v>
      </c>
      <c r="F18" s="18"/>
      <c r="G18" s="18"/>
      <c r="H18" s="18" cm="1">
        <f t="array" ref="H18">SUMPRODUCT(('Old CCC projections data'!$F$1:$BN$1=$B18)*('Old CCC projections data'!$A$2:$A$271=H$2)*('Old CCC projections data'!$D$2:$D$271=H$3)*('Old CCC projections data'!$F$2:$BN$271))*Model!$B$47</f>
        <v>159.54095029640749</v>
      </c>
      <c r="I18" s="18" cm="1">
        <f t="array" ref="I18">SUMPRODUCT(('Old CCC projections data'!$F$1:$BN$1=$B18)*('Old CCC projections data'!$A$2:$A$271=I$2)*('Old CCC projections data'!$D$2:$D$271=I$3)*('Old CCC projections data'!$F$2:$BN$271))*Model!$B$47</f>
        <v>239.31142544461122</v>
      </c>
      <c r="J18" s="18" cm="1">
        <f t="array" ref="J18">SUMPRODUCT(('Old CCC projections data'!$F$1:$BN$1=$B18)*('Old CCC projections data'!$A$2:$A$271=J$2)*('Old CCC projections data'!$D$2:$D$271=J$3)*('Old CCC projections data'!$F$2:$BN$271))*Model!$B$47</f>
        <v>319.08190059281497</v>
      </c>
      <c r="K18" s="18" cm="1">
        <f t="array" ref="K18">SUMPRODUCT(('Old CCC projections data'!$F$1:$BN$1=$B18)*('Old CCC projections data'!$A$2:$A$271=K$2)*('Old CCC projections data'!$D$2:$D$271=K$3)*('Old CCC projections data'!$F$2:$BN$271))*Model!$B$47</f>
        <v>398.8523757410187</v>
      </c>
      <c r="L18" s="18" cm="1">
        <f t="array" ref="L18">SUMPRODUCT(('Old CCC projections data'!$F$1:$BN$1=$B18)*('Old CCC projections data'!$A$2:$A$271=L$2)*('Old CCC projections data'!$D$2:$D$271=L$3)*('Old CCC projections data'!$F$2:$BN$271))*Model!$B$47</f>
        <v>478.62285088922243</v>
      </c>
      <c r="M18" s="18" cm="1">
        <f t="array" ref="M18">SUMPRODUCT(('Old CCC projections data'!$F$1:$BN$1=$B18)*('Old CCC projections data'!$A$2:$A$271=M$2)*('Old CCC projections data'!$D$2:$D$271=M$3)*('Old CCC projections data'!$F$2:$BN$271))*Model!$B$47</f>
        <v>79.770475148203744</v>
      </c>
      <c r="N18" s="189" cm="1">
        <f t="array" ref="N18">SUMPRODUCT(('Old CCC projections data'!$F$1:$BN$1=$B18)*('Old CCC projections data'!$A$2:$A$271=N$2)*('Old CCC projections data'!$D$2:$D$271=N$3)*('Old CCC projections data'!$F$2:$BN$271))*Model!$B$47</f>
        <v>186.74133340167833</v>
      </c>
      <c r="O18" s="18" cm="1">
        <f t="array" ref="O18">SUMPRODUCT(('Old CCC projections data'!$F$1:$BN$1=$B18)*('Old CCC projections data'!$A$2:$A$271=O$2)*('Old CCC projections data'!$D$2:$D$271=O$3)*('Old CCC projections data'!$F$2:$BN$271))*Model!$B$47</f>
        <v>1.1871345029239767E-2</v>
      </c>
      <c r="P18" s="18" cm="1">
        <f t="array" ref="P18">SUMPRODUCT(('Old CCC projections data'!$F$1:$BN$1=$B18)*('Old CCC projections data'!$A$2:$A$271=P$2)*('Old CCC projections data'!$D$2:$D$271=P$3)*('Old CCC projections data'!$F$2:$BN$271))*Model!$B$47</f>
        <v>159.54095029640749</v>
      </c>
      <c r="Q18" s="18" cm="1">
        <f t="array" ref="Q18">SUMPRODUCT(('Old CCC projections data'!$F$1:$BN$1=$B18)*('Old CCC projections data'!$A$2:$A$271=Q$2)*('Old CCC projections data'!$D$2:$D$271=Q$3)*('Old CCC projections data'!$F$2:$BN$271))*Model!$B$47</f>
        <v>239.31142544461122</v>
      </c>
      <c r="R18" s="18" cm="1">
        <f t="array" ref="R18">SUMPRODUCT(('Old CCC projections data'!$F$1:$BN$1=$B18)*('Old CCC projections data'!$A$2:$A$271=R$2)*('Old CCC projections data'!$D$2:$D$271=R$3)*('Old CCC projections data'!$F$2:$BN$271))*Model!$B$47</f>
        <v>319.08190059281497</v>
      </c>
      <c r="S18" s="18" cm="1">
        <f t="array" ref="S18">SUMPRODUCT(('Old CCC projections data'!$F$1:$BN$1=$B18)*('Old CCC projections data'!$A$2:$A$271=S$2)*('Old CCC projections data'!$D$2:$D$271=S$3)*('Old CCC projections data'!$F$2:$BN$271))*Model!$B$47</f>
        <v>398.8523757410187</v>
      </c>
      <c r="T18" s="18" cm="1">
        <f t="array" ref="T18">SUMPRODUCT(('Old CCC projections data'!$F$1:$BN$1=$B18)*('Old CCC projections data'!$A$2:$A$271=T$2)*('Old CCC projections data'!$D$2:$D$271=T$3)*('Old CCC projections data'!$F$2:$BN$271))*Model!$B$47</f>
        <v>478.62285088922243</v>
      </c>
      <c r="U18" s="18" cm="1">
        <f t="array" ref="U18">SUMPRODUCT(('Old CCC projections data'!$F$1:$BN$1=$B18)*('Old CCC projections data'!$A$2:$A$271=U$2)*('Old CCC projections data'!$D$2:$D$271=U$3)*('Old CCC projections data'!$F$2:$BN$271))*Model!$B$47</f>
        <v>79.770475148203744</v>
      </c>
      <c r="V18" s="18" cm="1">
        <f t="array" ref="V18">SUMPRODUCT(('Old CCC projections data'!$F$1:$BN$1=$B18)*('Old CCC projections data'!$A$2:$A$271=V$2)*('Old CCC projections data'!$D$2:$D$271=V$3)*('Old CCC projections data'!$F$2:$BN$271))*Model!$B$47</f>
        <v>186.74133340167833</v>
      </c>
      <c r="W18" s="18" cm="1">
        <f t="array" ref="W18">SUMPRODUCT(('Old CCC projections data'!$F$1:$BN$1=$B18)*('Old CCC projections data'!$A$2:$A$271=W$2)*('Old CCC projections data'!$D$2:$D$271=W$3)*('Old CCC projections data'!$F$2:$BN$271))*Model!$B$47</f>
        <v>1.1871345029239767E-2</v>
      </c>
      <c r="X18" s="18" cm="1">
        <f t="array" ref="X18">SUMPRODUCT(('Old CCC projections data'!$F$1:$BN$1=$B18)*('Old CCC projections data'!$A$2:$A$271=X$2)*('Old CCC projections data'!$D$2:$D$271=X$3)*('Old CCC projections data'!$F$2:$BN$271))*Model!$B$47</f>
        <v>159.54095029640749</v>
      </c>
      <c r="Y18" s="18" cm="1">
        <f t="array" ref="Y18">SUMPRODUCT(('Old CCC projections data'!$F$1:$BN$1=$B18)*('Old CCC projections data'!$A$2:$A$271=Y$2)*('Old CCC projections data'!$D$2:$D$271=Y$3)*('Old CCC projections data'!$F$2:$BN$271))*Model!$B$47</f>
        <v>239.31142544461122</v>
      </c>
      <c r="Z18" s="18" cm="1">
        <f t="array" ref="Z18">SUMPRODUCT(('Old CCC projections data'!$F$1:$BN$1=$B18)*('Old CCC projections data'!$A$2:$A$271=Z$2)*('Old CCC projections data'!$D$2:$D$271=Z$3)*('Old CCC projections data'!$F$2:$BN$271))*Model!$B$47</f>
        <v>319.08190059281497</v>
      </c>
      <c r="AA18" s="18" cm="1">
        <f t="array" ref="AA18">SUMPRODUCT(('Old CCC projections data'!$F$1:$BN$1=$B18)*('Old CCC projections data'!$A$2:$A$271=AA$2)*('Old CCC projections data'!$D$2:$D$271=AA$3)*('Old CCC projections data'!$F$2:$BN$271))*Model!$B$47</f>
        <v>398.8523757410187</v>
      </c>
      <c r="AB18" s="18" cm="1">
        <f t="array" ref="AB18">SUMPRODUCT(('Old CCC projections data'!$F$1:$BN$1=$B18)*('Old CCC projections data'!$A$2:$A$271=AB$2)*('Old CCC projections data'!$D$2:$D$271=AB$3)*('Old CCC projections data'!$F$2:$BN$271))*Model!$B$47</f>
        <v>478.62285088922243</v>
      </c>
      <c r="AC18" s="18" cm="1">
        <f t="array" ref="AC18">SUMPRODUCT(('Old CCC projections data'!$F$1:$BN$1=$B18)*('Old CCC projections data'!$A$2:$A$271=AC$2)*('Old CCC projections data'!$D$2:$D$271=AC$3)*('Old CCC projections data'!$F$2:$BN$271))*Model!$B$47</f>
        <v>79.770475148203744</v>
      </c>
      <c r="AD18" s="18" cm="1">
        <f t="array" ref="AD18">SUMPRODUCT(('Old CCC projections data'!$F$1:$BN$1=$B18)*('Old CCC projections data'!$A$2:$A$271=AD$2)*('Old CCC projections data'!$D$2:$D$271=AD$3)*('Old CCC projections data'!$F$2:$BN$271))*Model!$B$47</f>
        <v>87.7475226630241</v>
      </c>
      <c r="AE18" s="18" cm="1">
        <f t="array" ref="AE18">SUMPRODUCT(('Old CCC projections data'!$F$1:$BN$1=$B18)*('Old CCC projections data'!$A$2:$A$271=AE$2)*('Old CCC projections data'!$D$2:$D$271=AE$3)*('Old CCC projections data'!$F$2:$BN$271))*Model!$B$47</f>
        <v>186.74133340167833</v>
      </c>
      <c r="AF18" s="18" cm="1">
        <f t="array" ref="AF18">SUMPRODUCT(('Old CCC projections data'!$F$1:$BN$1=$B18)*('Old CCC projections data'!$A$2:$A$271=AF$2)*('Old CCC projections data'!$D$2:$D$271=AF$3)*('Old CCC projections data'!$F$2:$BN$271))*Model!$B$47</f>
        <v>1.1871345029239767E-2</v>
      </c>
      <c r="AG18" s="18" cm="1">
        <f t="array" ref="AG18">SUMPRODUCT(('Old CCC projections data'!$F$1:$BN$1=$B18)*('Old CCC projections data'!$A$2:$A$271=AG$2)*('Old CCC projections data'!$D$2:$D$271=AG$3)*('Old CCC projections data'!$F$2:$BN$271))*Model!$B$47</f>
        <v>159.54095029640749</v>
      </c>
      <c r="AH18" s="18" cm="1">
        <f t="array" ref="AH18">SUMPRODUCT(('Old CCC projections data'!$F$1:$BN$1=$B18)*('Old CCC projections data'!$A$2:$A$271=AH$2)*('Old CCC projections data'!$D$2:$D$271=AH$3)*('Old CCC projections data'!$F$2:$BN$271))*Model!$B$47</f>
        <v>239.31142544461122</v>
      </c>
      <c r="AI18" s="18" cm="1">
        <f t="array" ref="AI18">SUMPRODUCT(('Old CCC projections data'!$F$1:$BN$1=$B18)*('Old CCC projections data'!$A$2:$A$271=AI$2)*('Old CCC projections data'!$D$2:$D$271=AI$3)*('Old CCC projections data'!$F$2:$BN$271))*Model!$B$47</f>
        <v>319.08190059281497</v>
      </c>
      <c r="AJ18" s="18" cm="1">
        <f t="array" ref="AJ18">SUMPRODUCT(('Old CCC projections data'!$F$1:$BN$1=$B18)*('Old CCC projections data'!$A$2:$A$271=AJ$2)*('Old CCC projections data'!$D$2:$D$271=AJ$3)*('Old CCC projections data'!$F$2:$BN$271))*Model!$B$47</f>
        <v>398.8523757410187</v>
      </c>
      <c r="AK18" s="18" cm="1">
        <f t="array" ref="AK18">SUMPRODUCT(('Old CCC projections data'!$F$1:$BN$1=$B18)*('Old CCC projections data'!$A$2:$A$271=AK$2)*('Old CCC projections data'!$D$2:$D$271=AK$3)*('Old CCC projections data'!$F$2:$BN$271))*Model!$B$47</f>
        <v>430.76056580030024</v>
      </c>
      <c r="AL18" s="18" cm="1">
        <f t="array" ref="AL18">SUMPRODUCT(('Old CCC projections data'!$F$1:$BN$1=$B18)*('Old CCC projections data'!$A$2:$A$271=AL$2)*('Old CCC projections data'!$D$2:$D$271=AL$3)*('Old CCC projections data'!$F$2:$BN$271))*Model!$B$47</f>
        <v>478.62285088922243</v>
      </c>
      <c r="AM18" s="18" cm="1">
        <f t="array" ref="AM18">SUMPRODUCT(('Old CCC projections data'!$F$1:$BN$1=$B18)*('Old CCC projections data'!$A$2:$A$271=AM$2)*('Old CCC projections data'!$D$2:$D$271=AM$3)*('Old CCC projections data'!$F$2:$BN$271))*Model!$B$47</f>
        <v>79.770475148203744</v>
      </c>
      <c r="AN18" s="18" cm="1">
        <f t="array" ref="AN18">SUMPRODUCT(('Old CCC projections data'!$F$1:$BN$1=$B18)*('Old CCC projections data'!$A$2:$A$271=AN$2)*('Old CCC projections data'!$D$2:$D$271=AN$3)*('Old CCC projections data'!$F$2:$BN$271))*Model!$B$47</f>
        <v>186.74133340167833</v>
      </c>
      <c r="AO18" s="18" cm="1">
        <f t="array" ref="AO18">SUMPRODUCT(('Old CCC projections data'!$F$1:$BN$1=$B18)*('Old CCC projections data'!$A$2:$A$271=AO$2)*('Old CCC projections data'!$D$2:$D$271=AO$3)*('Old CCC projections data'!$F$2:$BN$271))*Model!$B$47</f>
        <v>1.1871345029239767E-2</v>
      </c>
      <c r="AP18" s="18" cm="1">
        <f t="array" ref="AP18">SUMPRODUCT(('Old CCC projections data'!$F$1:$BN$1=$B18)*('Old CCC projections data'!$A$2:$A$271=AP$2)*('Old CCC projections data'!$D$2:$D$271=AP$3)*('Old CCC projections data'!$F$2:$BN$271))*Model!$B$47</f>
        <v>159.54095029640749</v>
      </c>
      <c r="AQ18" s="18" cm="1">
        <f t="array" ref="AQ18">SUMPRODUCT(('Old CCC projections data'!$F$1:$BN$1=$B18)*('Old CCC projections data'!$A$2:$A$271=AQ$2)*('Old CCC projections data'!$D$2:$D$271=AQ$3)*('Old CCC projections data'!$F$2:$BN$271))*Model!$B$47</f>
        <v>239.31142544461122</v>
      </c>
      <c r="AR18" s="18" cm="1">
        <f t="array" ref="AR18">SUMPRODUCT(('Old CCC projections data'!$F$1:$BN$1=$B18)*('Old CCC projections data'!$A$2:$A$271=AR$2)*('Old CCC projections data'!$D$2:$D$271=AR$3)*('Old CCC projections data'!$F$2:$BN$271))*Model!$B$47</f>
        <v>319.08190059281497</v>
      </c>
      <c r="AS18" s="18" cm="1">
        <f t="array" ref="AS18">SUMPRODUCT(('Old CCC projections data'!$F$1:$BN$1=$B18)*('Old CCC projections data'!$A$2:$A$271=AS$2)*('Old CCC projections data'!$D$2:$D$271=AS$3)*('Old CCC projections data'!$F$2:$BN$271))*Model!$B$47</f>
        <v>398.8523757410187</v>
      </c>
      <c r="AT18" s="18" cm="1">
        <f t="array" ref="AT18">SUMPRODUCT(('Old CCC projections data'!$F$1:$BN$1=$B18)*('Old CCC projections data'!$A$2:$A$271=AT$2)*('Old CCC projections data'!$D$2:$D$271=AT$3)*('Old CCC projections data'!$F$2:$BN$271))*Model!$B$47</f>
        <v>478.62285088922243</v>
      </c>
      <c r="AU18" s="18" cm="1">
        <f t="array" ref="AU18">SUMPRODUCT(('Old CCC projections data'!$F$1:$BN$1=$B18)*('Old CCC projections data'!$A$2:$A$271=AU$2)*('Old CCC projections data'!$D$2:$D$271=AU$3)*('Old CCC projections data'!$F$2:$BN$271))*Model!$B$47</f>
        <v>79.770475148203744</v>
      </c>
      <c r="AV18" s="18" cm="1">
        <f t="array" ref="AV18">SUMPRODUCT(('Old CCC projections data'!$F$1:$BN$1=$B18)*('Old CCC projections data'!$A$2:$A$271=AV$2)*('Old CCC projections data'!$D$2:$D$271=AV$3)*('Old CCC projections data'!$F$2:$BN$271))*Model!$B$47</f>
        <v>87.7475226630241</v>
      </c>
      <c r="AW18" s="18" cm="1">
        <f t="array" ref="AW18">SUMPRODUCT(('Old CCC projections data'!$F$1:$BN$1=$B18)*('Old CCC projections data'!$A$2:$A$271=AW$2)*('Old CCC projections data'!$D$2:$D$271=AW$3)*('Old CCC projections data'!$F$2:$BN$271))*Model!$B$47</f>
        <v>186.74133340167833</v>
      </c>
      <c r="AX18" s="18" cm="1">
        <f t="array" ref="AX18">SUMPRODUCT(('Old CCC projections data'!$F$1:$BN$1=$B18)*('Old CCC projections data'!$A$2:$A$271=AX$2)*('Old CCC projections data'!$D$2:$D$271=AX$3)*('Old CCC projections data'!$F$2:$BN$271))*Model!$B$47</f>
        <v>1.1871345029239767E-2</v>
      </c>
      <c r="AY18" s="18">
        <v>57.714285714285722</v>
      </c>
      <c r="AZ18" s="18">
        <v>39.666666666666643</v>
      </c>
      <c r="BA18" s="18">
        <v>70</v>
      </c>
      <c r="BB18" s="18"/>
      <c r="BC18" s="20" cm="1">
        <f t="array" ref="BC18">SUMPRODUCT(('Old CCC projections data'!$F$1:$BN$1=$B18)*('Old CCC projections data'!$A$2:$A$271=BC$2)*('Old CCC projections data'!$D$2:$D$271=BC$3)*('Old CCC projections data'!$F$2:$BN$271))</f>
        <v>34806.179754795972</v>
      </c>
      <c r="BD18" s="126">
        <f t="shared" si="33"/>
        <v>35606.015244503913</v>
      </c>
      <c r="BE18" s="20"/>
      <c r="BF18" s="20"/>
      <c r="BG18" s="20" cm="1">
        <f t="array" ref="BG18">SUMPRODUCT(('Old CCC projections data'!$F$1:$BN$1=$B18)*('Old CCC projections data'!$A$2:$A$271=BG$2)*('Old CCC projections data'!$D$2:$D$271=BG$3)*('Old CCC projections data'!$F$2:$BN$271))</f>
        <v>26606.233838252152</v>
      </c>
      <c r="BH18" s="20" cm="1">
        <f t="array" ref="BH18">SUMPRODUCT(('Old CCC projections data'!$F$1:$BN$1=$B18)*('Old CCC projections data'!$A$2:$A$271=BH$2)*('Old CCC projections data'!$D$2:$D$271=BH$3)*('Old CCC projections data'!$F$2:$BN$271))</f>
        <v>24879.907035559325</v>
      </c>
      <c r="BI18" s="20" cm="1">
        <f t="array" ref="BI18">SUMPRODUCT(('Old CCC projections data'!$F$1:$BN$1=$B18)*('Old CCC projections data'!$A$2:$A$271=BI$2)*('Old CCC projections data'!$D$2:$D$271=BI$3)*('Old CCC projections data'!$F$2:$BN$271))</f>
        <v>23559.735427754382</v>
      </c>
      <c r="BJ18" s="20" cm="1">
        <f t="array" ref="BJ18">SUMPRODUCT(('Old CCC projections data'!$F$1:$BN$1=$B18)*('Old CCC projections data'!$A$2:$A$271=BJ$2)*('Old CCC projections data'!$D$2:$D$271=BJ$3)*('Old CCC projections data'!$F$2:$BN$271))</f>
        <v>22708.500050130406</v>
      </c>
      <c r="BK18" s="20" cm="1">
        <f t="array" ref="BK18">SUMPRODUCT(('Old CCC projections data'!$F$1:$BN$1=$B18)*('Old CCC projections data'!$A$2:$A$271=BK$2)*('Old CCC projections data'!$D$2:$D$271=BK$3)*('Old CCC projections data'!$F$2:$BN$271))</f>
        <v>21793.317239922038</v>
      </c>
      <c r="BL18" s="20" cm="1">
        <f t="array" ref="BL18">SUMPRODUCT(('Old CCC projections data'!$F$1:$BN$1=$B18)*('Old CCC projections data'!$A$2:$A$271=BL$2)*('Old CCC projections data'!$D$2:$D$271=BL$3)*('Old CCC projections data'!$F$2:$BN$271))</f>
        <v>28309.317281758387</v>
      </c>
      <c r="BM18" s="20" cm="1">
        <f t="array" ref="BM18">SUMPRODUCT(('Old CCC projections data'!$F$1:$BN$1=$B18)*('Old CCC projections data'!$A$2:$A$271=BM$2)*('Old CCC projections data'!$D$2:$D$271=BM$3)*('Old CCC projections data'!$F$2:$BN$271))</f>
        <v>26027.098642132438</v>
      </c>
      <c r="BN18" s="126">
        <f>BN17-($BN$15-$BN$21)/6</f>
        <v>30090.040144135091</v>
      </c>
      <c r="BO18" s="20" cm="1">
        <f t="array" ref="BO18">SUMPRODUCT(('Old CCC projections data'!$F$1:$BN$1=$B18)*('Old CCC projections data'!$A$2:$A$271=BO$2)*('Old CCC projections data'!$D$2:$D$271=BO$3)*('Old CCC projections data'!$F$2:$BN$271))</f>
        <v>29142.84596692364</v>
      </c>
      <c r="BP18" s="20" cm="1">
        <f t="array" ref="BP18">SUMPRODUCT(('Old CCC projections data'!$F$1:$BN$1=$B18)*('Old CCC projections data'!$A$2:$A$271=BP$2)*('Old CCC projections data'!$D$2:$D$271=BP$3)*('Old CCC projections data'!$F$2:$BN$271))</f>
        <v>27394.314116220437</v>
      </c>
      <c r="BQ18" s="20" cm="1">
        <f t="array" ref="BQ18">SUMPRODUCT(('Old CCC projections data'!$F$1:$BN$1=$B18)*('Old CCC projections data'!$A$2:$A$271=BQ$2)*('Old CCC projections data'!$D$2:$D$271=BQ$3)*('Old CCC projections data'!$F$2:$BN$271))</f>
        <v>25983.521600354066</v>
      </c>
      <c r="BR18" s="20" cm="1">
        <f t="array" ref="BR18">SUMPRODUCT(('Old CCC projections data'!$F$1:$BN$1=$B18)*('Old CCC projections data'!$A$2:$A$271=BR$2)*('Old CCC projections data'!$D$2:$D$271=BR$3)*('Old CCC projections data'!$F$2:$BN$271))</f>
        <v>24906.70753390533</v>
      </c>
      <c r="BS18" s="20" cm="1">
        <f t="array" ref="BS18">SUMPRODUCT(('Old CCC projections data'!$F$1:$BN$1=$B18)*('Old CCC projections data'!$A$2:$A$271=BS$2)*('Old CCC projections data'!$D$2:$D$271=BS$3)*('Old CCC projections data'!$F$2:$BN$271))</f>
        <v>23993.202350499454</v>
      </c>
      <c r="BT18" s="20" cm="1">
        <f t="array" ref="BT18">SUMPRODUCT(('Old CCC projections data'!$F$1:$BN$1=$B18)*('Old CCC projections data'!$A$2:$A$271=BT$2)*('Old CCC projections data'!$D$2:$D$271=BT$3)*('Old CCC projections data'!$F$2:$BN$271))</f>
        <v>30453.099162005674</v>
      </c>
      <c r="BU18" s="20" cm="1">
        <f t="array" ref="BU18">SUMPRODUCT(('Old CCC projections data'!$F$1:$BN$1=$B18)*('Old CCC projections data'!$A$2:$A$271=BU$2)*('Old CCC projections data'!$D$2:$D$271=BU$3)*('Old CCC projections data'!$F$2:$BN$271))</f>
        <v>28605.10885269834</v>
      </c>
      <c r="BV18" s="20" cm="1">
        <f t="array" ref="BV18">SUMPRODUCT(('Old CCC projections data'!$F$1:$BN$1=$B18)*('Old CCC projections data'!$A$2:$A$271=BV$2)*('Old CCC projections data'!$D$2:$D$271=BV$3)*('Old CCC projections data'!$F$2:$BN$271))</f>
        <v>34343.908210474016</v>
      </c>
      <c r="BW18" s="20" cm="1">
        <f t="array" ref="BW18">SUMPRODUCT(('Old CCC projections data'!$F$1:$BN$1=$B18)*('Old CCC projections data'!$A$2:$A$271=BW$2)*('Old CCC projections data'!$D$2:$D$271=BW$3)*('Old CCC projections data'!$F$2:$BN$271))</f>
        <v>24459.933837066696</v>
      </c>
      <c r="BX18" s="20" cm="1">
        <f t="array" ref="BX18">SUMPRODUCT(('Old CCC projections data'!$F$1:$BN$1=$B18)*('Old CCC projections data'!$A$2:$A$271=BX$2)*('Old CCC projections data'!$D$2:$D$271=BX$3)*('Old CCC projections data'!$F$2:$BN$271))</f>
        <v>23023.380063573153</v>
      </c>
      <c r="BY18" s="20" cm="1">
        <f t="array" ref="BY18">SUMPRODUCT(('Old CCC projections data'!$F$1:$BN$1=$B18)*('Old CCC projections data'!$A$2:$A$271=BY$2)*('Old CCC projections data'!$D$2:$D$271=BY$3)*('Old CCC projections data'!$F$2:$BN$271))</f>
        <v>21937.04600066382</v>
      </c>
      <c r="BZ18" s="20" cm="1">
        <f t="array" ref="BZ18">SUMPRODUCT(('Old CCC projections data'!$F$1:$BN$1=$B18)*('Old CCC projections data'!$A$2:$A$271=BZ$2)*('Old CCC projections data'!$D$2:$D$271=BZ$3)*('Old CCC projections data'!$F$2:$BN$271))</f>
        <v>21422.224679458748</v>
      </c>
      <c r="CA18" s="20" cm="1">
        <f t="array" ref="CA18">SUMPRODUCT(('Old CCC projections data'!$F$1:$BN$1=$B18)*('Old CCC projections data'!$A$2:$A$271=CA$2)*('Old CCC projections data'!$D$2:$D$271=CA$3)*('Old CCC projections data'!$F$2:$BN$271))</f>
        <v>20788.568703010009</v>
      </c>
      <c r="CB18" s="20" cm="1">
        <f t="array" ref="CB18">SUMPRODUCT(('Old CCC projections data'!$F$1:$BN$1=$B18)*('Old CCC projections data'!$A$2:$A$271=CB$2)*('Old CCC projections data'!$D$2:$D$271=CB$3)*('Old CCC projections data'!$F$2:$BN$271))</f>
        <v>26045.74996846358</v>
      </c>
      <c r="CC18" s="20" cm="1">
        <f t="array" ref="CC18">SUMPRODUCT(('Old CCC projections data'!$F$1:$BN$1=$B18)*('Old CCC projections data'!$A$2:$A$271=CC$2)*('Old CCC projections data'!$D$2:$D$271=CC$3)*('Old CCC projections data'!$F$2:$BN$271))</f>
        <v>25946.014936054111</v>
      </c>
      <c r="CD18" s="20" cm="1">
        <f t="array" ref="CD18">SUMPRODUCT(('Old CCC projections data'!$F$1:$BN$1=$B18)*('Old CCC projections data'!$A$2:$A$271=CD$2)*('Old CCC projections data'!$D$2:$D$271=CD$3)*('Old CCC projections data'!$F$2:$BN$271))</f>
        <v>23960.418149459339</v>
      </c>
      <c r="CE18" s="20" cm="1">
        <f t="array" ref="CE18">SUMPRODUCT(('Old CCC projections data'!$F$1:$BN$1=$B18)*('Old CCC projections data'!$A$2:$A$271=CE$2)*('Old CCC projections data'!$D$2:$D$271=CE$3)*('Old CCC projections data'!$F$2:$BN$271))</f>
        <v>27473.744817266015</v>
      </c>
      <c r="CF18" s="20" cm="1">
        <f t="array" ref="CF18">SUMPRODUCT(('Old CCC projections data'!$F$1:$BN$1=$B18)*('Old CCC projections data'!$A$2:$A$271=CF$2)*('Old CCC projections data'!$D$2:$D$271=CF$3)*('Old CCC projections data'!$F$2:$BN$271))</f>
        <v>30715.546723690899</v>
      </c>
      <c r="CG18" s="20" cm="1">
        <f t="array" ref="CG18">SUMPRODUCT(('Old CCC projections data'!$F$1:$BN$1=$B18)*('Old CCC projections data'!$A$2:$A$271=CG$2)*('Old CCC projections data'!$D$2:$D$271=CG$3)*('Old CCC projections data'!$F$2:$BN$271))</f>
        <v>28990.826297496013</v>
      </c>
      <c r="CH18" s="20" cm="1">
        <f t="array" ref="CH18">SUMPRODUCT(('Old CCC projections data'!$F$1:$BN$1=$B18)*('Old CCC projections data'!$A$2:$A$271=CH$2)*('Old CCC projections data'!$D$2:$D$271=CH$3)*('Old CCC projections data'!$F$2:$BN$271))</f>
        <v>27836.636998010061</v>
      </c>
      <c r="CI18" s="20" cm="1">
        <f t="array" ref="CI18">SUMPRODUCT(('Old CCC projections data'!$F$1:$BN$1=$B18)*('Old CCC projections data'!$A$2:$A$271=CI$2)*('Old CCC projections data'!$D$2:$D$271=CI$3)*('Old CCC projections data'!$F$2:$BN$271))</f>
        <v>27134.78319802343</v>
      </c>
      <c r="CJ18" s="20" cm="1">
        <f t="array" ref="CJ18">SUMPRODUCT(('Old CCC projections data'!$F$1:$BN$1=$B18)*('Old CCC projections data'!$A$2:$A$271=CJ$2)*('Old CCC projections data'!$D$2:$D$271=CJ$3)*('Old CCC projections data'!$F$2:$BN$271))</f>
        <v>26840.817506313764</v>
      </c>
      <c r="CK18" s="20" cm="1">
        <f t="array" ref="CK18">SUMPRODUCT(('Old CCC projections data'!$F$1:$BN$1=$B18)*('Old CCC projections data'!$A$2:$A$271=CK$2)*('Old CCC projections data'!$D$2:$D$271=CK$3)*('Old CCC projections data'!$F$2:$BN$271))</f>
        <v>26596.792796494679</v>
      </c>
      <c r="CL18" s="20" cm="1">
        <f t="array" ref="CL18">SUMPRODUCT(('Old CCC projections data'!$F$1:$BN$1=$B18)*('Old CCC projections data'!$A$2:$A$271=CL$2)*('Old CCC projections data'!$D$2:$D$271=CL$3)*('Old CCC projections data'!$F$2:$BN$271))</f>
        <v>32037.289419445813</v>
      </c>
      <c r="CM18" s="20" cm="1">
        <f t="array" ref="CM18">SUMPRODUCT(('Old CCC projections data'!$F$1:$BN$1=$B18)*('Old CCC projections data'!$A$2:$A$271=CM$2)*('Old CCC projections data'!$D$2:$D$271=CM$3)*('Old CCC projections data'!$F$2:$BN$271))</f>
        <v>30257.384967006328</v>
      </c>
      <c r="CN18" s="20" cm="1">
        <f t="array" ref="CN18">SUMPRODUCT(('Old CCC projections data'!$F$1:$BN$1=$B18)*('Old CCC projections data'!$A$2:$A$271=CN$2)*('Old CCC projections data'!$D$2:$D$271=CN$3)*('Old CCC projections data'!$F$2:$BN$271))</f>
        <v>34800.108795371598</v>
      </c>
      <c r="CO18" s="20" cm="1">
        <f t="array" ref="CO18">SUMPRODUCT(('Old CCC projections data'!$F$1:$BN$1=$B18)*('Old CCC projections data'!$A$2:$A$271=CO$2)*('Old CCC projections data'!$D$2:$D$271=CO$3)*('Old CCC projections data'!$F$2:$BN$271))</f>
        <v>24230.723380251089</v>
      </c>
      <c r="CP18" s="20" cm="1">
        <f t="array" ref="CP18">SUMPRODUCT(('Old CCC projections data'!$F$1:$BN$1=$B18)*('Old CCC projections data'!$A$2:$A$271=CP$2)*('Old CCC projections data'!$D$2:$D$271=CP$3)*('Old CCC projections data'!$F$2:$BN$271))</f>
        <v>22217.713101865906</v>
      </c>
      <c r="CQ18" s="20" cm="1">
        <f t="array" ref="CQ18">SUMPRODUCT(('Old CCC projections data'!$F$1:$BN$1=$B18)*('Old CCC projections data'!$A$2:$A$271=CQ$2)*('Old CCC projections data'!$D$2:$D$271=CQ$3)*('Old CCC projections data'!$F$2:$BN$271))</f>
        <v>20758.939358295924</v>
      </c>
      <c r="CR18" s="20" cm="1">
        <f t="array" ref="CR18">SUMPRODUCT(('Old CCC projections data'!$F$1:$BN$1=$B18)*('Old CCC projections data'!$A$2:$A$271=CR$2)*('Old CCC projections data'!$D$2:$D$271=CR$3)*('Old CCC projections data'!$F$2:$BN$271))</f>
        <v>19782.944438057144</v>
      </c>
      <c r="CS18" s="20" cm="1">
        <f t="array" ref="CS18">SUMPRODUCT(('Old CCC projections data'!$F$1:$BN$1=$B18)*('Old CCC projections data'!$A$2:$A$271=CS$2)*('Old CCC projections data'!$D$2:$D$271=CS$3)*('Old CCC projections data'!$F$2:$BN$271))</f>
        <v>18916.876155667029</v>
      </c>
      <c r="CT18" s="20" cm="1">
        <f t="array" ref="CT18">SUMPRODUCT(('Old CCC projections data'!$F$1:$BN$1=$B18)*('Old CCC projections data'!$A$2:$A$271=CT$2)*('Old CCC projections data'!$D$2:$D$271=CT$3)*('Old CCC projections data'!$F$2:$BN$271))</f>
        <v>26130.17857642992</v>
      </c>
      <c r="CU18" s="20" cm="1">
        <f t="array" ref="CU18">SUMPRODUCT(('Old CCC projections data'!$F$1:$BN$1=$B18)*('Old CCC projections data'!$A$2:$A$271=CU$2)*('Old CCC projections data'!$D$2:$D$271=CU$3)*('Old CCC projections data'!$F$2:$BN$271))</f>
        <v>25944.04147478837</v>
      </c>
      <c r="CV18" s="20" cm="1">
        <f t="array" ref="CV18">SUMPRODUCT(('Old CCC projections data'!$F$1:$BN$1=$B18)*('Old CCC projections data'!$A$2:$A$271=CV$2)*('Old CCC projections data'!$D$2:$D$271=CV$3)*('Old CCC projections data'!$F$2:$BN$271))</f>
        <v>23695.266796137184</v>
      </c>
      <c r="CW18" s="20" cm="1">
        <f t="array" ref="CW18">SUMPRODUCT(('Old CCC projections data'!$F$1:$BN$1=$B18)*('Old CCC projections data'!$A$2:$A$271=CW$2)*('Old CCC projections data'!$D$2:$D$271=CW$3)*('Old CCC projections data'!$F$2:$BN$271))</f>
        <v>30813.004767828359</v>
      </c>
      <c r="CX18" s="20">
        <f t="shared" si="19"/>
        <v>4062.9415020026536</v>
      </c>
      <c r="CY18" s="20" t="str">
        <f t="shared" si="29"/>
        <v>Demo path - C price $100 3%</v>
      </c>
      <c r="CZ18" s="3">
        <f t="shared" si="30"/>
        <v>2036</v>
      </c>
      <c r="DA18" s="18">
        <f t="shared" si="31"/>
        <v>0</v>
      </c>
      <c r="DB18" s="18">
        <f ca="1">(H21+IF($DB$3&gt;0,NPV($DB$2,H22:OFFSET(H21,$DB$3,0)),0))/($DB$3+1)</f>
        <v>174.33470399454242</v>
      </c>
      <c r="DC18" s="18">
        <f t="shared" ca="1" si="20"/>
        <v>74.334703994542423</v>
      </c>
      <c r="DD18" s="18">
        <f t="shared" si="32"/>
        <v>100</v>
      </c>
      <c r="DE18" s="126">
        <f t="shared" si="21"/>
        <v>26407.824287178031</v>
      </c>
      <c r="DF18" s="20" cm="1">
        <f t="array" ref="DF18">SUMPRODUCT(($BG$2:$BM$2=CY18)*($B$5:$B$35=CZ18)*($BG$5:$BM$35))</f>
        <v>23089.494191366139</v>
      </c>
      <c r="DG18" s="20">
        <f t="shared" si="16"/>
        <v>3318.3300958118925</v>
      </c>
      <c r="DH18" s="20" cm="1">
        <f t="array" ref="DH18">IF(CZ18=2023,SUMPRODUCT(($B$5:$B$35=CZ18-1)*($BN$5:$BN$35))-SUMPRODUCT(($BG$2:$BM$2=CY18)*($B$5:$B$35=CZ18-1)*($BG$5:$BM$35)),DG17)</f>
        <v>3321.3593459939366</v>
      </c>
      <c r="DI18" s="18">
        <f t="shared" ca="1" si="17"/>
        <v>174.33470399454242</v>
      </c>
      <c r="DJ18" s="89">
        <f t="shared" si="22"/>
        <v>8.1072169521828688</v>
      </c>
      <c r="DK18" s="89">
        <f t="shared" si="23"/>
        <v>8.1081294196766489</v>
      </c>
      <c r="DL18" s="89">
        <f t="shared" ca="1" si="24"/>
        <v>5.1609770376672959</v>
      </c>
      <c r="DM18" s="20">
        <f t="shared" ca="1" si="25"/>
        <v>2145.2586649709865</v>
      </c>
      <c r="DN18" s="20">
        <f t="shared" ca="1" si="26"/>
        <v>4105.669385860323</v>
      </c>
      <c r="DO18" s="20">
        <f t="shared" ca="1" si="27"/>
        <v>3125.4640254156548</v>
      </c>
      <c r="DP18" s="113"/>
      <c r="DS18" s="16" t="s">
        <v>256</v>
      </c>
      <c r="DT18" s="16"/>
    </row>
    <row r="19" spans="1:131" x14ac:dyDescent="0.25">
      <c r="A19">
        <v>0.5</v>
      </c>
      <c r="B19">
        <f t="shared" si="28"/>
        <v>2034</v>
      </c>
      <c r="C19" s="190">
        <f>IF(C18*(1+A19*Model!$B$19*IF(Model!$B$28=0,1,((Model!$B$28-B19)/(Model!$B$28-$B$9))))&gt;Model!$B$44,C18*(1+A19*Model!$B$19*IF(Model!$B$28=0,1,((Model!$B$28-B19)/(Model!$B$28-$B$9)))),Model!$B$44)</f>
        <v>74.808976603944828</v>
      </c>
      <c r="D19" s="18" cm="1">
        <f t="array" ref="D19">SUMPRODUCT(('Old CCC projections data'!$F$1:$BN$1=$B19)*('Old CCC projections data'!$A$2:$A$271=D$2)*('Old CCC projections data'!$D$2:$D$271=D$3)*('Old CCC projections data'!$F$2:$BN$271))*Model!$B$47</f>
        <v>41.549707602339183</v>
      </c>
      <c r="E19" s="18" cm="1">
        <f t="array" ref="E19">SUMPRODUCT(('Old CCC projections data'!$F$1:$BN$1=$B19)*('Old CCC projections data'!$A$2:$A$271=E$2)*('Old CCC projections data'!$D$2:$D$271=E$3)*('Old CCC projections data'!$F$2:$BN$271))*Model!$B$47</f>
        <v>1.1871345029239767E-2</v>
      </c>
      <c r="F19" s="18"/>
      <c r="G19" s="18"/>
      <c r="H19" s="18" cm="1">
        <f t="array" ref="H19">SUMPRODUCT(('Old CCC projections data'!$F$1:$BN$1=$B19)*('Old CCC projections data'!$A$2:$A$271=H$2)*('Old CCC projections data'!$D$2:$D$271=H$3)*('Old CCC projections data'!$F$2:$BN$271))*Model!$B$47</f>
        <v>164.32717880529972</v>
      </c>
      <c r="I19" s="18" cm="1">
        <f t="array" ref="I19">SUMPRODUCT(('Old CCC projections data'!$F$1:$BN$1=$B19)*('Old CCC projections data'!$A$2:$A$271=I$2)*('Old CCC projections data'!$D$2:$D$271=I$3)*('Old CCC projections data'!$F$2:$BN$271))*Model!$B$47</f>
        <v>246.49076820794954</v>
      </c>
      <c r="J19" s="18" cm="1">
        <f t="array" ref="J19">SUMPRODUCT(('Old CCC projections data'!$F$1:$BN$1=$B19)*('Old CCC projections data'!$A$2:$A$271=J$2)*('Old CCC projections data'!$D$2:$D$271=J$3)*('Old CCC projections data'!$F$2:$BN$271))*Model!$B$47</f>
        <v>328.65435761059945</v>
      </c>
      <c r="K19" s="18" cm="1">
        <f t="array" ref="K19">SUMPRODUCT(('Old CCC projections data'!$F$1:$BN$1=$B19)*('Old CCC projections data'!$A$2:$A$271=K$2)*('Old CCC projections data'!$D$2:$D$271=K$3)*('Old CCC projections data'!$F$2:$BN$271))*Model!$B$47</f>
        <v>410.81794701324924</v>
      </c>
      <c r="L19" s="18" cm="1">
        <f t="array" ref="L19">SUMPRODUCT(('Old CCC projections data'!$F$1:$BN$1=$B19)*('Old CCC projections data'!$A$2:$A$271=L$2)*('Old CCC projections data'!$D$2:$D$271=L$3)*('Old CCC projections data'!$F$2:$BN$271))*Model!$B$47</f>
        <v>492.98153641589909</v>
      </c>
      <c r="M19" s="18" cm="1">
        <f t="array" ref="M19">SUMPRODUCT(('Old CCC projections data'!$F$1:$BN$1=$B19)*('Old CCC projections data'!$A$2:$A$271=M$2)*('Old CCC projections data'!$D$2:$D$271=M$3)*('Old CCC projections data'!$F$2:$BN$271))*Model!$B$47</f>
        <v>82.163589402649862</v>
      </c>
      <c r="N19" s="189" cm="1">
        <f t="array" ref="N19">SUMPRODUCT(('Old CCC projections data'!$F$1:$BN$1=$B19)*('Old CCC projections data'!$A$2:$A$271=N$2)*('Old CCC projections data'!$D$2:$D$271=N$3)*('Old CCC projections data'!$F$2:$BN$271))*Model!$B$47</f>
        <v>192.34357340372867</v>
      </c>
      <c r="O19" s="18" cm="1">
        <f t="array" ref="O19">SUMPRODUCT(('Old CCC projections data'!$F$1:$BN$1=$B19)*('Old CCC projections data'!$A$2:$A$271=O$2)*('Old CCC projections data'!$D$2:$D$271=O$3)*('Old CCC projections data'!$F$2:$BN$271))*Model!$B$47</f>
        <v>1.1871345029239767E-2</v>
      </c>
      <c r="P19" s="18" cm="1">
        <f t="array" ref="P19">SUMPRODUCT(('Old CCC projections data'!$F$1:$BN$1=$B19)*('Old CCC projections data'!$A$2:$A$271=P$2)*('Old CCC projections data'!$D$2:$D$271=P$3)*('Old CCC projections data'!$F$2:$BN$271))*Model!$B$47</f>
        <v>164.32717880529972</v>
      </c>
      <c r="Q19" s="18" cm="1">
        <f t="array" ref="Q19">SUMPRODUCT(('Old CCC projections data'!$F$1:$BN$1=$B19)*('Old CCC projections data'!$A$2:$A$271=Q$2)*('Old CCC projections data'!$D$2:$D$271=Q$3)*('Old CCC projections data'!$F$2:$BN$271))*Model!$B$47</f>
        <v>246.49076820794954</v>
      </c>
      <c r="R19" s="18" cm="1">
        <f t="array" ref="R19">SUMPRODUCT(('Old CCC projections data'!$F$1:$BN$1=$B19)*('Old CCC projections data'!$A$2:$A$271=R$2)*('Old CCC projections data'!$D$2:$D$271=R$3)*('Old CCC projections data'!$F$2:$BN$271))*Model!$B$47</f>
        <v>328.65435761059945</v>
      </c>
      <c r="S19" s="18" cm="1">
        <f t="array" ref="S19">SUMPRODUCT(('Old CCC projections data'!$F$1:$BN$1=$B19)*('Old CCC projections data'!$A$2:$A$271=S$2)*('Old CCC projections data'!$D$2:$D$271=S$3)*('Old CCC projections data'!$F$2:$BN$271))*Model!$B$47</f>
        <v>410.81794701324924</v>
      </c>
      <c r="T19" s="18" cm="1">
        <f t="array" ref="T19">SUMPRODUCT(('Old CCC projections data'!$F$1:$BN$1=$B19)*('Old CCC projections data'!$A$2:$A$271=T$2)*('Old CCC projections data'!$D$2:$D$271=T$3)*('Old CCC projections data'!$F$2:$BN$271))*Model!$B$47</f>
        <v>492.98153641589909</v>
      </c>
      <c r="U19" s="18" cm="1">
        <f t="array" ref="U19">SUMPRODUCT(('Old CCC projections data'!$F$1:$BN$1=$B19)*('Old CCC projections data'!$A$2:$A$271=U$2)*('Old CCC projections data'!$D$2:$D$271=U$3)*('Old CCC projections data'!$F$2:$BN$271))*Model!$B$47</f>
        <v>82.163589402649862</v>
      </c>
      <c r="V19" s="18" cm="1">
        <f t="array" ref="V19">SUMPRODUCT(('Old CCC projections data'!$F$1:$BN$1=$B19)*('Old CCC projections data'!$A$2:$A$271=V$2)*('Old CCC projections data'!$D$2:$D$271=V$3)*('Old CCC projections data'!$F$2:$BN$271))*Model!$B$47</f>
        <v>192.34357340372867</v>
      </c>
      <c r="W19" s="18" cm="1">
        <f t="array" ref="W19">SUMPRODUCT(('Old CCC projections data'!$F$1:$BN$1=$B19)*('Old CCC projections data'!$A$2:$A$271=W$2)*('Old CCC projections data'!$D$2:$D$271=W$3)*('Old CCC projections data'!$F$2:$BN$271))*Model!$B$47</f>
        <v>1.1871345029239767E-2</v>
      </c>
      <c r="X19" s="18" cm="1">
        <f t="array" ref="X19">SUMPRODUCT(('Old CCC projections data'!$F$1:$BN$1=$B19)*('Old CCC projections data'!$A$2:$A$271=X$2)*('Old CCC projections data'!$D$2:$D$271=X$3)*('Old CCC projections data'!$F$2:$BN$271))*Model!$B$47</f>
        <v>164.32717880529972</v>
      </c>
      <c r="Y19" s="18" cm="1">
        <f t="array" ref="Y19">SUMPRODUCT(('Old CCC projections data'!$F$1:$BN$1=$B19)*('Old CCC projections data'!$A$2:$A$271=Y$2)*('Old CCC projections data'!$D$2:$D$271=Y$3)*('Old CCC projections data'!$F$2:$BN$271))*Model!$B$47</f>
        <v>246.49076820794954</v>
      </c>
      <c r="Z19" s="18" cm="1">
        <f t="array" ref="Z19">SUMPRODUCT(('Old CCC projections data'!$F$1:$BN$1=$B19)*('Old CCC projections data'!$A$2:$A$271=Z$2)*('Old CCC projections data'!$D$2:$D$271=Z$3)*('Old CCC projections data'!$F$2:$BN$271))*Model!$B$47</f>
        <v>328.65435761059945</v>
      </c>
      <c r="AA19" s="18" cm="1">
        <f t="array" ref="AA19">SUMPRODUCT(('Old CCC projections data'!$F$1:$BN$1=$B19)*('Old CCC projections data'!$A$2:$A$271=AA$2)*('Old CCC projections data'!$D$2:$D$271=AA$3)*('Old CCC projections data'!$F$2:$BN$271))*Model!$B$47</f>
        <v>410.81794701324924</v>
      </c>
      <c r="AB19" s="18" cm="1">
        <f t="array" ref="AB19">SUMPRODUCT(('Old CCC projections data'!$F$1:$BN$1=$B19)*('Old CCC projections data'!$A$2:$A$271=AB$2)*('Old CCC projections data'!$D$2:$D$271=AB$3)*('Old CCC projections data'!$F$2:$BN$271))*Model!$B$47</f>
        <v>492.98153641589909</v>
      </c>
      <c r="AC19" s="18" cm="1">
        <f t="array" ref="AC19">SUMPRODUCT(('Old CCC projections data'!$F$1:$BN$1=$B19)*('Old CCC projections data'!$A$2:$A$271=AC$2)*('Old CCC projections data'!$D$2:$D$271=AC$3)*('Old CCC projections data'!$F$2:$BN$271))*Model!$B$47</f>
        <v>82.163589402649862</v>
      </c>
      <c r="AD19" s="18" cm="1">
        <f t="array" ref="AD19">SUMPRODUCT(('Old CCC projections data'!$F$1:$BN$1=$B19)*('Old CCC projections data'!$A$2:$A$271=AD$2)*('Old CCC projections data'!$D$2:$D$271=AD$3)*('Old CCC projections data'!$F$2:$BN$271))*Model!$B$47</f>
        <v>90.379948342914815</v>
      </c>
      <c r="AE19" s="18" cm="1">
        <f t="array" ref="AE19">SUMPRODUCT(('Old CCC projections data'!$F$1:$BN$1=$B19)*('Old CCC projections data'!$A$2:$A$271=AE$2)*('Old CCC projections data'!$D$2:$D$271=AE$3)*('Old CCC projections data'!$F$2:$BN$271))*Model!$B$47</f>
        <v>192.34357340372867</v>
      </c>
      <c r="AF19" s="18" cm="1">
        <f t="array" ref="AF19">SUMPRODUCT(('Old CCC projections data'!$F$1:$BN$1=$B19)*('Old CCC projections data'!$A$2:$A$271=AF$2)*('Old CCC projections data'!$D$2:$D$271=AF$3)*('Old CCC projections data'!$F$2:$BN$271))*Model!$B$47</f>
        <v>1.1871345029239767E-2</v>
      </c>
      <c r="AG19" s="18" cm="1">
        <f t="array" ref="AG19">SUMPRODUCT(('Old CCC projections data'!$F$1:$BN$1=$B19)*('Old CCC projections data'!$A$2:$A$271=AG$2)*('Old CCC projections data'!$D$2:$D$271=AG$3)*('Old CCC projections data'!$F$2:$BN$271))*Model!$B$47</f>
        <v>164.32717880529972</v>
      </c>
      <c r="AH19" s="18" cm="1">
        <f t="array" ref="AH19">SUMPRODUCT(('Old CCC projections data'!$F$1:$BN$1=$B19)*('Old CCC projections data'!$A$2:$A$271=AH$2)*('Old CCC projections data'!$D$2:$D$271=AH$3)*('Old CCC projections data'!$F$2:$BN$271))*Model!$B$47</f>
        <v>246.49076820794954</v>
      </c>
      <c r="AI19" s="18" cm="1">
        <f t="array" ref="AI19">SUMPRODUCT(('Old CCC projections data'!$F$1:$BN$1=$B19)*('Old CCC projections data'!$A$2:$A$271=AI$2)*('Old CCC projections data'!$D$2:$D$271=AI$3)*('Old CCC projections data'!$F$2:$BN$271))*Model!$B$47</f>
        <v>328.65435761059945</v>
      </c>
      <c r="AJ19" s="18" cm="1">
        <f t="array" ref="AJ19">SUMPRODUCT(('Old CCC projections data'!$F$1:$BN$1=$B19)*('Old CCC projections data'!$A$2:$A$271=AJ$2)*('Old CCC projections data'!$D$2:$D$271=AJ$3)*('Old CCC projections data'!$F$2:$BN$271))*Model!$B$47</f>
        <v>410.81794701324924</v>
      </c>
      <c r="AK19" s="18" cm="1">
        <f t="array" ref="AK19">SUMPRODUCT(('Old CCC projections data'!$F$1:$BN$1=$B19)*('Old CCC projections data'!$A$2:$A$271=AK$2)*('Old CCC projections data'!$D$2:$D$271=AK$3)*('Old CCC projections data'!$F$2:$BN$271))*Model!$B$47</f>
        <v>443.68338277430928</v>
      </c>
      <c r="AL19" s="18" cm="1">
        <f t="array" ref="AL19">SUMPRODUCT(('Old CCC projections data'!$F$1:$BN$1=$B19)*('Old CCC projections data'!$A$2:$A$271=AL$2)*('Old CCC projections data'!$D$2:$D$271=AL$3)*('Old CCC projections data'!$F$2:$BN$271))*Model!$B$47</f>
        <v>492.98153641589909</v>
      </c>
      <c r="AM19" s="18" cm="1">
        <f t="array" ref="AM19">SUMPRODUCT(('Old CCC projections data'!$F$1:$BN$1=$B19)*('Old CCC projections data'!$A$2:$A$271=AM$2)*('Old CCC projections data'!$D$2:$D$271=AM$3)*('Old CCC projections data'!$F$2:$BN$271))*Model!$B$47</f>
        <v>82.163589402649862</v>
      </c>
      <c r="AN19" s="18" cm="1">
        <f t="array" ref="AN19">SUMPRODUCT(('Old CCC projections data'!$F$1:$BN$1=$B19)*('Old CCC projections data'!$A$2:$A$271=AN$2)*('Old CCC projections data'!$D$2:$D$271=AN$3)*('Old CCC projections data'!$F$2:$BN$271))*Model!$B$47</f>
        <v>192.34357340372867</v>
      </c>
      <c r="AO19" s="18" cm="1">
        <f t="array" ref="AO19">SUMPRODUCT(('Old CCC projections data'!$F$1:$BN$1=$B19)*('Old CCC projections data'!$A$2:$A$271=AO$2)*('Old CCC projections data'!$D$2:$D$271=AO$3)*('Old CCC projections data'!$F$2:$BN$271))*Model!$B$47</f>
        <v>1.1871345029239767E-2</v>
      </c>
      <c r="AP19" s="18" cm="1">
        <f t="array" ref="AP19">SUMPRODUCT(('Old CCC projections data'!$F$1:$BN$1=$B19)*('Old CCC projections data'!$A$2:$A$271=AP$2)*('Old CCC projections data'!$D$2:$D$271=AP$3)*('Old CCC projections data'!$F$2:$BN$271))*Model!$B$47</f>
        <v>164.32717880529972</v>
      </c>
      <c r="AQ19" s="18" cm="1">
        <f t="array" ref="AQ19">SUMPRODUCT(('Old CCC projections data'!$F$1:$BN$1=$B19)*('Old CCC projections data'!$A$2:$A$271=AQ$2)*('Old CCC projections data'!$D$2:$D$271=AQ$3)*('Old CCC projections data'!$F$2:$BN$271))*Model!$B$47</f>
        <v>246.49076820794954</v>
      </c>
      <c r="AR19" s="18" cm="1">
        <f t="array" ref="AR19">SUMPRODUCT(('Old CCC projections data'!$F$1:$BN$1=$B19)*('Old CCC projections data'!$A$2:$A$271=AR$2)*('Old CCC projections data'!$D$2:$D$271=AR$3)*('Old CCC projections data'!$F$2:$BN$271))*Model!$B$47</f>
        <v>328.65435761059945</v>
      </c>
      <c r="AS19" s="18" cm="1">
        <f t="array" ref="AS19">SUMPRODUCT(('Old CCC projections data'!$F$1:$BN$1=$B19)*('Old CCC projections data'!$A$2:$A$271=AS$2)*('Old CCC projections data'!$D$2:$D$271=AS$3)*('Old CCC projections data'!$F$2:$BN$271))*Model!$B$47</f>
        <v>410.81794701324924</v>
      </c>
      <c r="AT19" s="18" cm="1">
        <f t="array" ref="AT19">SUMPRODUCT(('Old CCC projections data'!$F$1:$BN$1=$B19)*('Old CCC projections data'!$A$2:$A$271=AT$2)*('Old CCC projections data'!$D$2:$D$271=AT$3)*('Old CCC projections data'!$F$2:$BN$271))*Model!$B$47</f>
        <v>492.98153641589909</v>
      </c>
      <c r="AU19" s="18" cm="1">
        <f t="array" ref="AU19">SUMPRODUCT(('Old CCC projections data'!$F$1:$BN$1=$B19)*('Old CCC projections data'!$A$2:$A$271=AU$2)*('Old CCC projections data'!$D$2:$D$271=AU$3)*('Old CCC projections data'!$F$2:$BN$271))*Model!$B$47</f>
        <v>82.163589402649862</v>
      </c>
      <c r="AV19" s="18" cm="1">
        <f t="array" ref="AV19">SUMPRODUCT(('Old CCC projections data'!$F$1:$BN$1=$B19)*('Old CCC projections data'!$A$2:$A$271=AV$2)*('Old CCC projections data'!$D$2:$D$271=AV$3)*('Old CCC projections data'!$F$2:$BN$271))*Model!$B$47</f>
        <v>90.379948342914815</v>
      </c>
      <c r="AW19" s="18" cm="1">
        <f t="array" ref="AW19">SUMPRODUCT(('Old CCC projections data'!$F$1:$BN$1=$B19)*('Old CCC projections data'!$A$2:$A$271=AW$2)*('Old CCC projections data'!$D$2:$D$271=AW$3)*('Old CCC projections data'!$F$2:$BN$271))*Model!$B$47</f>
        <v>192.34357340372867</v>
      </c>
      <c r="AX19" s="18" cm="1">
        <f t="array" ref="AX19">SUMPRODUCT(('Old CCC projections data'!$F$1:$BN$1=$B19)*('Old CCC projections data'!$A$2:$A$271=AX$2)*('Old CCC projections data'!$D$2:$D$271=AX$3)*('Old CCC projections data'!$F$2:$BN$271))*Model!$B$47</f>
        <v>1.1871345029239767E-2</v>
      </c>
      <c r="AY19" s="18">
        <v>54.142857142857153</v>
      </c>
      <c r="AZ19" s="18">
        <v>37.333333333333307</v>
      </c>
      <c r="BA19" s="18">
        <v>70</v>
      </c>
      <c r="BB19" s="18"/>
      <c r="BC19" s="20" cm="1">
        <f t="array" ref="BC19">SUMPRODUCT(('Old CCC projections data'!$F$1:$BN$1=$B19)*('Old CCC projections data'!$A$2:$A$271=BC$2)*('Old CCC projections data'!$D$2:$D$271=BC$3)*('Old CCC projections data'!$F$2:$BN$271))</f>
        <v>34459.432712152338</v>
      </c>
      <c r="BD19" s="126">
        <f t="shared" si="33"/>
        <v>35090.640812574784</v>
      </c>
      <c r="BE19" s="20"/>
      <c r="BF19" s="20"/>
      <c r="BG19" s="20" cm="1">
        <f t="array" ref="BG19">SUMPRODUCT(('Old CCC projections data'!$F$1:$BN$1=$B19)*('Old CCC projections data'!$A$2:$A$271=BG$2)*('Old CCC projections data'!$D$2:$D$271=BG$3)*('Old CCC projections data'!$F$2:$BN$271))</f>
        <v>25506.602802874662</v>
      </c>
      <c r="BH19" s="20" cm="1">
        <f t="array" ref="BH19">SUMPRODUCT(('Old CCC projections data'!$F$1:$BN$1=$B19)*('Old CCC projections data'!$A$2:$A$271=BH$2)*('Old CCC projections data'!$D$2:$D$271=BH$3)*('Old CCC projections data'!$F$2:$BN$271))</f>
        <v>23629.915780703053</v>
      </c>
      <c r="BI19" s="20" cm="1">
        <f t="array" ref="BI19">SUMPRODUCT(('Old CCC projections data'!$F$1:$BN$1=$B19)*('Old CCC projections data'!$A$2:$A$271=BI$2)*('Old CCC projections data'!$D$2:$D$271=BI$3)*('Old CCC projections data'!$F$2:$BN$271))</f>
        <v>22306.484640939918</v>
      </c>
      <c r="BJ19" s="20" cm="1">
        <f t="array" ref="BJ19">SUMPRODUCT(('Old CCC projections data'!$F$1:$BN$1=$B19)*('Old CCC projections data'!$A$2:$A$271=BJ$2)*('Old CCC projections data'!$D$2:$D$271=BJ$3)*('Old CCC projections data'!$F$2:$BN$271))</f>
        <v>21387.734037387268</v>
      </c>
      <c r="BK19" s="20" cm="1">
        <f t="array" ref="BK19">SUMPRODUCT(('Old CCC projections data'!$F$1:$BN$1=$B19)*('Old CCC projections data'!$A$2:$A$271=BK$2)*('Old CCC projections data'!$D$2:$D$271=BK$3)*('Old CCC projections data'!$F$2:$BN$271))</f>
        <v>20655.414746580675</v>
      </c>
      <c r="BL19" s="20" cm="1">
        <f t="array" ref="BL19">SUMPRODUCT(('Old CCC projections data'!$F$1:$BN$1=$B19)*('Old CCC projections data'!$A$2:$A$271=BL$2)*('Old CCC projections data'!$D$2:$D$271=BL$3)*('Old CCC projections data'!$F$2:$BN$271))</f>
        <v>27265.500341524803</v>
      </c>
      <c r="BM19" s="20" cm="1">
        <f t="array" ref="BM19">SUMPRODUCT(('Old CCC projections data'!$F$1:$BN$1=$B19)*('Old CCC projections data'!$A$2:$A$271=BM$2)*('Old CCC projections data'!$D$2:$D$271=BM$3)*('Old CCC projections data'!$F$2:$BN$271))</f>
        <v>24852.93780605646</v>
      </c>
      <c r="BN19" s="126">
        <f>BN18-($BN$15-$BN$21)/6</f>
        <v>28862.634858482736</v>
      </c>
      <c r="BO19" s="20" cm="1">
        <f t="array" ref="BO19">SUMPRODUCT(('Old CCC projections data'!$F$1:$BN$1=$B19)*('Old CCC projections data'!$A$2:$A$271=BO$2)*('Old CCC projections data'!$D$2:$D$271=BO$3)*('Old CCC projections data'!$F$2:$BN$271))</f>
        <v>28169.923772511611</v>
      </c>
      <c r="BP19" s="20" cm="1">
        <f t="array" ref="BP19">SUMPRODUCT(('Old CCC projections data'!$F$1:$BN$1=$B19)*('Old CCC projections data'!$A$2:$A$271=BP$2)*('Old CCC projections data'!$D$2:$D$271=BP$3)*('Old CCC projections data'!$F$2:$BN$271))</f>
        <v>26241.080188957647</v>
      </c>
      <c r="BQ19" s="20" cm="1">
        <f t="array" ref="BQ19">SUMPRODUCT(('Old CCC projections data'!$F$1:$BN$1=$B19)*('Old CCC projections data'!$A$2:$A$271=BQ$2)*('Old CCC projections data'!$D$2:$D$271=BQ$3)*('Old CCC projections data'!$F$2:$BN$271))</f>
        <v>24744.186361123007</v>
      </c>
      <c r="BR19" s="20" cm="1">
        <f t="array" ref="BR19">SUMPRODUCT(('Old CCC projections data'!$F$1:$BN$1=$B19)*('Old CCC projections data'!$A$2:$A$271=BR$2)*('Old CCC projections data'!$D$2:$D$271=BR$3)*('Old CCC projections data'!$F$2:$BN$271))</f>
        <v>23603.390290646963</v>
      </c>
      <c r="BS19" s="20" cm="1">
        <f t="array" ref="BS19">SUMPRODUCT(('Old CCC projections data'!$F$1:$BN$1=$B19)*('Old CCC projections data'!$A$2:$A$271=BS$2)*('Old CCC projections data'!$D$2:$D$271=BS$3)*('Old CCC projections data'!$F$2:$BN$271))</f>
        <v>22806.419042977137</v>
      </c>
      <c r="BT19" s="20" cm="1">
        <f t="array" ref="BT19">SUMPRODUCT(('Old CCC projections data'!$F$1:$BN$1=$B19)*('Old CCC projections data'!$A$2:$A$271=BT$2)*('Old CCC projections data'!$D$2:$D$271=BT$3)*('Old CCC projections data'!$F$2:$BN$271))</f>
        <v>29512.669476425512</v>
      </c>
      <c r="BU19" s="20" cm="1">
        <f t="array" ref="BU19">SUMPRODUCT(('Old CCC projections data'!$F$1:$BN$1=$B19)*('Old CCC projections data'!$A$2:$A$271=BU$2)*('Old CCC projections data'!$D$2:$D$271=BU$3)*('Old CCC projections data'!$F$2:$BN$271))</f>
        <v>27470.687525352714</v>
      </c>
      <c r="BV19" s="20" cm="1">
        <f t="array" ref="BV19">SUMPRODUCT(('Old CCC projections data'!$F$1:$BN$1=$B19)*('Old CCC projections data'!$A$2:$A$271=BV$2)*('Old CCC projections data'!$D$2:$D$271=BV$3)*('Old CCC projections data'!$F$2:$BN$271))</f>
        <v>34123.14533233473</v>
      </c>
      <c r="BW19" s="20" cm="1">
        <f t="array" ref="BW19">SUMPRODUCT(('Old CCC projections data'!$F$1:$BN$1=$B19)*('Old CCC projections data'!$A$2:$A$271=BW$2)*('Old CCC projections data'!$D$2:$D$271=BW$3)*('Old CCC projections data'!$F$2:$BN$271))</f>
        <v>23205.788761540342</v>
      </c>
      <c r="BX19" s="20" cm="1">
        <f t="array" ref="BX19">SUMPRODUCT(('Old CCC projections data'!$F$1:$BN$1=$B19)*('Old CCC projections data'!$A$2:$A$271=BX$2)*('Old CCC projections data'!$D$2:$D$271=BX$3)*('Old CCC projections data'!$F$2:$BN$271))</f>
        <v>21836.3839604983</v>
      </c>
      <c r="BY19" s="20" cm="1">
        <f t="array" ref="BY19">SUMPRODUCT(('Old CCC projections data'!$F$1:$BN$1=$B19)*('Old CCC projections data'!$A$2:$A$271=BY$2)*('Old CCC projections data'!$D$2:$D$271=BY$3)*('Old CCC projections data'!$F$2:$BN$271))</f>
        <v>20805.785294686804</v>
      </c>
      <c r="BZ19" s="20" cm="1">
        <f t="array" ref="BZ19">SUMPRODUCT(('Old CCC projections data'!$F$1:$BN$1=$B19)*('Old CCC projections data'!$A$2:$A$271=BZ$2)*('Old CCC projections data'!$D$2:$D$271=BZ$3)*('Old CCC projections data'!$F$2:$BN$271))</f>
        <v>20206.15426123577</v>
      </c>
      <c r="CA19" s="20" cm="1">
        <f t="array" ref="CA19">SUMPRODUCT(('Old CCC projections data'!$F$1:$BN$1=$B19)*('Old CCC projections data'!$A$2:$A$271=CA$2)*('Old CCC projections data'!$D$2:$D$271=CA$3)*('Old CCC projections data'!$F$2:$BN$271))</f>
        <v>19805.909259986569</v>
      </c>
      <c r="CB19" s="20" cm="1">
        <f t="array" ref="CB19">SUMPRODUCT(('Old CCC projections data'!$F$1:$BN$1=$B19)*('Old CCC projections data'!$A$2:$A$271=CB$2)*('Old CCC projections data'!$D$2:$D$271=CB$3)*('Old CCC projections data'!$F$2:$BN$271))</f>
        <v>24916.902546936693</v>
      </c>
      <c r="CC19" s="20" cm="1">
        <f t="array" ref="CC19">SUMPRODUCT(('Old CCC projections data'!$F$1:$BN$1=$B19)*('Old CCC projections data'!$A$2:$A$271=CC$2)*('Old CCC projections data'!$D$2:$D$271=CC$3)*('Old CCC projections data'!$F$2:$BN$271))</f>
        <v>24812.330132488543</v>
      </c>
      <c r="CD19" s="20" cm="1">
        <f t="array" ref="CD19">SUMPRODUCT(('Old CCC projections data'!$F$1:$BN$1=$B19)*('Old CCC projections data'!$A$2:$A$271=CD$2)*('Old CCC projections data'!$D$2:$D$271=CD$3)*('Old CCC projections data'!$F$2:$BN$271))</f>
        <v>22705.501408061409</v>
      </c>
      <c r="CE19" s="20" cm="1">
        <f t="array" ref="CE19">SUMPRODUCT(('Old CCC projections data'!$F$1:$BN$1=$B19)*('Old CCC projections data'!$A$2:$A$271=CE$2)*('Old CCC projections data'!$D$2:$D$271=CE$3)*('Old CCC projections data'!$F$2:$BN$271))</f>
        <v>26350.769286034072</v>
      </c>
      <c r="CF19" s="20" cm="1">
        <f t="array" ref="CF19">SUMPRODUCT(('Old CCC projections data'!$F$1:$BN$1=$B19)*('Old CCC projections data'!$A$2:$A$271=CF$2)*('Old CCC projections data'!$D$2:$D$271=CF$3)*('Old CCC projections data'!$F$2:$BN$271))</f>
        <v>29982.365581208487</v>
      </c>
      <c r="CG19" s="20" cm="1">
        <f t="array" ref="CG19">SUMPRODUCT(('Old CCC projections data'!$F$1:$BN$1=$B19)*('Old CCC projections data'!$A$2:$A$271=CG$2)*('Old CCC projections data'!$D$2:$D$271=CG$3)*('Old CCC projections data'!$F$2:$BN$271))</f>
        <v>28177.687016196342</v>
      </c>
      <c r="CH19" s="20" cm="1">
        <f t="array" ref="CH19">SUMPRODUCT(('Old CCC projections data'!$F$1:$BN$1=$B19)*('Old CCC projections data'!$A$2:$A$271=CH$2)*('Old CCC projections data'!$D$2:$D$271=CH$3)*('Old CCC projections data'!$F$2:$BN$271))</f>
        <v>26969.749123906055</v>
      </c>
      <c r="CI19" s="20" cm="1">
        <f t="array" ref="CI19">SUMPRODUCT(('Old CCC projections data'!$F$1:$BN$1=$B19)*('Old CCC projections data'!$A$2:$A$271=CI$2)*('Old CCC projections data'!$D$2:$D$271=CI$3)*('Old CCC projections data'!$F$2:$BN$271))</f>
        <v>26281.508360220909</v>
      </c>
      <c r="CJ19" s="20" cm="1">
        <f t="array" ref="CJ19">SUMPRODUCT(('Old CCC projections data'!$F$1:$BN$1=$B19)*('Old CCC projections data'!$A$2:$A$271=CJ$2)*('Old CCC projections data'!$D$2:$D$271=CJ$3)*('Old CCC projections data'!$F$2:$BN$271))</f>
        <v>26000.824858344982</v>
      </c>
      <c r="CK19" s="20" cm="1">
        <f t="array" ref="CK19">SUMPRODUCT(('Old CCC projections data'!$F$1:$BN$1=$B19)*('Old CCC projections data'!$A$2:$A$271=CK$2)*('Old CCC projections data'!$D$2:$D$271=CK$3)*('Old CCC projections data'!$F$2:$BN$271))</f>
        <v>25865.336968225121</v>
      </c>
      <c r="CL19" s="20" cm="1">
        <f t="array" ref="CL19">SUMPRODUCT(('Old CCC projections data'!$F$1:$BN$1=$B19)*('Old CCC projections data'!$A$2:$A$271=CL$2)*('Old CCC projections data'!$D$2:$D$271=CL$3)*('Old CCC projections data'!$F$2:$BN$271))</f>
        <v>31383.225601338541</v>
      </c>
      <c r="CM19" s="20" cm="1">
        <f t="array" ref="CM19">SUMPRODUCT(('Old CCC projections data'!$F$1:$BN$1=$B19)*('Old CCC projections data'!$A$2:$A$271=CM$2)*('Old CCC projections data'!$D$2:$D$271=CM$3)*('Old CCC projections data'!$F$2:$BN$271))</f>
        <v>29475.897114787364</v>
      </c>
      <c r="CN19" s="20" cm="1">
        <f t="array" ref="CN19">SUMPRODUCT(('Old CCC projections data'!$F$1:$BN$1=$B19)*('Old CCC projections data'!$A$2:$A$271=CN$2)*('Old CCC projections data'!$D$2:$D$271=CN$3)*('Old CCC projections data'!$F$2:$BN$271))</f>
        <v>34491.391749761424</v>
      </c>
      <c r="CO19" s="20" cm="1">
        <f t="array" ref="CO19">SUMPRODUCT(('Old CCC projections data'!$F$1:$BN$1=$B19)*('Old CCC projections data'!$A$2:$A$271=CO$2)*('Old CCC projections data'!$D$2:$D$271=CO$3)*('Old CCC projections data'!$F$2:$BN$271))</f>
        <v>23090.495806101204</v>
      </c>
      <c r="CP19" s="20" cm="1">
        <f t="array" ref="CP19">SUMPRODUCT(('Old CCC projections data'!$F$1:$BN$1=$B19)*('Old CCC projections data'!$A$2:$A$271=CP$2)*('Old CCC projections data'!$D$2:$D$271=CP$3)*('Old CCC projections data'!$F$2:$BN$271))</f>
        <v>20968.920688710419</v>
      </c>
      <c r="CQ19" s="20" cm="1">
        <f t="array" ref="CQ19">SUMPRODUCT(('Old CCC projections data'!$F$1:$BN$1=$B19)*('Old CCC projections data'!$A$2:$A$271=CQ$2)*('Old CCC projections data'!$D$2:$D$271=CQ$3)*('Old CCC projections data'!$F$2:$BN$271))</f>
        <v>19569.227506507515</v>
      </c>
      <c r="CR19" s="20" cm="1">
        <f t="array" ref="CR19">SUMPRODUCT(('Old CCC projections data'!$F$1:$BN$1=$B19)*('Old CCC projections data'!$A$2:$A$271=CR$2)*('Old CCC projections data'!$D$2:$D$271=CR$3)*('Old CCC projections data'!$F$2:$BN$271))</f>
        <v>18575.80969070736</v>
      </c>
      <c r="CS19" s="20" cm="1">
        <f t="array" ref="CS19">SUMPRODUCT(('Old CCC projections data'!$F$1:$BN$1=$B19)*('Old CCC projections data'!$A$2:$A$271=CS$2)*('Old CCC projections data'!$D$2:$D$271=CS$3)*('Old CCC projections data'!$F$2:$BN$271))</f>
        <v>17838.233758922237</v>
      </c>
      <c r="CT19" s="20" cm="1">
        <f t="array" ref="CT19">SUMPRODUCT(('Old CCC projections data'!$F$1:$BN$1=$B19)*('Old CCC projections data'!$A$2:$A$271=CT$2)*('Old CCC projections data'!$D$2:$D$271=CT$3)*('Old CCC projections data'!$F$2:$BN$271))</f>
        <v>25113.410638017373</v>
      </c>
      <c r="CU19" s="20" cm="1">
        <f t="array" ref="CU19">SUMPRODUCT(('Old CCC projections data'!$F$1:$BN$1=$B19)*('Old CCC projections data'!$A$2:$A$271=CU$2)*('Old CCC projections data'!$D$2:$D$271=CU$3)*('Old CCC projections data'!$F$2:$BN$271))</f>
        <v>24919.532423939596</v>
      </c>
      <c r="CV19" s="20" cm="1">
        <f t="array" ref="CV19">SUMPRODUCT(('Old CCC projections data'!$F$1:$BN$1=$B19)*('Old CCC projections data'!$A$2:$A$271=CV$2)*('Old CCC projections data'!$D$2:$D$271=CV$3)*('Old CCC projections data'!$F$2:$BN$271))</f>
        <v>22377.030633902083</v>
      </c>
      <c r="CW19" s="20" cm="1">
        <f t="array" ref="CW19">SUMPRODUCT(('Old CCC projections data'!$F$1:$BN$1=$B19)*('Old CCC projections data'!$A$2:$A$271=CW$2)*('Old CCC projections data'!$D$2:$D$271=CW$3)*('Old CCC projections data'!$F$2:$BN$271))</f>
        <v>30412.760924224047</v>
      </c>
      <c r="CX19" s="20">
        <f t="shared" si="19"/>
        <v>4009.6970524262761</v>
      </c>
      <c r="CY19" s="20" t="str">
        <f t="shared" si="29"/>
        <v>Demo path - C price $100 3%</v>
      </c>
      <c r="CZ19" s="3">
        <f t="shared" si="30"/>
        <v>2037</v>
      </c>
      <c r="DA19" s="18">
        <f t="shared" si="31"/>
        <v>0</v>
      </c>
      <c r="DB19" s="18">
        <f ca="1">(H22+IF($DB$3&gt;0,NPV($DB$2,H23:OFFSET(H22,$DB$3,0)),0))/($DB$3+1)</f>
        <v>179.56474511437872</v>
      </c>
      <c r="DC19" s="18">
        <f t="shared" ca="1" si="20"/>
        <v>79.564745114378724</v>
      </c>
      <c r="DD19" s="18">
        <f t="shared" si="32"/>
        <v>100</v>
      </c>
      <c r="DE19" s="20">
        <f t="shared" si="21"/>
        <v>25490.617675668807</v>
      </c>
      <c r="DF19" s="20" cm="1">
        <f t="array" ref="DF19">SUMPRODUCT(($BG$2:$BM$2=CY19)*($B$5:$B$35=CZ19)*($BG$5:$BM$35))</f>
        <v>21821.400015272367</v>
      </c>
      <c r="DG19" s="20">
        <f t="shared" si="16"/>
        <v>3669.2176603964399</v>
      </c>
      <c r="DH19" s="20" cm="1">
        <f t="array" ref="DH19">IF(CZ19=2023,SUMPRODUCT(($B$5:$B$35=CZ19-1)*($BN$5:$BN$35))-SUMPRODUCT(($BG$2:$BM$2=CY19)*($B$5:$B$35=CZ19-1)*($BG$5:$BM$35)),DG18)</f>
        <v>3318.3300958118925</v>
      </c>
      <c r="DI19" s="18">
        <f t="shared" ca="1" si="17"/>
        <v>179.56474511437872</v>
      </c>
      <c r="DJ19" s="89">
        <f t="shared" si="22"/>
        <v>8.2077337467702272</v>
      </c>
      <c r="DK19" s="89">
        <f t="shared" si="23"/>
        <v>8.1072169521828688</v>
      </c>
      <c r="DL19" s="89">
        <f t="shared" ca="1" si="24"/>
        <v>5.1905358399088408</v>
      </c>
      <c r="DM19" s="20">
        <f t="shared" ca="1" si="25"/>
        <v>2276.0442932856263</v>
      </c>
      <c r="DN19" s="20">
        <f t="shared" ca="1" si="26"/>
        <v>4197.741746275683</v>
      </c>
      <c r="DO19" s="20">
        <f t="shared" ca="1" si="27"/>
        <v>3236.8930197806549</v>
      </c>
      <c r="DP19" s="113"/>
      <c r="DQ19" s="2"/>
      <c r="DR19" s="3"/>
      <c r="DS19" t="s">
        <v>257</v>
      </c>
      <c r="DT19">
        <v>0.9909050647193951</v>
      </c>
    </row>
    <row r="20" spans="1:131" x14ac:dyDescent="0.25">
      <c r="A20">
        <v>0.5</v>
      </c>
      <c r="B20">
        <f t="shared" si="28"/>
        <v>2035</v>
      </c>
      <c r="C20" s="190">
        <f>IF(C19*(1+A20*Model!$B$19*IF(Model!$B$28=0,1,((Model!$B$28-B20)/(Model!$B$28-$B$9))))&gt;Model!$B$44,C19*(1+A20*Model!$B$19*IF(Model!$B$28=0,1,((Model!$B$28-B20)/(Model!$B$28-$B$9)))),Model!$B$44)</f>
        <v>72.976156677148182</v>
      </c>
      <c r="D20" s="18" cm="1">
        <f t="array" ref="D20">SUMPRODUCT(('Old CCC projections data'!$F$1:$BN$1=$B20)*('Old CCC projections data'!$A$2:$A$271=D$2)*('Old CCC projections data'!$D$2:$D$271=D$3)*('Old CCC projections data'!$F$2:$BN$271))*Model!$B$47</f>
        <v>41.549707602339183</v>
      </c>
      <c r="E20" s="18" cm="1">
        <f t="array" ref="E20">SUMPRODUCT(('Old CCC projections data'!$F$1:$BN$1=$B20)*('Old CCC projections data'!$A$2:$A$271=E$2)*('Old CCC projections data'!$D$2:$D$271=E$3)*('Old CCC projections data'!$F$2:$BN$271))*Model!$B$47</f>
        <v>1.1871345029239767E-2</v>
      </c>
      <c r="F20" s="18"/>
      <c r="G20" s="18"/>
      <c r="H20" s="18" cm="1">
        <f t="array" ref="H20">SUMPRODUCT(('Old CCC projections data'!$F$1:$BN$1=$B20)*('Old CCC projections data'!$A$2:$A$271=H$2)*('Old CCC projections data'!$D$2:$D$271=H$3)*('Old CCC projections data'!$F$2:$BN$271))*Model!$B$47</f>
        <v>169.25699416945872</v>
      </c>
      <c r="I20" s="18" cm="1">
        <f t="array" ref="I20">SUMPRODUCT(('Old CCC projections data'!$F$1:$BN$1=$B20)*('Old CCC projections data'!$A$2:$A$271=I$2)*('Old CCC projections data'!$D$2:$D$271=I$3)*('Old CCC projections data'!$F$2:$BN$271))*Model!$B$47</f>
        <v>253.88549125418805</v>
      </c>
      <c r="J20" s="18" cm="1">
        <f t="array" ref="J20">SUMPRODUCT(('Old CCC projections data'!$F$1:$BN$1=$B20)*('Old CCC projections data'!$A$2:$A$271=J$2)*('Old CCC projections data'!$D$2:$D$271=J$3)*('Old CCC projections data'!$F$2:$BN$271))*Model!$B$47</f>
        <v>338.51398833891744</v>
      </c>
      <c r="K20" s="18" cm="1">
        <f t="array" ref="K20">SUMPRODUCT(('Old CCC projections data'!$F$1:$BN$1=$B20)*('Old CCC projections data'!$A$2:$A$271=K$2)*('Old CCC projections data'!$D$2:$D$271=K$3)*('Old CCC projections data'!$F$2:$BN$271))*Model!$B$47</f>
        <v>423.14248542364675</v>
      </c>
      <c r="L20" s="18" cm="1">
        <f t="array" ref="L20">SUMPRODUCT(('Old CCC projections data'!$F$1:$BN$1=$B20)*('Old CCC projections data'!$A$2:$A$271=L$2)*('Old CCC projections data'!$D$2:$D$271=L$3)*('Old CCC projections data'!$F$2:$BN$271))*Model!$B$47</f>
        <v>507.77098250837611</v>
      </c>
      <c r="M20" s="18" cm="1">
        <f t="array" ref="M20">SUMPRODUCT(('Old CCC projections data'!$F$1:$BN$1=$B20)*('Old CCC projections data'!$A$2:$A$271=M$2)*('Old CCC projections data'!$D$2:$D$271=M$3)*('Old CCC projections data'!$F$2:$BN$271))*Model!$B$47</f>
        <v>84.628497084729361</v>
      </c>
      <c r="N20" s="189" cm="1">
        <f t="array" ref="N20">SUMPRODUCT(('Old CCC projections data'!$F$1:$BN$1=$B20)*('Old CCC projections data'!$A$2:$A$271=N$2)*('Old CCC projections data'!$D$2:$D$271=N$3)*('Old CCC projections data'!$F$2:$BN$271))*Model!$B$47</f>
        <v>198.11388060584056</v>
      </c>
      <c r="O20" s="18" cm="1">
        <f t="array" ref="O20">SUMPRODUCT(('Old CCC projections data'!$F$1:$BN$1=$B20)*('Old CCC projections data'!$A$2:$A$271=O$2)*('Old CCC projections data'!$D$2:$D$271=O$3)*('Old CCC projections data'!$F$2:$BN$271))*Model!$B$47</f>
        <v>1.1871345029239767E-2</v>
      </c>
      <c r="P20" s="18" cm="1">
        <f t="array" ref="P20">SUMPRODUCT(('Old CCC projections data'!$F$1:$BN$1=$B20)*('Old CCC projections data'!$A$2:$A$271=P$2)*('Old CCC projections data'!$D$2:$D$271=P$3)*('Old CCC projections data'!$F$2:$BN$271))*Model!$B$47</f>
        <v>169.25699416945872</v>
      </c>
      <c r="Q20" s="18" cm="1">
        <f t="array" ref="Q20">SUMPRODUCT(('Old CCC projections data'!$F$1:$BN$1=$B20)*('Old CCC projections data'!$A$2:$A$271=Q$2)*('Old CCC projections data'!$D$2:$D$271=Q$3)*('Old CCC projections data'!$F$2:$BN$271))*Model!$B$47</f>
        <v>253.88549125418805</v>
      </c>
      <c r="R20" s="18" cm="1">
        <f t="array" ref="R20">SUMPRODUCT(('Old CCC projections data'!$F$1:$BN$1=$B20)*('Old CCC projections data'!$A$2:$A$271=R$2)*('Old CCC projections data'!$D$2:$D$271=R$3)*('Old CCC projections data'!$F$2:$BN$271))*Model!$B$47</f>
        <v>338.51398833891744</v>
      </c>
      <c r="S20" s="18" cm="1">
        <f t="array" ref="S20">SUMPRODUCT(('Old CCC projections data'!$F$1:$BN$1=$B20)*('Old CCC projections data'!$A$2:$A$271=S$2)*('Old CCC projections data'!$D$2:$D$271=S$3)*('Old CCC projections data'!$F$2:$BN$271))*Model!$B$47</f>
        <v>423.14248542364675</v>
      </c>
      <c r="T20" s="18" cm="1">
        <f t="array" ref="T20">SUMPRODUCT(('Old CCC projections data'!$F$1:$BN$1=$B20)*('Old CCC projections data'!$A$2:$A$271=T$2)*('Old CCC projections data'!$D$2:$D$271=T$3)*('Old CCC projections data'!$F$2:$BN$271))*Model!$B$47</f>
        <v>507.77098250837611</v>
      </c>
      <c r="U20" s="18" cm="1">
        <f t="array" ref="U20">SUMPRODUCT(('Old CCC projections data'!$F$1:$BN$1=$B20)*('Old CCC projections data'!$A$2:$A$271=U$2)*('Old CCC projections data'!$D$2:$D$271=U$3)*('Old CCC projections data'!$F$2:$BN$271))*Model!$B$47</f>
        <v>84.628497084729361</v>
      </c>
      <c r="V20" s="18" cm="1">
        <f t="array" ref="V20">SUMPRODUCT(('Old CCC projections data'!$F$1:$BN$1=$B20)*('Old CCC projections data'!$A$2:$A$271=V$2)*('Old CCC projections data'!$D$2:$D$271=V$3)*('Old CCC projections data'!$F$2:$BN$271))*Model!$B$47</f>
        <v>198.11388060584056</v>
      </c>
      <c r="W20" s="18" cm="1">
        <f t="array" ref="W20">SUMPRODUCT(('Old CCC projections data'!$F$1:$BN$1=$B20)*('Old CCC projections data'!$A$2:$A$271=W$2)*('Old CCC projections data'!$D$2:$D$271=W$3)*('Old CCC projections data'!$F$2:$BN$271))*Model!$B$47</f>
        <v>1.1871345029239767E-2</v>
      </c>
      <c r="X20" s="18" cm="1">
        <f t="array" ref="X20">SUMPRODUCT(('Old CCC projections data'!$F$1:$BN$1=$B20)*('Old CCC projections data'!$A$2:$A$271=X$2)*('Old CCC projections data'!$D$2:$D$271=X$3)*('Old CCC projections data'!$F$2:$BN$271))*Model!$B$47</f>
        <v>169.25699416945872</v>
      </c>
      <c r="Y20" s="18" cm="1">
        <f t="array" ref="Y20">SUMPRODUCT(('Old CCC projections data'!$F$1:$BN$1=$B20)*('Old CCC projections data'!$A$2:$A$271=Y$2)*('Old CCC projections data'!$D$2:$D$271=Y$3)*('Old CCC projections data'!$F$2:$BN$271))*Model!$B$47</f>
        <v>253.88549125418805</v>
      </c>
      <c r="Z20" s="18" cm="1">
        <f t="array" ref="Z20">SUMPRODUCT(('Old CCC projections data'!$F$1:$BN$1=$B20)*('Old CCC projections data'!$A$2:$A$271=Z$2)*('Old CCC projections data'!$D$2:$D$271=Z$3)*('Old CCC projections data'!$F$2:$BN$271))*Model!$B$47</f>
        <v>338.51398833891744</v>
      </c>
      <c r="AA20" s="18" cm="1">
        <f t="array" ref="AA20">SUMPRODUCT(('Old CCC projections data'!$F$1:$BN$1=$B20)*('Old CCC projections data'!$A$2:$A$271=AA$2)*('Old CCC projections data'!$D$2:$D$271=AA$3)*('Old CCC projections data'!$F$2:$BN$271))*Model!$B$47</f>
        <v>423.14248542364675</v>
      </c>
      <c r="AB20" s="18" cm="1">
        <f t="array" ref="AB20">SUMPRODUCT(('Old CCC projections data'!$F$1:$BN$1=$B20)*('Old CCC projections data'!$A$2:$A$271=AB$2)*('Old CCC projections data'!$D$2:$D$271=AB$3)*('Old CCC projections data'!$F$2:$BN$271))*Model!$B$47</f>
        <v>507.77098250837611</v>
      </c>
      <c r="AC20" s="18" cm="1">
        <f t="array" ref="AC20">SUMPRODUCT(('Old CCC projections data'!$F$1:$BN$1=$B20)*('Old CCC projections data'!$A$2:$A$271=AC$2)*('Old CCC projections data'!$D$2:$D$271=AC$3)*('Old CCC projections data'!$F$2:$BN$271))*Model!$B$47</f>
        <v>84.628497084729361</v>
      </c>
      <c r="AD20" s="18" cm="1">
        <f t="array" ref="AD20">SUMPRODUCT(('Old CCC projections data'!$F$1:$BN$1=$B20)*('Old CCC projections data'!$A$2:$A$271=AD$2)*('Old CCC projections data'!$D$2:$D$271=AD$3)*('Old CCC projections data'!$F$2:$BN$271))*Model!$B$47</f>
        <v>93.091346793202263</v>
      </c>
      <c r="AE20" s="18" cm="1">
        <f t="array" ref="AE20">SUMPRODUCT(('Old CCC projections data'!$F$1:$BN$1=$B20)*('Old CCC projections data'!$A$2:$A$271=AE$2)*('Old CCC projections data'!$D$2:$D$271=AE$3)*('Old CCC projections data'!$F$2:$BN$271))*Model!$B$47</f>
        <v>198.11388060584056</v>
      </c>
      <c r="AF20" s="18" cm="1">
        <f t="array" ref="AF20">SUMPRODUCT(('Old CCC projections data'!$F$1:$BN$1=$B20)*('Old CCC projections data'!$A$2:$A$271=AF$2)*('Old CCC projections data'!$D$2:$D$271=AF$3)*('Old CCC projections data'!$F$2:$BN$271))*Model!$B$47</f>
        <v>1.1871345029239767E-2</v>
      </c>
      <c r="AG20" s="18" cm="1">
        <f t="array" ref="AG20">SUMPRODUCT(('Old CCC projections data'!$F$1:$BN$1=$B20)*('Old CCC projections data'!$A$2:$A$271=AG$2)*('Old CCC projections data'!$D$2:$D$271=AG$3)*('Old CCC projections data'!$F$2:$BN$271))*Model!$B$47</f>
        <v>169.25699416945872</v>
      </c>
      <c r="AH20" s="18" cm="1">
        <f t="array" ref="AH20">SUMPRODUCT(('Old CCC projections data'!$F$1:$BN$1=$B20)*('Old CCC projections data'!$A$2:$A$271=AH$2)*('Old CCC projections data'!$D$2:$D$271=AH$3)*('Old CCC projections data'!$F$2:$BN$271))*Model!$B$47</f>
        <v>253.88549125418805</v>
      </c>
      <c r="AI20" s="18" cm="1">
        <f t="array" ref="AI20">SUMPRODUCT(('Old CCC projections data'!$F$1:$BN$1=$B20)*('Old CCC projections data'!$A$2:$A$271=AI$2)*('Old CCC projections data'!$D$2:$D$271=AI$3)*('Old CCC projections data'!$F$2:$BN$271))*Model!$B$47</f>
        <v>338.51398833891744</v>
      </c>
      <c r="AJ20" s="18" cm="1">
        <f t="array" ref="AJ20">SUMPRODUCT(('Old CCC projections data'!$F$1:$BN$1=$B20)*('Old CCC projections data'!$A$2:$A$271=AJ$2)*('Old CCC projections data'!$D$2:$D$271=AJ$3)*('Old CCC projections data'!$F$2:$BN$271))*Model!$B$47</f>
        <v>423.14248542364675</v>
      </c>
      <c r="AK20" s="18" cm="1">
        <f t="array" ref="AK20">SUMPRODUCT(('Old CCC projections data'!$F$1:$BN$1=$B20)*('Old CCC projections data'!$A$2:$A$271=AK$2)*('Old CCC projections data'!$D$2:$D$271=AK$3)*('Old CCC projections data'!$F$2:$BN$271))*Model!$B$47</f>
        <v>456.99388425753853</v>
      </c>
      <c r="AL20" s="18" cm="1">
        <f t="array" ref="AL20">SUMPRODUCT(('Old CCC projections data'!$F$1:$BN$1=$B20)*('Old CCC projections data'!$A$2:$A$271=AL$2)*('Old CCC projections data'!$D$2:$D$271=AL$3)*('Old CCC projections data'!$F$2:$BN$271))*Model!$B$47</f>
        <v>507.77098250837611</v>
      </c>
      <c r="AM20" s="18" cm="1">
        <f t="array" ref="AM20">SUMPRODUCT(('Old CCC projections data'!$F$1:$BN$1=$B20)*('Old CCC projections data'!$A$2:$A$271=AM$2)*('Old CCC projections data'!$D$2:$D$271=AM$3)*('Old CCC projections data'!$F$2:$BN$271))*Model!$B$47</f>
        <v>84.628497084729361</v>
      </c>
      <c r="AN20" s="18" cm="1">
        <f t="array" ref="AN20">SUMPRODUCT(('Old CCC projections data'!$F$1:$BN$1=$B20)*('Old CCC projections data'!$A$2:$A$271=AN$2)*('Old CCC projections data'!$D$2:$D$271=AN$3)*('Old CCC projections data'!$F$2:$BN$271))*Model!$B$47</f>
        <v>198.11388060584056</v>
      </c>
      <c r="AO20" s="18" cm="1">
        <f t="array" ref="AO20">SUMPRODUCT(('Old CCC projections data'!$F$1:$BN$1=$B20)*('Old CCC projections data'!$A$2:$A$271=AO$2)*('Old CCC projections data'!$D$2:$D$271=AO$3)*('Old CCC projections data'!$F$2:$BN$271))*Model!$B$47</f>
        <v>1.1871345029239767E-2</v>
      </c>
      <c r="AP20" s="18" cm="1">
        <f t="array" ref="AP20">SUMPRODUCT(('Old CCC projections data'!$F$1:$BN$1=$B20)*('Old CCC projections data'!$A$2:$A$271=AP$2)*('Old CCC projections data'!$D$2:$D$271=AP$3)*('Old CCC projections data'!$F$2:$BN$271))*Model!$B$47</f>
        <v>169.25699416945872</v>
      </c>
      <c r="AQ20" s="18" cm="1">
        <f t="array" ref="AQ20">SUMPRODUCT(('Old CCC projections data'!$F$1:$BN$1=$B20)*('Old CCC projections data'!$A$2:$A$271=AQ$2)*('Old CCC projections data'!$D$2:$D$271=AQ$3)*('Old CCC projections data'!$F$2:$BN$271))*Model!$B$47</f>
        <v>253.88549125418805</v>
      </c>
      <c r="AR20" s="18" cm="1">
        <f t="array" ref="AR20">SUMPRODUCT(('Old CCC projections data'!$F$1:$BN$1=$B20)*('Old CCC projections data'!$A$2:$A$271=AR$2)*('Old CCC projections data'!$D$2:$D$271=AR$3)*('Old CCC projections data'!$F$2:$BN$271))*Model!$B$47</f>
        <v>338.51398833891744</v>
      </c>
      <c r="AS20" s="18" cm="1">
        <f t="array" ref="AS20">SUMPRODUCT(('Old CCC projections data'!$F$1:$BN$1=$B20)*('Old CCC projections data'!$A$2:$A$271=AS$2)*('Old CCC projections data'!$D$2:$D$271=AS$3)*('Old CCC projections data'!$F$2:$BN$271))*Model!$B$47</f>
        <v>423.14248542364675</v>
      </c>
      <c r="AT20" s="18" cm="1">
        <f t="array" ref="AT20">SUMPRODUCT(('Old CCC projections data'!$F$1:$BN$1=$B20)*('Old CCC projections data'!$A$2:$A$271=AT$2)*('Old CCC projections data'!$D$2:$D$271=AT$3)*('Old CCC projections data'!$F$2:$BN$271))*Model!$B$47</f>
        <v>507.77098250837611</v>
      </c>
      <c r="AU20" s="18" cm="1">
        <f t="array" ref="AU20">SUMPRODUCT(('Old CCC projections data'!$F$1:$BN$1=$B20)*('Old CCC projections data'!$A$2:$A$271=AU$2)*('Old CCC projections data'!$D$2:$D$271=AU$3)*('Old CCC projections data'!$F$2:$BN$271))*Model!$B$47</f>
        <v>84.628497084729361</v>
      </c>
      <c r="AV20" s="18" cm="1">
        <f t="array" ref="AV20">SUMPRODUCT(('Old CCC projections data'!$F$1:$BN$1=$B20)*('Old CCC projections data'!$A$2:$A$271=AV$2)*('Old CCC projections data'!$D$2:$D$271=AV$3)*('Old CCC projections data'!$F$2:$BN$271))*Model!$B$47</f>
        <v>93.091346793202263</v>
      </c>
      <c r="AW20" s="18" cm="1">
        <f t="array" ref="AW20">SUMPRODUCT(('Old CCC projections data'!$F$1:$BN$1=$B20)*('Old CCC projections data'!$A$2:$A$271=AW$2)*('Old CCC projections data'!$D$2:$D$271=AW$3)*('Old CCC projections data'!$F$2:$BN$271))*Model!$B$47</f>
        <v>198.11388060584056</v>
      </c>
      <c r="AX20" s="18" cm="1">
        <f t="array" ref="AX20">SUMPRODUCT(('Old CCC projections data'!$F$1:$BN$1=$B20)*('Old CCC projections data'!$A$2:$A$271=AX$2)*('Old CCC projections data'!$D$2:$D$271=AX$3)*('Old CCC projections data'!$F$2:$BN$271))*Model!$B$47</f>
        <v>1.1871345029239767E-2</v>
      </c>
      <c r="AY20" s="18">
        <v>50</v>
      </c>
      <c r="AZ20" s="18">
        <v>35</v>
      </c>
      <c r="BA20" s="18">
        <v>70</v>
      </c>
      <c r="BB20" s="18"/>
      <c r="BC20" s="20" cm="1">
        <f t="array" ref="BC20">SUMPRODUCT(('Old CCC projections data'!$F$1:$BN$1=$B20)*('Old CCC projections data'!$A$2:$A$271=BC$2)*('Old CCC projections data'!$D$2:$D$271=BC$3)*('Old CCC projections data'!$F$2:$BN$271))</f>
        <v>34096.244055878749</v>
      </c>
      <c r="BD20" s="126">
        <f t="shared" si="33"/>
        <v>34575.266380645655</v>
      </c>
      <c r="BE20" s="20"/>
      <c r="BF20" s="20"/>
      <c r="BG20" s="20" cm="1">
        <f t="array" ref="BG20">SUMPRODUCT(('Old CCC projections data'!$F$1:$BN$1=$B20)*('Old CCC projections data'!$A$2:$A$271=BG$2)*('Old CCC projections data'!$D$2:$D$271=BG$3)*('Old CCC projections data'!$F$2:$BN$271))</f>
        <v>24313.870226836443</v>
      </c>
      <c r="BH20" s="20" cm="1">
        <f t="array" ref="BH20">SUMPRODUCT(('Old CCC projections data'!$F$1:$BN$1=$B20)*('Old CCC projections data'!$A$2:$A$271=BH$2)*('Old CCC projections data'!$D$2:$D$271=BH$3)*('Old CCC projections data'!$F$2:$BN$271))</f>
        <v>22461.050145093184</v>
      </c>
      <c r="BI20" s="20" cm="1">
        <f t="array" ref="BI20">SUMPRODUCT(('Old CCC projections data'!$F$1:$BN$1=$B20)*('Old CCC projections data'!$A$2:$A$271=BI$2)*('Old CCC projections data'!$D$2:$D$271=BI$3)*('Old CCC projections data'!$F$2:$BN$271))</f>
        <v>21145.330022051854</v>
      </c>
      <c r="BJ20" s="20" cm="1">
        <f t="array" ref="BJ20">SUMPRODUCT(('Old CCC projections data'!$F$1:$BN$1=$B20)*('Old CCC projections data'!$A$2:$A$271=BJ$2)*('Old CCC projections data'!$D$2:$D$271=BJ$3)*('Old CCC projections data'!$F$2:$BN$271))</f>
        <v>20108.019141254535</v>
      </c>
      <c r="BK20" s="20" cm="1">
        <f t="array" ref="BK20">SUMPRODUCT(('Old CCC projections data'!$F$1:$BN$1=$B20)*('Old CCC projections data'!$A$2:$A$271=BK$2)*('Old CCC projections data'!$D$2:$D$271=BK$3)*('Old CCC projections data'!$F$2:$BN$271))</f>
        <v>19528.346245701767</v>
      </c>
      <c r="BL20" s="20" cm="1">
        <f t="array" ref="BL20">SUMPRODUCT(('Old CCC projections data'!$F$1:$BN$1=$B20)*('Old CCC projections data'!$A$2:$A$271=BL$2)*('Old CCC projections data'!$D$2:$D$271=BL$3)*('Old CCC projections data'!$F$2:$BN$271))</f>
        <v>26211.955253299657</v>
      </c>
      <c r="BM20" s="20" cm="1">
        <f t="array" ref="BM20">SUMPRODUCT(('Old CCC projections data'!$F$1:$BN$1=$B20)*('Old CCC projections data'!$A$2:$A$271=BM$2)*('Old CCC projections data'!$D$2:$D$271=BM$3)*('Old CCC projections data'!$F$2:$BN$271))</f>
        <v>23581.731977147552</v>
      </c>
      <c r="BN20" s="126">
        <f>BN19-($BN$15-$BN$21)/6</f>
        <v>27635.22957283038</v>
      </c>
      <c r="BO20" s="20" cm="1">
        <f t="array" ref="BO20">SUMPRODUCT(('Old CCC projections data'!$F$1:$BN$1=$B20)*('Old CCC projections data'!$A$2:$A$271=BO$2)*('Old CCC projections data'!$D$2:$D$271=BO$3)*('Old CCC projections data'!$F$2:$BN$271))</f>
        <v>27143.56537413357</v>
      </c>
      <c r="BP20" s="20" cm="1">
        <f t="array" ref="BP20">SUMPRODUCT(('Old CCC projections data'!$F$1:$BN$1=$B20)*('Old CCC projections data'!$A$2:$A$271=BP$2)*('Old CCC projections data'!$D$2:$D$271=BP$3)*('Old CCC projections data'!$F$2:$BN$271))</f>
        <v>25210.298524116424</v>
      </c>
      <c r="BQ20" s="20" cm="1">
        <f t="array" ref="BQ20">SUMPRODUCT(('Old CCC projections data'!$F$1:$BN$1=$B20)*('Old CCC projections data'!$A$2:$A$271=BQ$2)*('Old CCC projections data'!$D$2:$D$271=BQ$3)*('Old CCC projections data'!$F$2:$BN$271))</f>
        <v>23516.332238381248</v>
      </c>
      <c r="BR20" s="20" cm="1">
        <f t="array" ref="BR20">SUMPRODUCT(('Old CCC projections data'!$F$1:$BN$1=$B20)*('Old CCC projections data'!$A$2:$A$271=BR$2)*('Old CCC projections data'!$D$2:$D$271=BR$3)*('Old CCC projections data'!$F$2:$BN$271))</f>
        <v>22368.981331306033</v>
      </c>
      <c r="BS20" s="20" cm="1">
        <f t="array" ref="BS20">SUMPRODUCT(('Old CCC projections data'!$F$1:$BN$1=$B20)*('Old CCC projections data'!$A$2:$A$271=BS$2)*('Old CCC projections data'!$D$2:$D$271=BS$3)*('Old CCC projections data'!$F$2:$BN$271))</f>
        <v>21625.282567950555</v>
      </c>
      <c r="BT20" s="20" cm="1">
        <f t="array" ref="BT20">SUMPRODUCT(('Old CCC projections data'!$F$1:$BN$1=$B20)*('Old CCC projections data'!$A$2:$A$271=BT$2)*('Old CCC projections data'!$D$2:$D$271=BT$3)*('Old CCC projections data'!$F$2:$BN$271))</f>
        <v>28499.444917466302</v>
      </c>
      <c r="BU20" s="20" cm="1">
        <f t="array" ref="BU20">SUMPRODUCT(('Old CCC projections data'!$F$1:$BN$1=$B20)*('Old CCC projections data'!$A$2:$A$271=BU$2)*('Old CCC projections data'!$D$2:$D$271=BU$3)*('Old CCC projections data'!$F$2:$BN$271))</f>
        <v>26351.518287558894</v>
      </c>
      <c r="BV20" s="20" cm="1">
        <f t="array" ref="BV20">SUMPRODUCT(('Old CCC projections data'!$F$1:$BN$1=$B20)*('Old CCC projections data'!$A$2:$A$271=BV$2)*('Old CCC projections data'!$D$2:$D$271=BV$3)*('Old CCC projections data'!$F$2:$BN$271))</f>
        <v>33933.395297471747</v>
      </c>
      <c r="BW20" s="20" cm="1">
        <f t="array" ref="BW20">SUMPRODUCT(('Old CCC projections data'!$F$1:$BN$1=$B20)*('Old CCC projections data'!$A$2:$A$271=BW$2)*('Old CCC projections data'!$D$2:$D$271=BW$3)*('Old CCC projections data'!$F$2:$BN$271))</f>
        <v>22042.052242529968</v>
      </c>
      <c r="BX20" s="20" cm="1">
        <f t="array" ref="BX20">SUMPRODUCT(('Old CCC projections data'!$F$1:$BN$1=$B20)*('Old CCC projections data'!$A$2:$A$271=BX$2)*('Old CCC projections data'!$D$2:$D$271=BX$3)*('Old CCC projections data'!$F$2:$BN$271))</f>
        <v>20662.039044214609</v>
      </c>
      <c r="BY20" s="20" cm="1">
        <f t="array" ref="BY20">SUMPRODUCT(('Old CCC projections data'!$F$1:$BN$1=$B20)*('Old CCC projections data'!$A$2:$A$271=BY$2)*('Old CCC projections data'!$D$2:$D$271=BY$3)*('Old CCC projections data'!$F$2:$BN$271))</f>
        <v>19716.454491670818</v>
      </c>
      <c r="BZ20" s="20" cm="1">
        <f t="array" ref="BZ20">SUMPRODUCT(('Old CCC projections data'!$F$1:$BN$1=$B20)*('Old CCC projections data'!$A$2:$A$271=BZ$2)*('Old CCC projections data'!$D$2:$D$271=BZ$3)*('Old CCC projections data'!$F$2:$BN$271))</f>
        <v>19021.035938157849</v>
      </c>
      <c r="CA20" s="20" cm="1">
        <f t="array" ref="CA20">SUMPRODUCT(('Old CCC projections data'!$F$1:$BN$1=$B20)*('Old CCC projections data'!$A$2:$A$271=CA$2)*('Old CCC projections data'!$D$2:$D$271=CA$3)*('Old CCC projections data'!$F$2:$BN$271))</f>
        <v>18749.509274602387</v>
      </c>
      <c r="CB20" s="20" cm="1">
        <f t="array" ref="CB20">SUMPRODUCT(('Old CCC projections data'!$F$1:$BN$1=$B20)*('Old CCC projections data'!$A$2:$A$271=CB$2)*('Old CCC projections data'!$D$2:$D$271=CB$3)*('Old CCC projections data'!$F$2:$BN$271))</f>
        <v>23756.349012667008</v>
      </c>
      <c r="CC20" s="20" cm="1">
        <f t="array" ref="CC20">SUMPRODUCT(('Old CCC projections data'!$F$1:$BN$1=$B20)*('Old CCC projections data'!$A$2:$A$271=CC$2)*('Old CCC projections data'!$D$2:$D$271=CC$3)*('Old CCC projections data'!$F$2:$BN$271))</f>
        <v>23649.524245428249</v>
      </c>
      <c r="CD20" s="20" cm="1">
        <f t="array" ref="CD20">SUMPRODUCT(('Old CCC projections data'!$F$1:$BN$1=$B20)*('Old CCC projections data'!$A$2:$A$271=CD$2)*('Old CCC projections data'!$D$2:$D$271=CD$3)*('Old CCC projections data'!$F$2:$BN$271))</f>
        <v>21498.313493888509</v>
      </c>
      <c r="CE20" s="20" cm="1">
        <f t="array" ref="CE20">SUMPRODUCT(('Old CCC projections data'!$F$1:$BN$1=$B20)*('Old CCC projections data'!$A$2:$A$271=CE$2)*('Old CCC projections data'!$D$2:$D$271=CE$3)*('Old CCC projections data'!$F$2:$BN$271))</f>
        <v>25257.252648339025</v>
      </c>
      <c r="CF20" s="20" cm="1">
        <f t="array" ref="CF20">SUMPRODUCT(('Old CCC projections data'!$F$1:$BN$1=$B20)*('Old CCC projections data'!$A$2:$A$271=CF$2)*('Old CCC projections data'!$D$2:$D$271=CF$3)*('Old CCC projections data'!$F$2:$BN$271))</f>
        <v>29205.257946799698</v>
      </c>
      <c r="CG20" s="20" cm="1">
        <f t="array" ref="CG20">SUMPRODUCT(('Old CCC projections data'!$F$1:$BN$1=$B20)*('Old CCC projections data'!$A$2:$A$271=CG$2)*('Old CCC projections data'!$D$2:$D$271=CG$3)*('Old CCC projections data'!$F$2:$BN$271))</f>
        <v>27383.918390286868</v>
      </c>
      <c r="CH20" s="20" cm="1">
        <f t="array" ref="CH20">SUMPRODUCT(('Old CCC projections data'!$F$1:$BN$1=$B20)*('Old CCC projections data'!$A$2:$A$271=CH$2)*('Old CCC projections data'!$D$2:$D$271=CH$3)*('Old CCC projections data'!$F$2:$BN$271))</f>
        <v>26109.857921284085</v>
      </c>
      <c r="CI20" s="20" cm="1">
        <f t="array" ref="CI20">SUMPRODUCT(('Old CCC projections data'!$F$1:$BN$1=$B20)*('Old CCC projections data'!$A$2:$A$271=CI$2)*('Old CCC projections data'!$D$2:$D$271=CI$3)*('Old CCC projections data'!$F$2:$BN$271))</f>
        <v>25421.556533083385</v>
      </c>
      <c r="CJ20" s="20" cm="1">
        <f t="array" ref="CJ20">SUMPRODUCT(('Old CCC projections data'!$F$1:$BN$1=$B20)*('Old CCC projections data'!$A$2:$A$271=CJ$2)*('Old CCC projections data'!$D$2:$D$271=CJ$3)*('Old CCC projections data'!$F$2:$BN$271))</f>
        <v>25163.11832675667</v>
      </c>
      <c r="CK20" s="20" cm="1">
        <f t="array" ref="CK20">SUMPRODUCT(('Old CCC projections data'!$F$1:$BN$1=$B20)*('Old CCC projections data'!$A$2:$A$271=CK$2)*('Old CCC projections data'!$D$2:$D$271=CK$3)*('Old CCC projections data'!$F$2:$BN$271))</f>
        <v>25063.216216968511</v>
      </c>
      <c r="CL20" s="20" cm="1">
        <f t="array" ref="CL20">SUMPRODUCT(('Old CCC projections data'!$F$1:$BN$1=$B20)*('Old CCC projections data'!$A$2:$A$271=CL$2)*('Old CCC projections data'!$D$2:$D$271=CL$3)*('Old CCC projections data'!$F$2:$BN$271))</f>
        <v>30689.588938417903</v>
      </c>
      <c r="CM20" s="20" cm="1">
        <f t="array" ref="CM20">SUMPRODUCT(('Old CCC projections data'!$F$1:$BN$1=$B20)*('Old CCC projections data'!$A$2:$A$271=CM$2)*('Old CCC projections data'!$D$2:$D$271=CM$3)*('Old CCC projections data'!$F$2:$BN$271))</f>
        <v>28650.706474213552</v>
      </c>
      <c r="CN20" s="20" cm="1">
        <f t="array" ref="CN20">SUMPRODUCT(('Old CCC projections data'!$F$1:$BN$1=$B20)*('Old CCC projections data'!$A$2:$A$271=CN$2)*('Old CCC projections data'!$D$2:$D$271=CN$3)*('Old CCC projections data'!$F$2:$BN$271))</f>
        <v>34223.301741710937</v>
      </c>
      <c r="CO20" s="20" cm="1">
        <f t="array" ref="CO20">SUMPRODUCT(('Old CCC projections data'!$F$1:$BN$1=$B20)*('Old CCC projections data'!$A$2:$A$271=CO$2)*('Old CCC projections data'!$D$2:$D$271=CO$3)*('Old CCC projections data'!$F$2:$BN$271))</f>
        <v>21891.907298924387</v>
      </c>
      <c r="CP20" s="20" cm="1">
        <f t="array" ref="CP20">SUMPRODUCT(('Old CCC projections data'!$F$1:$BN$1=$B20)*('Old CCC projections data'!$A$2:$A$271=CP$2)*('Old CCC projections data'!$D$2:$D$271=CP$3)*('Old CCC projections data'!$F$2:$BN$271))</f>
        <v>19773.609581100751</v>
      </c>
      <c r="CQ20" s="20" cm="1">
        <f t="array" ref="CQ20">SUMPRODUCT(('Old CCC projections data'!$F$1:$BN$1=$B20)*('Old CCC projections data'!$A$2:$A$271=CQ$2)*('Old CCC projections data'!$D$2:$D$271=CQ$3)*('Old CCC projections data'!$F$2:$BN$271))</f>
        <v>18418.163557558204</v>
      </c>
      <c r="CR20" s="20" cm="1">
        <f t="array" ref="CR20">SUMPRODUCT(('Old CCC projections data'!$F$1:$BN$1=$B20)*('Old CCC projections data'!$A$2:$A$271=CR$2)*('Old CCC projections data'!$D$2:$D$271=CR$3)*('Old CCC projections data'!$F$2:$BN$271))</f>
        <v>17308.964099183471</v>
      </c>
      <c r="CS20" s="20" cm="1">
        <f t="array" ref="CS20">SUMPRODUCT(('Old CCC projections data'!$F$1:$BN$1=$B20)*('Old CCC projections data'!$A$2:$A$271=CS$2)*('Old CCC projections data'!$D$2:$D$271=CS$3)*('Old CCC projections data'!$F$2:$BN$271))</f>
        <v>16716.733792411716</v>
      </c>
      <c r="CT20" s="20" cm="1">
        <f t="array" ref="CT20">SUMPRODUCT(('Old CCC projections data'!$F$1:$BN$1=$B20)*('Old CCC projections data'!$A$2:$A$271=CT$2)*('Old CCC projections data'!$D$2:$D$271=CT$3)*('Old CCC projections data'!$F$2:$BN$271))</f>
        <v>24090.783974964896</v>
      </c>
      <c r="CU20" s="20" cm="1">
        <f t="array" ref="CU20">SUMPRODUCT(('Old CCC projections data'!$F$1:$BN$1=$B20)*('Old CCC projections data'!$A$2:$A$271=CU$2)*('Old CCC projections data'!$D$2:$D$271=CU$3)*('Old CCC projections data'!$F$2:$BN$271))</f>
        <v>23885.298646435742</v>
      </c>
      <c r="CV20" s="20" cm="1">
        <f t="array" ref="CV20">SUMPRODUCT(('Old CCC projections data'!$F$1:$BN$1=$B20)*('Old CCC projections data'!$A$2:$A$271=CV$2)*('Old CCC projections data'!$D$2:$D$271=CV$3)*('Old CCC projections data'!$F$2:$BN$271))</f>
        <v>21114.488349036179</v>
      </c>
      <c r="CW20" s="20" cm="1">
        <f t="array" ref="CW20">SUMPRODUCT(('Old CCC projections data'!$F$1:$BN$1=$B20)*('Old CCC projections data'!$A$2:$A$271=CW$2)*('Old CCC projections data'!$D$2:$D$271=CW$3)*('Old CCC projections data'!$F$2:$BN$271))</f>
        <v>30054.81516363757</v>
      </c>
      <c r="CX20" s="20">
        <f t="shared" si="19"/>
        <v>4053.4975956828275</v>
      </c>
      <c r="CY20" s="20" t="str">
        <f t="shared" si="29"/>
        <v>Demo path - C price $100 3%</v>
      </c>
      <c r="CZ20" s="3">
        <f t="shared" si="30"/>
        <v>2038</v>
      </c>
      <c r="DA20" s="18">
        <f t="shared" si="31"/>
        <v>0</v>
      </c>
      <c r="DB20" s="18">
        <f ca="1">(H23+IF($DB$3&gt;0,NPV($DB$2,H24:OFFSET(H23,$DB$3,0)),0))/($DB$3+1)</f>
        <v>184.95168746781016</v>
      </c>
      <c r="DC20" s="18">
        <f t="shared" ca="1" si="20"/>
        <v>84.95168746781016</v>
      </c>
      <c r="DD20" s="18">
        <f t="shared" si="32"/>
        <v>100</v>
      </c>
      <c r="DE20" s="20">
        <f t="shared" si="21"/>
        <v>24570.879657466994</v>
      </c>
      <c r="DF20" s="20" cm="1">
        <f t="array" ref="DF20">SUMPRODUCT(($BG$2:$BM$2=CY20)*($B$5:$B$35=CZ20)*($BG$5:$BM$35))</f>
        <v>20616.696720318552</v>
      </c>
      <c r="DG20" s="20">
        <f t="shared" si="16"/>
        <v>3954.1829371484419</v>
      </c>
      <c r="DH20" s="20" cm="1">
        <f t="array" ref="DH20">IF(CZ20=2023,SUMPRODUCT(($B$5:$B$35=CZ20-1)*($BN$5:$BN$35))-SUMPRODUCT(($BG$2:$BM$2=CY20)*($B$5:$B$35=CZ20-1)*($BG$5:$BM$35)),DG19)</f>
        <v>3669.2176603964399</v>
      </c>
      <c r="DI20" s="18">
        <f t="shared" ca="1" si="17"/>
        <v>184.95168746781016</v>
      </c>
      <c r="DJ20" s="89">
        <f t="shared" si="22"/>
        <v>8.2825292690104444</v>
      </c>
      <c r="DK20" s="89">
        <f t="shared" si="23"/>
        <v>8.2077337467702272</v>
      </c>
      <c r="DL20" s="89">
        <f t="shared" ca="1" si="24"/>
        <v>5.2200946421503858</v>
      </c>
      <c r="DM20" s="20">
        <f t="shared" ca="1" si="25"/>
        <v>2406.7794737090439</v>
      </c>
      <c r="DN20" s="20">
        <f t="shared" ca="1" si="26"/>
        <v>4289.9765047413903</v>
      </c>
      <c r="DO20" s="20">
        <f t="shared" ca="1" si="27"/>
        <v>3348.3779892252169</v>
      </c>
      <c r="DP20" s="113"/>
      <c r="DQ20" s="2"/>
      <c r="DR20" s="3"/>
      <c r="DS20" t="s">
        <v>258</v>
      </c>
      <c r="DT20">
        <v>0.98189284728654858</v>
      </c>
    </row>
    <row r="21" spans="1:131" x14ac:dyDescent="0.25">
      <c r="A21">
        <v>0.5</v>
      </c>
      <c r="B21">
        <f t="shared" si="28"/>
        <v>2036</v>
      </c>
      <c r="C21" s="190">
        <f>IF(C20*(1+A21*Model!$B$19*IF(Model!$B$28=0,1,((Model!$B$28-B21)/(Model!$B$28-$B$9))))&gt;Model!$B$44,C20*(1+A21*Model!$B$19*IF(Model!$B$28=0,1,((Model!$B$28-B21)/(Model!$B$28-$B$9)))),Model!$B$44)</f>
        <v>71.188240838558059</v>
      </c>
      <c r="D21" s="18" cm="1">
        <f t="array" ref="D21">SUMPRODUCT(('Old CCC projections data'!$F$1:$BN$1=$B21)*('Old CCC projections data'!$A$2:$A$271=D$2)*('Old CCC projections data'!$D$2:$D$271=D$3)*('Old CCC projections data'!$F$2:$BN$271))*Model!$B$47</f>
        <v>41.549707602339183</v>
      </c>
      <c r="E21" s="18" cm="1">
        <f t="array" ref="E21">SUMPRODUCT(('Old CCC projections data'!$F$1:$BN$1=$B21)*('Old CCC projections data'!$A$2:$A$271=E$2)*('Old CCC projections data'!$D$2:$D$271=E$3)*('Old CCC projections data'!$F$2:$BN$271))*Model!$B$47</f>
        <v>1.1871345029239767E-2</v>
      </c>
      <c r="F21" s="18"/>
      <c r="G21" s="18"/>
      <c r="H21" s="18" cm="1">
        <f t="array" ref="H21">SUMPRODUCT(('Old CCC projections data'!$F$1:$BN$1=$B21)*('Old CCC projections data'!$A$2:$A$271=H$2)*('Old CCC projections data'!$D$2:$D$271=H$3)*('Old CCC projections data'!$F$2:$BN$271))*Model!$B$47</f>
        <v>174.33470399454245</v>
      </c>
      <c r="I21" s="18" cm="1">
        <f t="array" ref="I21">SUMPRODUCT(('Old CCC projections data'!$F$1:$BN$1=$B21)*('Old CCC projections data'!$A$2:$A$271=I$2)*('Old CCC projections data'!$D$2:$D$271=I$3)*('Old CCC projections data'!$F$2:$BN$271))*Model!$B$47</f>
        <v>261.50205599181368</v>
      </c>
      <c r="J21" s="18" cm="1">
        <f t="array" ref="J21">SUMPRODUCT(('Old CCC projections data'!$F$1:$BN$1=$B21)*('Old CCC projections data'!$A$2:$A$271=J$2)*('Old CCC projections data'!$D$2:$D$271=J$3)*('Old CCC projections data'!$F$2:$BN$271))*Model!$B$47</f>
        <v>348.6694079890849</v>
      </c>
      <c r="K21" s="18" cm="1">
        <f t="array" ref="K21">SUMPRODUCT(('Old CCC projections data'!$F$1:$BN$1=$B21)*('Old CCC projections data'!$A$2:$A$271=K$2)*('Old CCC projections data'!$D$2:$D$271=K$3)*('Old CCC projections data'!$F$2:$BN$271))*Model!$B$47</f>
        <v>435.83675998635618</v>
      </c>
      <c r="L21" s="18" cm="1">
        <f t="array" ref="L21">SUMPRODUCT(('Old CCC projections data'!$F$1:$BN$1=$B21)*('Old CCC projections data'!$A$2:$A$271=L$2)*('Old CCC projections data'!$D$2:$D$271=L$3)*('Old CCC projections data'!$F$2:$BN$271))*Model!$B$47</f>
        <v>523.00411198362735</v>
      </c>
      <c r="M21" s="18" cm="1">
        <f t="array" ref="M21">SUMPRODUCT(('Old CCC projections data'!$F$1:$BN$1=$B21)*('Old CCC projections data'!$A$2:$A$271=M$2)*('Old CCC projections data'!$D$2:$D$271=M$3)*('Old CCC projections data'!$F$2:$BN$271))*Model!$B$47</f>
        <v>87.167351997271226</v>
      </c>
      <c r="N21" s="189" cm="1">
        <f t="array" ref="N21">SUMPRODUCT(('Old CCC projections data'!$F$1:$BN$1=$B21)*('Old CCC projections data'!$A$2:$A$271=N$2)*('Old CCC projections data'!$D$2:$D$271=N$3)*('Old CCC projections data'!$F$2:$BN$271))*Model!$B$47</f>
        <v>204.05729702401578</v>
      </c>
      <c r="O21" s="18" cm="1">
        <f t="array" ref="O21">SUMPRODUCT(('Old CCC projections data'!$F$1:$BN$1=$B21)*('Old CCC projections data'!$A$2:$A$271=O$2)*('Old CCC projections data'!$D$2:$D$271=O$3)*('Old CCC projections data'!$F$2:$BN$271))*Model!$B$47</f>
        <v>1.1871345029239767E-2</v>
      </c>
      <c r="P21" s="18" cm="1">
        <f t="array" ref="P21">SUMPRODUCT(('Old CCC projections data'!$F$1:$BN$1=$B21)*('Old CCC projections data'!$A$2:$A$271=P$2)*('Old CCC projections data'!$D$2:$D$271=P$3)*('Old CCC projections data'!$F$2:$BN$271))*Model!$B$47</f>
        <v>174.33470399454245</v>
      </c>
      <c r="Q21" s="18" cm="1">
        <f t="array" ref="Q21">SUMPRODUCT(('Old CCC projections data'!$F$1:$BN$1=$B21)*('Old CCC projections data'!$A$2:$A$271=Q$2)*('Old CCC projections data'!$D$2:$D$271=Q$3)*('Old CCC projections data'!$F$2:$BN$271))*Model!$B$47</f>
        <v>261.50205599181368</v>
      </c>
      <c r="R21" s="18" cm="1">
        <f t="array" ref="R21">SUMPRODUCT(('Old CCC projections data'!$F$1:$BN$1=$B21)*('Old CCC projections data'!$A$2:$A$271=R$2)*('Old CCC projections data'!$D$2:$D$271=R$3)*('Old CCC projections data'!$F$2:$BN$271))*Model!$B$47</f>
        <v>348.6694079890849</v>
      </c>
      <c r="S21" s="18" cm="1">
        <f t="array" ref="S21">SUMPRODUCT(('Old CCC projections data'!$F$1:$BN$1=$B21)*('Old CCC projections data'!$A$2:$A$271=S$2)*('Old CCC projections data'!$D$2:$D$271=S$3)*('Old CCC projections data'!$F$2:$BN$271))*Model!$B$47</f>
        <v>435.83675998635618</v>
      </c>
      <c r="T21" s="18" cm="1">
        <f t="array" ref="T21">SUMPRODUCT(('Old CCC projections data'!$F$1:$BN$1=$B21)*('Old CCC projections data'!$A$2:$A$271=T$2)*('Old CCC projections data'!$D$2:$D$271=T$3)*('Old CCC projections data'!$F$2:$BN$271))*Model!$B$47</f>
        <v>523.00411198362735</v>
      </c>
      <c r="U21" s="18" cm="1">
        <f t="array" ref="U21">SUMPRODUCT(('Old CCC projections data'!$F$1:$BN$1=$B21)*('Old CCC projections data'!$A$2:$A$271=U$2)*('Old CCC projections data'!$D$2:$D$271=U$3)*('Old CCC projections data'!$F$2:$BN$271))*Model!$B$47</f>
        <v>87.167351997271226</v>
      </c>
      <c r="V21" s="18" cm="1">
        <f t="array" ref="V21">SUMPRODUCT(('Old CCC projections data'!$F$1:$BN$1=$B21)*('Old CCC projections data'!$A$2:$A$271=V$2)*('Old CCC projections data'!$D$2:$D$271=V$3)*('Old CCC projections data'!$F$2:$BN$271))*Model!$B$47</f>
        <v>204.05729702401578</v>
      </c>
      <c r="W21" s="18" cm="1">
        <f t="array" ref="W21">SUMPRODUCT(('Old CCC projections data'!$F$1:$BN$1=$B21)*('Old CCC projections data'!$A$2:$A$271=W$2)*('Old CCC projections data'!$D$2:$D$271=W$3)*('Old CCC projections data'!$F$2:$BN$271))*Model!$B$47</f>
        <v>1.1871345029239767E-2</v>
      </c>
      <c r="X21" s="18" cm="1">
        <f t="array" ref="X21">SUMPRODUCT(('Old CCC projections data'!$F$1:$BN$1=$B21)*('Old CCC projections data'!$A$2:$A$271=X$2)*('Old CCC projections data'!$D$2:$D$271=X$3)*('Old CCC projections data'!$F$2:$BN$271))*Model!$B$47</f>
        <v>174.33470399454245</v>
      </c>
      <c r="Y21" s="18" cm="1">
        <f t="array" ref="Y21">SUMPRODUCT(('Old CCC projections data'!$F$1:$BN$1=$B21)*('Old CCC projections data'!$A$2:$A$271=Y$2)*('Old CCC projections data'!$D$2:$D$271=Y$3)*('Old CCC projections data'!$F$2:$BN$271))*Model!$B$47</f>
        <v>261.50205599181368</v>
      </c>
      <c r="Z21" s="18" cm="1">
        <f t="array" ref="Z21">SUMPRODUCT(('Old CCC projections data'!$F$1:$BN$1=$B21)*('Old CCC projections data'!$A$2:$A$271=Z$2)*('Old CCC projections data'!$D$2:$D$271=Z$3)*('Old CCC projections data'!$F$2:$BN$271))*Model!$B$47</f>
        <v>348.6694079890849</v>
      </c>
      <c r="AA21" s="18" cm="1">
        <f t="array" ref="AA21">SUMPRODUCT(('Old CCC projections data'!$F$1:$BN$1=$B21)*('Old CCC projections data'!$A$2:$A$271=AA$2)*('Old CCC projections data'!$D$2:$D$271=AA$3)*('Old CCC projections data'!$F$2:$BN$271))*Model!$B$47</f>
        <v>435.83675998635618</v>
      </c>
      <c r="AB21" s="18" cm="1">
        <f t="array" ref="AB21">SUMPRODUCT(('Old CCC projections data'!$F$1:$BN$1=$B21)*('Old CCC projections data'!$A$2:$A$271=AB$2)*('Old CCC projections data'!$D$2:$D$271=AB$3)*('Old CCC projections data'!$F$2:$BN$271))*Model!$B$47</f>
        <v>523.00411198362735</v>
      </c>
      <c r="AC21" s="18" cm="1">
        <f t="array" ref="AC21">SUMPRODUCT(('Old CCC projections data'!$F$1:$BN$1=$B21)*('Old CCC projections data'!$A$2:$A$271=AC$2)*('Old CCC projections data'!$D$2:$D$271=AC$3)*('Old CCC projections data'!$F$2:$BN$271))*Model!$B$47</f>
        <v>87.167351997271226</v>
      </c>
      <c r="AD21" s="18" cm="1">
        <f t="array" ref="AD21">SUMPRODUCT(('Old CCC projections data'!$F$1:$BN$1=$B21)*('Old CCC projections data'!$A$2:$A$271=AD$2)*('Old CCC projections data'!$D$2:$D$271=AD$3)*('Old CCC projections data'!$F$2:$BN$271))*Model!$B$47</f>
        <v>95.884087196998337</v>
      </c>
      <c r="AE21" s="18" cm="1">
        <f t="array" ref="AE21">SUMPRODUCT(('Old CCC projections data'!$F$1:$BN$1=$B21)*('Old CCC projections data'!$A$2:$A$271=AE$2)*('Old CCC projections data'!$D$2:$D$271=AE$3)*('Old CCC projections data'!$F$2:$BN$271))*Model!$B$47</f>
        <v>204.05729702401578</v>
      </c>
      <c r="AF21" s="18" cm="1">
        <f t="array" ref="AF21">SUMPRODUCT(('Old CCC projections data'!$F$1:$BN$1=$B21)*('Old CCC projections data'!$A$2:$A$271=AF$2)*('Old CCC projections data'!$D$2:$D$271=AF$3)*('Old CCC projections data'!$F$2:$BN$271))*Model!$B$47</f>
        <v>1.1871345029239767E-2</v>
      </c>
      <c r="AG21" s="18" cm="1">
        <f t="array" ref="AG21">SUMPRODUCT(('Old CCC projections data'!$F$1:$BN$1=$B21)*('Old CCC projections data'!$A$2:$A$271=AG$2)*('Old CCC projections data'!$D$2:$D$271=AG$3)*('Old CCC projections data'!$F$2:$BN$271))*Model!$B$47</f>
        <v>174.33470399454245</v>
      </c>
      <c r="AH21" s="18" cm="1">
        <f t="array" ref="AH21">SUMPRODUCT(('Old CCC projections data'!$F$1:$BN$1=$B21)*('Old CCC projections data'!$A$2:$A$271=AH$2)*('Old CCC projections data'!$D$2:$D$271=AH$3)*('Old CCC projections data'!$F$2:$BN$271))*Model!$B$47</f>
        <v>261.50205599181368</v>
      </c>
      <c r="AI21" s="18" cm="1">
        <f t="array" ref="AI21">SUMPRODUCT(('Old CCC projections data'!$F$1:$BN$1=$B21)*('Old CCC projections data'!$A$2:$A$271=AI$2)*('Old CCC projections data'!$D$2:$D$271=AI$3)*('Old CCC projections data'!$F$2:$BN$271))*Model!$B$47</f>
        <v>348.6694079890849</v>
      </c>
      <c r="AJ21" s="18" cm="1">
        <f t="array" ref="AJ21">SUMPRODUCT(('Old CCC projections data'!$F$1:$BN$1=$B21)*('Old CCC projections data'!$A$2:$A$271=AJ$2)*('Old CCC projections data'!$D$2:$D$271=AJ$3)*('Old CCC projections data'!$F$2:$BN$271))*Model!$B$47</f>
        <v>435.83675998635618</v>
      </c>
      <c r="AK21" s="18" cm="1">
        <f t="array" ref="AK21">SUMPRODUCT(('Old CCC projections data'!$F$1:$BN$1=$B21)*('Old CCC projections data'!$A$2:$A$271=AK$2)*('Old CCC projections data'!$D$2:$D$271=AK$3)*('Old CCC projections data'!$F$2:$BN$271))*Model!$B$47</f>
        <v>470.70370078526469</v>
      </c>
      <c r="AL21" s="18" cm="1">
        <f t="array" ref="AL21">SUMPRODUCT(('Old CCC projections data'!$F$1:$BN$1=$B21)*('Old CCC projections data'!$A$2:$A$271=AL$2)*('Old CCC projections data'!$D$2:$D$271=AL$3)*('Old CCC projections data'!$F$2:$BN$271))*Model!$B$47</f>
        <v>523.00411198362735</v>
      </c>
      <c r="AM21" s="18" cm="1">
        <f t="array" ref="AM21">SUMPRODUCT(('Old CCC projections data'!$F$1:$BN$1=$B21)*('Old CCC projections data'!$A$2:$A$271=AM$2)*('Old CCC projections data'!$D$2:$D$271=AM$3)*('Old CCC projections data'!$F$2:$BN$271))*Model!$B$47</f>
        <v>87.167351997271226</v>
      </c>
      <c r="AN21" s="18" cm="1">
        <f t="array" ref="AN21">SUMPRODUCT(('Old CCC projections data'!$F$1:$BN$1=$B21)*('Old CCC projections data'!$A$2:$A$271=AN$2)*('Old CCC projections data'!$D$2:$D$271=AN$3)*('Old CCC projections data'!$F$2:$BN$271))*Model!$B$47</f>
        <v>204.05729702401578</v>
      </c>
      <c r="AO21" s="18" cm="1">
        <f t="array" ref="AO21">SUMPRODUCT(('Old CCC projections data'!$F$1:$BN$1=$B21)*('Old CCC projections data'!$A$2:$A$271=AO$2)*('Old CCC projections data'!$D$2:$D$271=AO$3)*('Old CCC projections data'!$F$2:$BN$271))*Model!$B$47</f>
        <v>1.1871345029239767E-2</v>
      </c>
      <c r="AP21" s="18" cm="1">
        <f t="array" ref="AP21">SUMPRODUCT(('Old CCC projections data'!$F$1:$BN$1=$B21)*('Old CCC projections data'!$A$2:$A$271=AP$2)*('Old CCC projections data'!$D$2:$D$271=AP$3)*('Old CCC projections data'!$F$2:$BN$271))*Model!$B$47</f>
        <v>174.33470399454245</v>
      </c>
      <c r="AQ21" s="18" cm="1">
        <f t="array" ref="AQ21">SUMPRODUCT(('Old CCC projections data'!$F$1:$BN$1=$B21)*('Old CCC projections data'!$A$2:$A$271=AQ$2)*('Old CCC projections data'!$D$2:$D$271=AQ$3)*('Old CCC projections data'!$F$2:$BN$271))*Model!$B$47</f>
        <v>261.50205599181368</v>
      </c>
      <c r="AR21" s="18" cm="1">
        <f t="array" ref="AR21">SUMPRODUCT(('Old CCC projections data'!$F$1:$BN$1=$B21)*('Old CCC projections data'!$A$2:$A$271=AR$2)*('Old CCC projections data'!$D$2:$D$271=AR$3)*('Old CCC projections data'!$F$2:$BN$271))*Model!$B$47</f>
        <v>348.6694079890849</v>
      </c>
      <c r="AS21" s="18" cm="1">
        <f t="array" ref="AS21">SUMPRODUCT(('Old CCC projections data'!$F$1:$BN$1=$B21)*('Old CCC projections data'!$A$2:$A$271=AS$2)*('Old CCC projections data'!$D$2:$D$271=AS$3)*('Old CCC projections data'!$F$2:$BN$271))*Model!$B$47</f>
        <v>435.83675998635618</v>
      </c>
      <c r="AT21" s="18" cm="1">
        <f t="array" ref="AT21">SUMPRODUCT(('Old CCC projections data'!$F$1:$BN$1=$B21)*('Old CCC projections data'!$A$2:$A$271=AT$2)*('Old CCC projections data'!$D$2:$D$271=AT$3)*('Old CCC projections data'!$F$2:$BN$271))*Model!$B$47</f>
        <v>523.00411198362735</v>
      </c>
      <c r="AU21" s="18" cm="1">
        <f t="array" ref="AU21">SUMPRODUCT(('Old CCC projections data'!$F$1:$BN$1=$B21)*('Old CCC projections data'!$A$2:$A$271=AU$2)*('Old CCC projections data'!$D$2:$D$271=AU$3)*('Old CCC projections data'!$F$2:$BN$271))*Model!$B$47</f>
        <v>87.167351997271226</v>
      </c>
      <c r="AV21" s="18" cm="1">
        <f t="array" ref="AV21">SUMPRODUCT(('Old CCC projections data'!$F$1:$BN$1=$B21)*('Old CCC projections data'!$A$2:$A$271=AV$2)*('Old CCC projections data'!$D$2:$D$271=AV$3)*('Old CCC projections data'!$F$2:$BN$271))*Model!$B$47</f>
        <v>95.884087196998337</v>
      </c>
      <c r="AW21" s="18" cm="1">
        <f t="array" ref="AW21">SUMPRODUCT(('Old CCC projections data'!$F$1:$BN$1=$B21)*('Old CCC projections data'!$A$2:$A$271=AW$2)*('Old CCC projections data'!$D$2:$D$271=AW$3)*('Old CCC projections data'!$F$2:$BN$271))*Model!$B$47</f>
        <v>204.05729702401578</v>
      </c>
      <c r="AX21" s="18" cm="1">
        <f t="array" ref="AX21">SUMPRODUCT(('Old CCC projections data'!$F$1:$BN$1=$B21)*('Old CCC projections data'!$A$2:$A$271=AX$2)*('Old CCC projections data'!$D$2:$D$271=AX$3)*('Old CCC projections data'!$F$2:$BN$271))*Model!$B$47</f>
        <v>1.1871345029239767E-2</v>
      </c>
      <c r="AY21" s="18">
        <v>50</v>
      </c>
      <c r="AZ21" s="18">
        <v>35</v>
      </c>
      <c r="BA21" s="18">
        <v>70</v>
      </c>
      <c r="BB21" s="18"/>
      <c r="BC21" s="20" cm="1">
        <f t="array" ref="BC21">SUMPRODUCT(('Old CCC projections data'!$F$1:$BN$1=$B21)*('Old CCC projections data'!$A$2:$A$271=BC$2)*('Old CCC projections data'!$D$2:$D$271=BC$3)*('Old CCC projections data'!$F$2:$BN$271))</f>
        <v>33644.49720272635</v>
      </c>
      <c r="BD21" s="126">
        <f t="shared" si="33"/>
        <v>34059.891948716526</v>
      </c>
      <c r="BE21" s="20"/>
      <c r="BF21" s="20"/>
      <c r="BG21" s="20" cm="1">
        <f t="array" ref="BG21">SUMPRODUCT(('Old CCC projections data'!$F$1:$BN$1=$B21)*('Old CCC projections data'!$A$2:$A$271=BG$2)*('Old CCC projections data'!$D$2:$D$271=BG$3)*('Old CCC projections data'!$F$2:$BN$271))</f>
        <v>23089.494191366139</v>
      </c>
      <c r="BH21" s="20" cm="1">
        <f t="array" ref="BH21">SUMPRODUCT(('Old CCC projections data'!$F$1:$BN$1=$B21)*('Old CCC projections data'!$A$2:$A$271=BH$2)*('Old CCC projections data'!$D$2:$D$271=BH$3)*('Old CCC projections data'!$F$2:$BN$271))</f>
        <v>21268.460655984494</v>
      </c>
      <c r="BI21" s="20" cm="1">
        <f t="array" ref="BI21">SUMPRODUCT(('Old CCC projections data'!$F$1:$BN$1=$B21)*('Old CCC projections data'!$A$2:$A$271=BI$2)*('Old CCC projections data'!$D$2:$D$271=BI$3)*('Old CCC projections data'!$F$2:$BN$271))</f>
        <v>19980.135828641982</v>
      </c>
      <c r="BJ21" s="20" cm="1">
        <f t="array" ref="BJ21">SUMPRODUCT(('Old CCC projections data'!$F$1:$BN$1=$B21)*('Old CCC projections data'!$A$2:$A$271=BJ$2)*('Old CCC projections data'!$D$2:$D$271=BJ$3)*('Old CCC projections data'!$F$2:$BN$271))</f>
        <v>18875.555763005199</v>
      </c>
      <c r="BK21" s="20" cm="1">
        <f t="array" ref="BK21">SUMPRODUCT(('Old CCC projections data'!$F$1:$BN$1=$B21)*('Old CCC projections data'!$A$2:$A$271=BK$2)*('Old CCC projections data'!$D$2:$D$271=BK$3)*('Old CCC projections data'!$F$2:$BN$271))</f>
        <v>18371.513535785478</v>
      </c>
      <c r="BL21" s="20" cm="1">
        <f t="array" ref="BL21">SUMPRODUCT(('Old CCC projections data'!$F$1:$BN$1=$B21)*('Old CCC projections data'!$A$2:$A$271=BL$2)*('Old CCC projections data'!$D$2:$D$271=BL$3)*('Old CCC projections data'!$F$2:$BN$271))</f>
        <v>25127.868184721134</v>
      </c>
      <c r="BM21" s="20" cm="1">
        <f t="array" ref="BM21">SUMPRODUCT(('Old CCC projections data'!$F$1:$BN$1=$B21)*('Old CCC projections data'!$A$2:$A$271=BM$2)*('Old CCC projections data'!$D$2:$D$271=BM$3)*('Old CCC projections data'!$F$2:$BN$271))</f>
        <v>22266.886316596469</v>
      </c>
      <c r="BN21" s="20" cm="1">
        <f t="array" ref="BN21">SUMPRODUCT(('Old CCC projections data'!$F$1:$BN$1=$B21)*('Old CCC projections data'!$A$2:$A$271=BN$2)*('Old CCC projections data'!$D$2:$D$271=BN$3)*('Old CCC projections data'!$F$2:$BN$271))</f>
        <v>26407.824287178031</v>
      </c>
      <c r="BO21" s="20" cm="1">
        <f t="array" ref="BO21">SUMPRODUCT(('Old CCC projections data'!$F$1:$BN$1=$B21)*('Old CCC projections data'!$A$2:$A$271=BO$2)*('Old CCC projections data'!$D$2:$D$271=BO$3)*('Old CCC projections data'!$F$2:$BN$271))</f>
        <v>26052.094028505653</v>
      </c>
      <c r="BP21" s="20" cm="1">
        <f t="array" ref="BP21">SUMPRODUCT(('Old CCC projections data'!$F$1:$BN$1=$B21)*('Old CCC projections data'!$A$2:$A$271=BP$2)*('Old CCC projections data'!$D$2:$D$271=BP$3)*('Old CCC projections data'!$F$2:$BN$271))</f>
        <v>24122.904127825626</v>
      </c>
      <c r="BQ21" s="20" cm="1">
        <f t="array" ref="BQ21">SUMPRODUCT(('Old CCC projections data'!$F$1:$BN$1=$B21)*('Old CCC projections data'!$A$2:$A$271=BQ$2)*('Old CCC projections data'!$D$2:$D$271=BQ$3)*('Old CCC projections data'!$F$2:$BN$271))</f>
        <v>22303.64433304956</v>
      </c>
      <c r="BR21" s="20" cm="1">
        <f t="array" ref="BR21">SUMPRODUCT(('Old CCC projections data'!$F$1:$BN$1=$B21)*('Old CCC projections data'!$A$2:$A$271=BR$2)*('Old CCC projections data'!$D$2:$D$271=BR$3)*('Old CCC projections data'!$F$2:$BN$271))</f>
        <v>21378.235777624941</v>
      </c>
      <c r="BS21" s="20" cm="1">
        <f t="array" ref="BS21">SUMPRODUCT(('Old CCC projections data'!$F$1:$BN$1=$B21)*('Old CCC projections data'!$A$2:$A$271=BS$2)*('Old CCC projections data'!$D$2:$D$271=BS$3)*('Old CCC projections data'!$F$2:$BN$271))</f>
        <v>20482.616204934471</v>
      </c>
      <c r="BT21" s="20" cm="1">
        <f t="array" ref="BT21">SUMPRODUCT(('Old CCC projections data'!$F$1:$BN$1=$B21)*('Old CCC projections data'!$A$2:$A$271=BT$2)*('Old CCC projections data'!$D$2:$D$271=BT$3)*('Old CCC projections data'!$F$2:$BN$271))</f>
        <v>27526.230149389979</v>
      </c>
      <c r="BU21" s="20" cm="1">
        <f t="array" ref="BU21">SUMPRODUCT(('Old CCC projections data'!$F$1:$BN$1=$B21)*('Old CCC projections data'!$A$2:$A$271=BU$2)*('Old CCC projections data'!$D$2:$D$271=BU$3)*('Old CCC projections data'!$F$2:$BN$271))</f>
        <v>25171.627034450212</v>
      </c>
      <c r="BV21" s="20" cm="1">
        <f t="array" ref="BV21">SUMPRODUCT(('Old CCC projections data'!$F$1:$BN$1=$B21)*('Old CCC projections data'!$A$2:$A$271=BV$2)*('Old CCC projections data'!$D$2:$D$271=BV$3)*('Old CCC projections data'!$F$2:$BN$271))</f>
        <v>33861.394098795739</v>
      </c>
      <c r="BW21" s="20" cm="1">
        <f t="array" ref="BW21">SUMPRODUCT(('Old CCC projections data'!$F$1:$BN$1=$B21)*('Old CCC projections data'!$A$2:$A$271=BW$2)*('Old CCC projections data'!$D$2:$D$271=BW$3)*('Old CCC projections data'!$F$2:$BN$271))</f>
        <v>20853.545161512131</v>
      </c>
      <c r="BX21" s="20" cm="1">
        <f t="array" ref="BX21">SUMPRODUCT(('Old CCC projections data'!$F$1:$BN$1=$B21)*('Old CCC projections data'!$A$2:$A$271=BX$2)*('Old CCC projections data'!$D$2:$D$271=BX$3)*('Old CCC projections data'!$F$2:$BN$271))</f>
        <v>19483.109561803671</v>
      </c>
      <c r="BY21" s="20" cm="1">
        <f t="array" ref="BY21">SUMPRODUCT(('Old CCC projections data'!$F$1:$BN$1=$B21)*('Old CCC projections data'!$A$2:$A$271=BY$2)*('Old CCC projections data'!$D$2:$D$271=BY$3)*('Old CCC projections data'!$F$2:$BN$271))</f>
        <v>18576.87453686566</v>
      </c>
      <c r="BZ21" s="20" cm="1">
        <f t="array" ref="BZ21">SUMPRODUCT(('Old CCC projections data'!$F$1:$BN$1=$B21)*('Old CCC projections data'!$A$2:$A$271=BZ$2)*('Old CCC projections data'!$D$2:$D$271=BZ$3)*('Old CCC projections data'!$F$2:$BN$271))</f>
        <v>17859.175350566238</v>
      </c>
      <c r="CA21" s="20" cm="1">
        <f t="array" ref="CA21">SUMPRODUCT(('Old CCC projections data'!$F$1:$BN$1=$B21)*('Old CCC projections data'!$A$2:$A$271=CA$2)*('Old CCC projections data'!$D$2:$D$271=CA$3)*('Old CCC projections data'!$F$2:$BN$271))</f>
        <v>17713.538465533034</v>
      </c>
      <c r="CB21" s="20" cm="1">
        <f t="array" ref="CB21">SUMPRODUCT(('Old CCC projections data'!$F$1:$BN$1=$B21)*('Old CCC projections data'!$A$2:$A$271=CB$2)*('Old CCC projections data'!$D$2:$D$271=CB$3)*('Old CCC projections data'!$F$2:$BN$271))</f>
        <v>22604.402431703595</v>
      </c>
      <c r="CC21" s="20" cm="1">
        <f t="array" ref="CC21">SUMPRODUCT(('Old CCC projections data'!$F$1:$BN$1=$B21)*('Old CCC projections data'!$A$2:$A$271=CC$2)*('Old CCC projections data'!$D$2:$D$271=CC$3)*('Old CCC projections data'!$F$2:$BN$271))</f>
        <v>22511.69003782811</v>
      </c>
      <c r="CD21" s="20" cm="1">
        <f t="array" ref="CD21">SUMPRODUCT(('Old CCC projections data'!$F$1:$BN$1=$B21)*('Old CCC projections data'!$A$2:$A$271=CD$2)*('Old CCC projections data'!$D$2:$D$271=CD$3)*('Old CCC projections data'!$F$2:$BN$271))</f>
        <v>20223.535625884717</v>
      </c>
      <c r="CE21" s="20" cm="1">
        <f t="array" ref="CE21">SUMPRODUCT(('Old CCC projections data'!$F$1:$BN$1=$B21)*('Old CCC projections data'!$A$2:$A$271=CE$2)*('Old CCC projections data'!$D$2:$D$271=CE$3)*('Old CCC projections data'!$F$2:$BN$271))</f>
        <v>24121.605805380917</v>
      </c>
      <c r="CF21" s="20" cm="1">
        <f t="array" ref="CF21">SUMPRODUCT(('Old CCC projections data'!$F$1:$BN$1=$B21)*('Old CCC projections data'!$A$2:$A$271=CF$2)*('Old CCC projections data'!$D$2:$D$271=CF$3)*('Old CCC projections data'!$F$2:$BN$271))</f>
        <v>28253.598584750329</v>
      </c>
      <c r="CG21" s="20" cm="1">
        <f t="array" ref="CG21">SUMPRODUCT(('Old CCC projections data'!$F$1:$BN$1=$B21)*('Old CCC projections data'!$A$2:$A$271=CG$2)*('Old CCC projections data'!$D$2:$D$271=CG$3)*('Old CCC projections data'!$F$2:$BN$271))</f>
        <v>26420.498335530665</v>
      </c>
      <c r="CH21" s="20" cm="1">
        <f t="array" ref="CH21">SUMPRODUCT(('Old CCC projections data'!$F$1:$BN$1=$B21)*('Old CCC projections data'!$A$2:$A$271=CH$2)*('Old CCC projections data'!$D$2:$D$271=CH$3)*('Old CCC projections data'!$F$2:$BN$271))</f>
        <v>25097.57476938664</v>
      </c>
      <c r="CI21" s="20" cm="1">
        <f t="array" ref="CI21">SUMPRODUCT(('Old CCC projections data'!$F$1:$BN$1=$B21)*('Old CCC projections data'!$A$2:$A$271=CI$2)*('Old CCC projections data'!$D$2:$D$271=CI$3)*('Old CCC projections data'!$F$2:$BN$271))</f>
        <v>24410.234886169554</v>
      </c>
      <c r="CJ21" s="20" cm="1">
        <f t="array" ref="CJ21">SUMPRODUCT(('Old CCC projections data'!$F$1:$BN$1=$B21)*('Old CCC projections data'!$A$2:$A$271=CJ$2)*('Old CCC projections data'!$D$2:$D$271=CJ$3)*('Old CCC projections data'!$F$2:$BN$271))</f>
        <v>24268.505999779223</v>
      </c>
      <c r="CK21" s="20" cm="1">
        <f t="array" ref="CK21">SUMPRODUCT(('Old CCC projections data'!$F$1:$BN$1=$B21)*('Old CCC projections data'!$A$2:$A$271=CK$2)*('Old CCC projections data'!$D$2:$D$271=CK$3)*('Old CCC projections data'!$F$2:$BN$271))</f>
        <v>24144.651135220734</v>
      </c>
      <c r="CL21" s="20" cm="1">
        <f t="array" ref="CL21">SUMPRODUCT(('Old CCC projections data'!$F$1:$BN$1=$B21)*('Old CCC projections data'!$A$2:$A$271=CL$2)*('Old CCC projections data'!$D$2:$D$271=CL$3)*('Old CCC projections data'!$F$2:$BN$271))</f>
        <v>29832.613623443525</v>
      </c>
      <c r="CM21" s="20" cm="1">
        <f t="array" ref="CM21">SUMPRODUCT(('Old CCC projections data'!$F$1:$BN$1=$B21)*('Old CCC projections data'!$A$2:$A$271=CM$2)*('Old CCC projections data'!$D$2:$D$271=CM$3)*('Old CCC projections data'!$F$2:$BN$271))</f>
        <v>27654.949861398953</v>
      </c>
      <c r="CN21" s="20" cm="1">
        <f t="array" ref="CN21">SUMPRODUCT(('Old CCC projections data'!$F$1:$BN$1=$B21)*('Old CCC projections data'!$A$2:$A$271=CN$2)*('Old CCC projections data'!$D$2:$D$271=CN$3)*('Old CCC projections data'!$F$2:$BN$271))</f>
        <v>33843.070032625372</v>
      </c>
      <c r="CO21" s="20" cm="1">
        <f t="array" ref="CO21">SUMPRODUCT(('Old CCC projections data'!$F$1:$BN$1=$B21)*('Old CCC projections data'!$A$2:$A$271=CO$2)*('Old CCC projections data'!$D$2:$D$271=CO$3)*('Old CCC projections data'!$F$2:$BN$271))</f>
        <v>20662.124167408154</v>
      </c>
      <c r="CP21" s="20" cm="1">
        <f t="array" ref="CP21">SUMPRODUCT(('Old CCC projections data'!$F$1:$BN$1=$B21)*('Old CCC projections data'!$A$2:$A$271=CP$2)*('Old CCC projections data'!$D$2:$D$271=CP$3)*('Old CCC projections data'!$F$2:$BN$271))</f>
        <v>18662.734048501454</v>
      </c>
      <c r="CQ21" s="20" cm="1">
        <f t="array" ref="CQ21">SUMPRODUCT(('Old CCC projections data'!$F$1:$BN$1=$B21)*('Old CCC projections data'!$A$2:$A$271=CQ$2)*('Old CCC projections data'!$D$2:$D$271=CQ$3)*('Old CCC projections data'!$F$2:$BN$271))</f>
        <v>17343.161226679171</v>
      </c>
      <c r="CR21" s="20" cm="1">
        <f t="array" ref="CR21">SUMPRODUCT(('Old CCC projections data'!$F$1:$BN$1=$B21)*('Old CCC projections data'!$A$2:$A$271=CR$2)*('Old CCC projections data'!$D$2:$D$271=CR$3)*('Old CCC projections data'!$F$2:$BN$271))</f>
        <v>16193.034811526635</v>
      </c>
      <c r="CS21" s="20" cm="1">
        <f t="array" ref="CS21">SUMPRODUCT(('Old CCC projections data'!$F$1:$BN$1=$B21)*('Old CCC projections data'!$A$2:$A$271=CS$2)*('Old CCC projections data'!$D$2:$D$271=CS$3)*('Old CCC projections data'!$F$2:$BN$271))</f>
        <v>15780.435576794909</v>
      </c>
      <c r="CT21" s="20" cm="1">
        <f t="array" ref="CT21">SUMPRODUCT(('Old CCC projections data'!$F$1:$BN$1=$B21)*('Old CCC projections data'!$A$2:$A$271=CT$2)*('Old CCC projections data'!$D$2:$D$271=CT$3)*('Old CCC projections data'!$F$2:$BN$271))</f>
        <v>23021.142455927155</v>
      </c>
      <c r="CU21" s="20" cm="1">
        <f t="array" ref="CU21">SUMPRODUCT(('Old CCC projections data'!$F$1:$BN$1=$B21)*('Old CCC projections data'!$A$2:$A$271=CU$2)*('Old CCC projections data'!$D$2:$D$271=CU$3)*('Old CCC projections data'!$F$2:$BN$271))</f>
        <v>22795.446053139694</v>
      </c>
      <c r="CV21" s="20" cm="1">
        <f t="array" ref="CV21">SUMPRODUCT(('Old CCC projections data'!$F$1:$BN$1=$B21)*('Old CCC projections data'!$A$2:$A$271=CV$2)*('Old CCC projections data'!$D$2:$D$271=CV$3)*('Old CCC projections data'!$F$2:$BN$271))</f>
        <v>19799.34296110642</v>
      </c>
      <c r="CW21" s="20" cm="1">
        <f t="array" ref="CW21">SUMPRODUCT(('Old CCC projections data'!$F$1:$BN$1=$B21)*('Old CCC projections data'!$A$2:$A$271=CW$2)*('Old CCC projections data'!$D$2:$D$271=CW$3)*('Old CCC projections data'!$F$2:$BN$271))</f>
        <v>24319.271212447125</v>
      </c>
      <c r="CX21" s="20">
        <f t="shared" si="19"/>
        <v>4140.9379705815627</v>
      </c>
      <c r="CY21" s="20" t="str">
        <f t="shared" si="29"/>
        <v>Demo path - C price $100 3%</v>
      </c>
      <c r="CZ21" s="3">
        <f t="shared" si="30"/>
        <v>2039</v>
      </c>
      <c r="DA21" s="18">
        <f t="shared" si="31"/>
        <v>0</v>
      </c>
      <c r="DB21" s="18">
        <f ca="1">(H24+IF($DB$3&gt;0,NPV($DB$2,H25:OFFSET(H24,$DB$3,0)),0))/($DB$3+1)</f>
        <v>190.50023809184438</v>
      </c>
      <c r="DC21" s="18">
        <f t="shared" ca="1" si="20"/>
        <v>90.500238091844381</v>
      </c>
      <c r="DD21" s="18">
        <f t="shared" si="32"/>
        <v>100</v>
      </c>
      <c r="DE21" s="20">
        <f t="shared" si="21"/>
        <v>23633.677186249501</v>
      </c>
      <c r="DF21" s="20" cm="1">
        <f t="array" ref="DF21">SUMPRODUCT(($BG$2:$BM$2=CY21)*($B$5:$B$35=CZ21)*($BG$5:$BM$35))</f>
        <v>19452.40976976942</v>
      </c>
      <c r="DG21" s="20">
        <f t="shared" si="16"/>
        <v>4181.267416480081</v>
      </c>
      <c r="DH21" s="20" cm="1">
        <f t="array" ref="DH21">IF(CZ21=2023,SUMPRODUCT(($B$5:$B$35=CZ21-1)*($BN$5:$BN$35))-SUMPRODUCT(($BG$2:$BM$2=CY21)*($B$5:$B$35=CZ21-1)*($BG$5:$BM$35)),DG20)</f>
        <v>3954.1829371484419</v>
      </c>
      <c r="DI21" s="18">
        <f t="shared" ca="1" si="17"/>
        <v>190.50023809184438</v>
      </c>
      <c r="DJ21" s="89">
        <f t="shared" si="22"/>
        <v>8.3383696892442654</v>
      </c>
      <c r="DK21" s="89">
        <f t="shared" si="23"/>
        <v>8.2825292690104444</v>
      </c>
      <c r="DL21" s="89">
        <f t="shared" ca="1" si="24"/>
        <v>5.2496534443919289</v>
      </c>
      <c r="DM21" s="20">
        <f t="shared" ca="1" si="25"/>
        <v>2537.7004365323023</v>
      </c>
      <c r="DN21" s="20">
        <f t="shared" ca="1" si="26"/>
        <v>4383.0540277890568</v>
      </c>
      <c r="DO21" s="20">
        <f t="shared" ca="1" si="27"/>
        <v>3460.3772321606793</v>
      </c>
      <c r="DP21" s="113"/>
      <c r="DQ21" s="2"/>
      <c r="DR21" s="3"/>
      <c r="DS21" t="s">
        <v>259</v>
      </c>
      <c r="DT21">
        <v>0.98170520839832631</v>
      </c>
    </row>
    <row r="22" spans="1:131" x14ac:dyDescent="0.25">
      <c r="A22">
        <v>0.5</v>
      </c>
      <c r="B22">
        <f t="shared" si="28"/>
        <v>2037</v>
      </c>
      <c r="C22" s="190">
        <f>IF(C21*(1+A22*Model!$B$19*IF(Model!$B$28=0,1,((Model!$B$28-B22)/(Model!$B$28-$B$9))))&gt;Model!$B$44,C21*(1+A22*Model!$B$19*IF(Model!$B$28=0,1,((Model!$B$28-B22)/(Model!$B$28-$B$9)))),Model!$B$44)</f>
        <v>69.444128938013392</v>
      </c>
      <c r="D22" s="18" cm="1">
        <f t="array" ref="D22">SUMPRODUCT(('Old CCC projections data'!$F$1:$BN$1=$B22)*('Old CCC projections data'!$A$2:$A$271=D$2)*('Old CCC projections data'!$D$2:$D$271=D$3)*('Old CCC projections data'!$F$2:$BN$271))*Model!$B$47</f>
        <v>41.549707602339183</v>
      </c>
      <c r="E22" s="18" cm="1">
        <f t="array" ref="E22">SUMPRODUCT(('Old CCC projections data'!$F$1:$BN$1=$B22)*('Old CCC projections data'!$A$2:$A$271=E$2)*('Old CCC projections data'!$D$2:$D$271=E$3)*('Old CCC projections data'!$F$2:$BN$271))*Model!$B$47</f>
        <v>1.1871345029239767E-2</v>
      </c>
      <c r="F22" s="18"/>
      <c r="G22" s="18"/>
      <c r="H22" s="18" cm="1">
        <f t="array" ref="H22">SUMPRODUCT(('Old CCC projections data'!$F$1:$BN$1=$B22)*('Old CCC projections data'!$A$2:$A$271=H$2)*('Old CCC projections data'!$D$2:$D$271=H$3)*('Old CCC projections data'!$F$2:$BN$271))*Model!$B$47</f>
        <v>179.56474511437872</v>
      </c>
      <c r="I22" s="18" cm="1">
        <f t="array" ref="I22">SUMPRODUCT(('Old CCC projections data'!$F$1:$BN$1=$B22)*('Old CCC projections data'!$A$2:$A$271=I$2)*('Old CCC projections data'!$D$2:$D$271=I$3)*('Old CCC projections data'!$F$2:$BN$271))*Model!$B$47</f>
        <v>269.34711767156813</v>
      </c>
      <c r="J22" s="18" cm="1">
        <f t="array" ref="J22">SUMPRODUCT(('Old CCC projections data'!$F$1:$BN$1=$B22)*('Old CCC projections data'!$A$2:$A$271=J$2)*('Old CCC projections data'!$D$2:$D$271=J$3)*('Old CCC projections data'!$F$2:$BN$271))*Model!$B$47</f>
        <v>359.12949022875745</v>
      </c>
      <c r="K22" s="18" cm="1">
        <f t="array" ref="K22">SUMPRODUCT(('Old CCC projections data'!$F$1:$BN$1=$B22)*('Old CCC projections data'!$A$2:$A$271=K$2)*('Old CCC projections data'!$D$2:$D$271=K$3)*('Old CCC projections data'!$F$2:$BN$271))*Model!$B$47</f>
        <v>448.91186278594688</v>
      </c>
      <c r="L22" s="18" cm="1">
        <f t="array" ref="L22">SUMPRODUCT(('Old CCC projections data'!$F$1:$BN$1=$B22)*('Old CCC projections data'!$A$2:$A$271=L$2)*('Old CCC projections data'!$D$2:$D$271=L$3)*('Old CCC projections data'!$F$2:$BN$271))*Model!$B$47</f>
        <v>538.69423534313626</v>
      </c>
      <c r="M22" s="18" cm="1">
        <f t="array" ref="M22">SUMPRODUCT(('Old CCC projections data'!$F$1:$BN$1=$B22)*('Old CCC projections data'!$A$2:$A$271=M$2)*('Old CCC projections data'!$D$2:$D$271=M$3)*('Old CCC projections data'!$F$2:$BN$271))*Model!$B$47</f>
        <v>89.782372557189362</v>
      </c>
      <c r="N22" s="189" cm="1">
        <f t="array" ref="N22">SUMPRODUCT(('Old CCC projections data'!$F$1:$BN$1=$B22)*('Old CCC projections data'!$A$2:$A$271=N$2)*('Old CCC projections data'!$D$2:$D$271=N$3)*('Old CCC projections data'!$F$2:$BN$271))*Model!$B$47</f>
        <v>210.17901593473627</v>
      </c>
      <c r="O22" s="18" cm="1">
        <f t="array" ref="O22">SUMPRODUCT(('Old CCC projections data'!$F$1:$BN$1=$B22)*('Old CCC projections data'!$A$2:$A$271=O$2)*('Old CCC projections data'!$D$2:$D$271=O$3)*('Old CCC projections data'!$F$2:$BN$271))*Model!$B$47</f>
        <v>1.1871345029239767E-2</v>
      </c>
      <c r="P22" s="18" cm="1">
        <f t="array" ref="P22">SUMPRODUCT(('Old CCC projections data'!$F$1:$BN$1=$B22)*('Old CCC projections data'!$A$2:$A$271=P$2)*('Old CCC projections data'!$D$2:$D$271=P$3)*('Old CCC projections data'!$F$2:$BN$271))*Model!$B$47</f>
        <v>179.56474511437872</v>
      </c>
      <c r="Q22" s="18" cm="1">
        <f t="array" ref="Q22">SUMPRODUCT(('Old CCC projections data'!$F$1:$BN$1=$B22)*('Old CCC projections data'!$A$2:$A$271=Q$2)*('Old CCC projections data'!$D$2:$D$271=Q$3)*('Old CCC projections data'!$F$2:$BN$271))*Model!$B$47</f>
        <v>269.34711767156813</v>
      </c>
      <c r="R22" s="18" cm="1">
        <f t="array" ref="R22">SUMPRODUCT(('Old CCC projections data'!$F$1:$BN$1=$B22)*('Old CCC projections data'!$A$2:$A$271=R$2)*('Old CCC projections data'!$D$2:$D$271=R$3)*('Old CCC projections data'!$F$2:$BN$271))*Model!$B$47</f>
        <v>359.12949022875745</v>
      </c>
      <c r="S22" s="18" cm="1">
        <f t="array" ref="S22">SUMPRODUCT(('Old CCC projections data'!$F$1:$BN$1=$B22)*('Old CCC projections data'!$A$2:$A$271=S$2)*('Old CCC projections data'!$D$2:$D$271=S$3)*('Old CCC projections data'!$F$2:$BN$271))*Model!$B$47</f>
        <v>448.91186278594688</v>
      </c>
      <c r="T22" s="18" cm="1">
        <f t="array" ref="T22">SUMPRODUCT(('Old CCC projections data'!$F$1:$BN$1=$B22)*('Old CCC projections data'!$A$2:$A$271=T$2)*('Old CCC projections data'!$D$2:$D$271=T$3)*('Old CCC projections data'!$F$2:$BN$271))*Model!$B$47</f>
        <v>538.69423534313626</v>
      </c>
      <c r="U22" s="18" cm="1">
        <f t="array" ref="U22">SUMPRODUCT(('Old CCC projections data'!$F$1:$BN$1=$B22)*('Old CCC projections data'!$A$2:$A$271=U$2)*('Old CCC projections data'!$D$2:$D$271=U$3)*('Old CCC projections data'!$F$2:$BN$271))*Model!$B$47</f>
        <v>89.782372557189362</v>
      </c>
      <c r="V22" s="18" cm="1">
        <f t="array" ref="V22">SUMPRODUCT(('Old CCC projections data'!$F$1:$BN$1=$B22)*('Old CCC projections data'!$A$2:$A$271=V$2)*('Old CCC projections data'!$D$2:$D$271=V$3)*('Old CCC projections data'!$F$2:$BN$271))*Model!$B$47</f>
        <v>210.17901593473627</v>
      </c>
      <c r="W22" s="18" cm="1">
        <f t="array" ref="W22">SUMPRODUCT(('Old CCC projections data'!$F$1:$BN$1=$B22)*('Old CCC projections data'!$A$2:$A$271=W$2)*('Old CCC projections data'!$D$2:$D$271=W$3)*('Old CCC projections data'!$F$2:$BN$271))*Model!$B$47</f>
        <v>1.1871345029239767E-2</v>
      </c>
      <c r="X22" s="18" cm="1">
        <f t="array" ref="X22">SUMPRODUCT(('Old CCC projections data'!$F$1:$BN$1=$B22)*('Old CCC projections data'!$A$2:$A$271=X$2)*('Old CCC projections data'!$D$2:$D$271=X$3)*('Old CCC projections data'!$F$2:$BN$271))*Model!$B$47</f>
        <v>179.56474511437872</v>
      </c>
      <c r="Y22" s="18" cm="1">
        <f t="array" ref="Y22">SUMPRODUCT(('Old CCC projections data'!$F$1:$BN$1=$B22)*('Old CCC projections data'!$A$2:$A$271=Y$2)*('Old CCC projections data'!$D$2:$D$271=Y$3)*('Old CCC projections data'!$F$2:$BN$271))*Model!$B$47</f>
        <v>269.34711767156813</v>
      </c>
      <c r="Z22" s="18" cm="1">
        <f t="array" ref="Z22">SUMPRODUCT(('Old CCC projections data'!$F$1:$BN$1=$B22)*('Old CCC projections data'!$A$2:$A$271=Z$2)*('Old CCC projections data'!$D$2:$D$271=Z$3)*('Old CCC projections data'!$F$2:$BN$271))*Model!$B$47</f>
        <v>359.12949022875745</v>
      </c>
      <c r="AA22" s="18" cm="1">
        <f t="array" ref="AA22">SUMPRODUCT(('Old CCC projections data'!$F$1:$BN$1=$B22)*('Old CCC projections data'!$A$2:$A$271=AA$2)*('Old CCC projections data'!$D$2:$D$271=AA$3)*('Old CCC projections data'!$F$2:$BN$271))*Model!$B$47</f>
        <v>448.91186278594688</v>
      </c>
      <c r="AB22" s="18" cm="1">
        <f t="array" ref="AB22">SUMPRODUCT(('Old CCC projections data'!$F$1:$BN$1=$B22)*('Old CCC projections data'!$A$2:$A$271=AB$2)*('Old CCC projections data'!$D$2:$D$271=AB$3)*('Old CCC projections data'!$F$2:$BN$271))*Model!$B$47</f>
        <v>538.69423534313626</v>
      </c>
      <c r="AC22" s="18" cm="1">
        <f t="array" ref="AC22">SUMPRODUCT(('Old CCC projections data'!$F$1:$BN$1=$B22)*('Old CCC projections data'!$A$2:$A$271=AC$2)*('Old CCC projections data'!$D$2:$D$271=AC$3)*('Old CCC projections data'!$F$2:$BN$271))*Model!$B$47</f>
        <v>89.782372557189362</v>
      </c>
      <c r="AD22" s="18" cm="1">
        <f t="array" ref="AD22">SUMPRODUCT(('Old CCC projections data'!$F$1:$BN$1=$B22)*('Old CCC projections data'!$A$2:$A$271=AD$2)*('Old CCC projections data'!$D$2:$D$271=AD$3)*('Old CCC projections data'!$F$2:$BN$271))*Model!$B$47</f>
        <v>98.760609812908271</v>
      </c>
      <c r="AE22" s="18" cm="1">
        <f t="array" ref="AE22">SUMPRODUCT(('Old CCC projections data'!$F$1:$BN$1=$B22)*('Old CCC projections data'!$A$2:$A$271=AE$2)*('Old CCC projections data'!$D$2:$D$271=AE$3)*('Old CCC projections data'!$F$2:$BN$271))*Model!$B$47</f>
        <v>210.17901593473627</v>
      </c>
      <c r="AF22" s="18" cm="1">
        <f t="array" ref="AF22">SUMPRODUCT(('Old CCC projections data'!$F$1:$BN$1=$B22)*('Old CCC projections data'!$A$2:$A$271=AF$2)*('Old CCC projections data'!$D$2:$D$271=AF$3)*('Old CCC projections data'!$F$2:$BN$271))*Model!$B$47</f>
        <v>1.1871345029239767E-2</v>
      </c>
      <c r="AG22" s="18" cm="1">
        <f t="array" ref="AG22">SUMPRODUCT(('Old CCC projections data'!$F$1:$BN$1=$B22)*('Old CCC projections data'!$A$2:$A$271=AG$2)*('Old CCC projections data'!$D$2:$D$271=AG$3)*('Old CCC projections data'!$F$2:$BN$271))*Model!$B$47</f>
        <v>179.56474511437872</v>
      </c>
      <c r="AH22" s="18" cm="1">
        <f t="array" ref="AH22">SUMPRODUCT(('Old CCC projections data'!$F$1:$BN$1=$B22)*('Old CCC projections data'!$A$2:$A$271=AH$2)*('Old CCC projections data'!$D$2:$D$271=AH$3)*('Old CCC projections data'!$F$2:$BN$271))*Model!$B$47</f>
        <v>269.34711767156813</v>
      </c>
      <c r="AI22" s="18" cm="1">
        <f t="array" ref="AI22">SUMPRODUCT(('Old CCC projections data'!$F$1:$BN$1=$B22)*('Old CCC projections data'!$A$2:$A$271=AI$2)*('Old CCC projections data'!$D$2:$D$271=AI$3)*('Old CCC projections data'!$F$2:$BN$271))*Model!$B$47</f>
        <v>359.12949022875745</v>
      </c>
      <c r="AJ22" s="18" cm="1">
        <f t="array" ref="AJ22">SUMPRODUCT(('Old CCC projections data'!$F$1:$BN$1=$B22)*('Old CCC projections data'!$A$2:$A$271=AJ$2)*('Old CCC projections data'!$D$2:$D$271=AJ$3)*('Old CCC projections data'!$F$2:$BN$271))*Model!$B$47</f>
        <v>448.91186278594688</v>
      </c>
      <c r="AK22" s="18" cm="1">
        <f t="array" ref="AK22">SUMPRODUCT(('Old CCC projections data'!$F$1:$BN$1=$B22)*('Old CCC projections data'!$A$2:$A$271=AK$2)*('Old CCC projections data'!$D$2:$D$271=AK$3)*('Old CCC projections data'!$F$2:$BN$271))*Model!$B$47</f>
        <v>484.82481180882263</v>
      </c>
      <c r="AL22" s="18" cm="1">
        <f t="array" ref="AL22">SUMPRODUCT(('Old CCC projections data'!$F$1:$BN$1=$B22)*('Old CCC projections data'!$A$2:$A$271=AL$2)*('Old CCC projections data'!$D$2:$D$271=AL$3)*('Old CCC projections data'!$F$2:$BN$271))*Model!$B$47</f>
        <v>538.69423534313626</v>
      </c>
      <c r="AM22" s="18" cm="1">
        <f t="array" ref="AM22">SUMPRODUCT(('Old CCC projections data'!$F$1:$BN$1=$B22)*('Old CCC projections data'!$A$2:$A$271=AM$2)*('Old CCC projections data'!$D$2:$D$271=AM$3)*('Old CCC projections data'!$F$2:$BN$271))*Model!$B$47</f>
        <v>89.782372557189362</v>
      </c>
      <c r="AN22" s="18" cm="1">
        <f t="array" ref="AN22">SUMPRODUCT(('Old CCC projections data'!$F$1:$BN$1=$B22)*('Old CCC projections data'!$A$2:$A$271=AN$2)*('Old CCC projections data'!$D$2:$D$271=AN$3)*('Old CCC projections data'!$F$2:$BN$271))*Model!$B$47</f>
        <v>210.17901593473627</v>
      </c>
      <c r="AO22" s="18" cm="1">
        <f t="array" ref="AO22">SUMPRODUCT(('Old CCC projections data'!$F$1:$BN$1=$B22)*('Old CCC projections data'!$A$2:$A$271=AO$2)*('Old CCC projections data'!$D$2:$D$271=AO$3)*('Old CCC projections data'!$F$2:$BN$271))*Model!$B$47</f>
        <v>1.1871345029239767E-2</v>
      </c>
      <c r="AP22" s="18" cm="1">
        <f t="array" ref="AP22">SUMPRODUCT(('Old CCC projections data'!$F$1:$BN$1=$B22)*('Old CCC projections data'!$A$2:$A$271=AP$2)*('Old CCC projections data'!$D$2:$D$271=AP$3)*('Old CCC projections data'!$F$2:$BN$271))*Model!$B$47</f>
        <v>179.56474511437872</v>
      </c>
      <c r="AQ22" s="18" cm="1">
        <f t="array" ref="AQ22">SUMPRODUCT(('Old CCC projections data'!$F$1:$BN$1=$B22)*('Old CCC projections data'!$A$2:$A$271=AQ$2)*('Old CCC projections data'!$D$2:$D$271=AQ$3)*('Old CCC projections data'!$F$2:$BN$271))*Model!$B$47</f>
        <v>269.34711767156813</v>
      </c>
      <c r="AR22" s="18" cm="1">
        <f t="array" ref="AR22">SUMPRODUCT(('Old CCC projections data'!$F$1:$BN$1=$B22)*('Old CCC projections data'!$A$2:$A$271=AR$2)*('Old CCC projections data'!$D$2:$D$271=AR$3)*('Old CCC projections data'!$F$2:$BN$271))*Model!$B$47</f>
        <v>359.12949022875745</v>
      </c>
      <c r="AS22" s="18" cm="1">
        <f t="array" ref="AS22">SUMPRODUCT(('Old CCC projections data'!$F$1:$BN$1=$B22)*('Old CCC projections data'!$A$2:$A$271=AS$2)*('Old CCC projections data'!$D$2:$D$271=AS$3)*('Old CCC projections data'!$F$2:$BN$271))*Model!$B$47</f>
        <v>448.91186278594688</v>
      </c>
      <c r="AT22" s="18" cm="1">
        <f t="array" ref="AT22">SUMPRODUCT(('Old CCC projections data'!$F$1:$BN$1=$B22)*('Old CCC projections data'!$A$2:$A$271=AT$2)*('Old CCC projections data'!$D$2:$D$271=AT$3)*('Old CCC projections data'!$F$2:$BN$271))*Model!$B$47</f>
        <v>538.69423534313626</v>
      </c>
      <c r="AU22" s="18" cm="1">
        <f t="array" ref="AU22">SUMPRODUCT(('Old CCC projections data'!$F$1:$BN$1=$B22)*('Old CCC projections data'!$A$2:$A$271=AU$2)*('Old CCC projections data'!$D$2:$D$271=AU$3)*('Old CCC projections data'!$F$2:$BN$271))*Model!$B$47</f>
        <v>89.782372557189362</v>
      </c>
      <c r="AV22" s="18" cm="1">
        <f t="array" ref="AV22">SUMPRODUCT(('Old CCC projections data'!$F$1:$BN$1=$B22)*('Old CCC projections data'!$A$2:$A$271=AV$2)*('Old CCC projections data'!$D$2:$D$271=AV$3)*('Old CCC projections data'!$F$2:$BN$271))*Model!$B$47</f>
        <v>98.760609812908271</v>
      </c>
      <c r="AW22" s="18" cm="1">
        <f t="array" ref="AW22">SUMPRODUCT(('Old CCC projections data'!$F$1:$BN$1=$B22)*('Old CCC projections data'!$A$2:$A$271=AW$2)*('Old CCC projections data'!$D$2:$D$271=AW$3)*('Old CCC projections data'!$F$2:$BN$271))*Model!$B$47</f>
        <v>210.17901593473627</v>
      </c>
      <c r="AX22" s="18" cm="1">
        <f t="array" ref="AX22">SUMPRODUCT(('Old CCC projections data'!$F$1:$BN$1=$B22)*('Old CCC projections data'!$A$2:$A$271=AX$2)*('Old CCC projections data'!$D$2:$D$271=AX$3)*('Old CCC projections data'!$F$2:$BN$271))*Model!$B$47</f>
        <v>1.1871345029239767E-2</v>
      </c>
      <c r="AY22" s="18">
        <v>50</v>
      </c>
      <c r="AZ22" s="18">
        <v>35</v>
      </c>
      <c r="BA22" s="18">
        <v>70</v>
      </c>
      <c r="BB22" s="18"/>
      <c r="BC22" s="20" cm="1">
        <f t="array" ref="BC22">SUMPRODUCT(('Old CCC projections data'!$F$1:$BN$1=$B22)*('Old CCC projections data'!$A$2:$A$271=BC$2)*('Old CCC projections data'!$D$2:$D$271=BC$3)*('Old CCC projections data'!$F$2:$BN$271))</f>
        <v>33230.180251030353</v>
      </c>
      <c r="BD22" s="126">
        <f t="shared" si="33"/>
        <v>33544.517516787397</v>
      </c>
      <c r="BE22" s="20"/>
      <c r="BF22" s="20"/>
      <c r="BG22" s="20" cm="1">
        <f t="array" ref="BG22">SUMPRODUCT(('Old CCC projections data'!$F$1:$BN$1=$B22)*('Old CCC projections data'!$A$2:$A$271=BG$2)*('Old CCC projections data'!$D$2:$D$271=BG$3)*('Old CCC projections data'!$F$2:$BN$271))</f>
        <v>21821.400015272367</v>
      </c>
      <c r="BH22" s="20" cm="1">
        <f t="array" ref="BH22">SUMPRODUCT(('Old CCC projections data'!$F$1:$BN$1=$B22)*('Old CCC projections data'!$A$2:$A$271=BH$2)*('Old CCC projections data'!$D$2:$D$271=BH$3)*('Old CCC projections data'!$F$2:$BN$271))</f>
        <v>20055.126164002941</v>
      </c>
      <c r="BI22" s="20" cm="1">
        <f t="array" ref="BI22">SUMPRODUCT(('Old CCC projections data'!$F$1:$BN$1=$B22)*('Old CCC projections data'!$A$2:$A$271=BI$2)*('Old CCC projections data'!$D$2:$D$271=BI$3)*('Old CCC projections data'!$F$2:$BN$271))</f>
        <v>18872.039342157655</v>
      </c>
      <c r="BJ22" s="20" cm="1">
        <f t="array" ref="BJ22">SUMPRODUCT(('Old CCC projections data'!$F$1:$BN$1=$B22)*('Old CCC projections data'!$A$2:$A$271=BJ$2)*('Old CCC projections data'!$D$2:$D$271=BJ$3)*('Old CCC projections data'!$F$2:$BN$271))</f>
        <v>17820.307895228252</v>
      </c>
      <c r="BK22" s="20" cm="1">
        <f t="array" ref="BK22">SUMPRODUCT(('Old CCC projections data'!$F$1:$BN$1=$B22)*('Old CCC projections data'!$A$2:$A$271=BK$2)*('Old CCC projections data'!$D$2:$D$271=BK$3)*('Old CCC projections data'!$F$2:$BN$271))</f>
        <v>17352.23843482411</v>
      </c>
      <c r="BL22" s="20" cm="1">
        <f t="array" ref="BL22">SUMPRODUCT(('Old CCC projections data'!$F$1:$BN$1=$B22)*('Old CCC projections data'!$A$2:$A$271=BL$2)*('Old CCC projections data'!$D$2:$D$271=BL$3)*('Old CCC projections data'!$F$2:$BN$271))</f>
        <v>24148.710192370861</v>
      </c>
      <c r="BM22" s="20" cm="1">
        <f t="array" ref="BM22">SUMPRODUCT(('Old CCC projections data'!$F$1:$BN$1=$B22)*('Old CCC projections data'!$A$2:$A$271=BM$2)*('Old CCC projections data'!$D$2:$D$271=BM$3)*('Old CCC projections data'!$F$2:$BN$271))</f>
        <v>20954.476226696865</v>
      </c>
      <c r="BN22" s="20" cm="1">
        <f t="array" ref="BN22">SUMPRODUCT(('Old CCC projections data'!$F$1:$BN$1=$B22)*('Old CCC projections data'!$A$2:$A$271=BN$2)*('Old CCC projections data'!$D$2:$D$271=BN$3)*('Old CCC projections data'!$F$2:$BN$271))</f>
        <v>25490.617675668807</v>
      </c>
      <c r="BO22" s="20" cm="1">
        <f t="array" ref="BO22">SUMPRODUCT(('Old CCC projections data'!$F$1:$BN$1=$B22)*('Old CCC projections data'!$A$2:$A$271=BO$2)*('Old CCC projections data'!$D$2:$D$271=BO$3)*('Old CCC projections data'!$F$2:$BN$271))</f>
        <v>24943.2329044461</v>
      </c>
      <c r="BP22" s="20" cm="1">
        <f t="array" ref="BP22">SUMPRODUCT(('Old CCC projections data'!$F$1:$BN$1=$B22)*('Old CCC projections data'!$A$2:$A$271=BP$2)*('Old CCC projections data'!$D$2:$D$271=BP$3)*('Old CCC projections data'!$F$2:$BN$271))</f>
        <v>22943.213218030403</v>
      </c>
      <c r="BQ22" s="20" cm="1">
        <f t="array" ref="BQ22">SUMPRODUCT(('Old CCC projections data'!$F$1:$BN$1=$B22)*('Old CCC projections data'!$A$2:$A$271=BQ$2)*('Old CCC projections data'!$D$2:$D$271=BQ$3)*('Old CCC projections data'!$F$2:$BN$271))</f>
        <v>21202.717476554903</v>
      </c>
      <c r="BR22" s="20" cm="1">
        <f t="array" ref="BR22">SUMPRODUCT(('Old CCC projections data'!$F$1:$BN$1=$B22)*('Old CCC projections data'!$A$2:$A$271=BR$2)*('Old CCC projections data'!$D$2:$D$271=BR$3)*('Old CCC projections data'!$F$2:$BN$271))</f>
        <v>20220.315962102683</v>
      </c>
      <c r="BS22" s="20" cm="1">
        <f t="array" ref="BS22">SUMPRODUCT(('Old CCC projections data'!$F$1:$BN$1=$B22)*('Old CCC projections data'!$A$2:$A$271=BS$2)*('Old CCC projections data'!$D$2:$D$271=BS$3)*('Old CCC projections data'!$F$2:$BN$271))</f>
        <v>19483.76360059328</v>
      </c>
      <c r="BT22" s="20" cm="1">
        <f t="array" ref="BT22">SUMPRODUCT(('Old CCC projections data'!$F$1:$BN$1=$B22)*('Old CCC projections data'!$A$2:$A$271=BT$2)*('Old CCC projections data'!$D$2:$D$271=BT$3)*('Old CCC projections data'!$F$2:$BN$271))</f>
        <v>26548.790910338081</v>
      </c>
      <c r="BU22" s="20" cm="1">
        <f t="array" ref="BU22">SUMPRODUCT(('Old CCC projections data'!$F$1:$BN$1=$B22)*('Old CCC projections data'!$A$2:$A$271=BU$2)*('Old CCC projections data'!$D$2:$D$271=BU$3)*('Old CCC projections data'!$F$2:$BN$271))</f>
        <v>23996.356855690865</v>
      </c>
      <c r="BV22" s="20" cm="1">
        <f t="array" ref="BV22">SUMPRODUCT(('Old CCC projections data'!$F$1:$BN$1=$B22)*('Old CCC projections data'!$A$2:$A$271=BV$2)*('Old CCC projections data'!$D$2:$D$271=BV$3)*('Old CCC projections data'!$F$2:$BN$271))</f>
        <v>33895.783427804818</v>
      </c>
      <c r="BW22" s="20" cm="1">
        <f t="array" ref="BW22">SUMPRODUCT(('Old CCC projections data'!$F$1:$BN$1=$B22)*('Old CCC projections data'!$A$2:$A$271=BW$2)*('Old CCC projections data'!$D$2:$D$271=BW$3)*('Old CCC projections data'!$F$2:$BN$271))</f>
        <v>19689.74270688933</v>
      </c>
      <c r="BX22" s="20" cm="1">
        <f t="array" ref="BX22">SUMPRODUCT(('Old CCC projections data'!$F$1:$BN$1=$B22)*('Old CCC projections data'!$A$2:$A$271=BX$2)*('Old CCC projections data'!$D$2:$D$271=BX$3)*('Old CCC projections data'!$F$2:$BN$271))</f>
        <v>18383.338461497529</v>
      </c>
      <c r="BY22" s="20" cm="1">
        <f t="array" ref="BY22">SUMPRODUCT(('Old CCC projections data'!$F$1:$BN$1=$B22)*('Old CCC projections data'!$A$2:$A$271=BY$2)*('Old CCC projections data'!$D$2:$D$271=BY$3)*('Old CCC projections data'!$F$2:$BN$271))</f>
        <v>17393.172642439727</v>
      </c>
      <c r="BZ22" s="20" cm="1">
        <f t="array" ref="BZ22">SUMPRODUCT(('Old CCC projections data'!$F$1:$BN$1=$B22)*('Old CCC projections data'!$A$2:$A$271=BZ$2)*('Old CCC projections data'!$D$2:$D$271=BZ$3)*('Old CCC projections data'!$F$2:$BN$271))</f>
        <v>16857.090324002067</v>
      </c>
      <c r="CA22" s="20" cm="1">
        <f t="array" ref="CA22">SUMPRODUCT(('Old CCC projections data'!$F$1:$BN$1=$B22)*('Old CCC projections data'!$A$2:$A$271=CA$2)*('Old CCC projections data'!$D$2:$D$271=CA$3)*('Old CCC projections data'!$F$2:$BN$271))</f>
        <v>16713.532005338504</v>
      </c>
      <c r="CB22" s="20" cm="1">
        <f t="array" ref="CB22">SUMPRODUCT(('Old CCC projections data'!$F$1:$BN$1=$B22)*('Old CCC projections data'!$A$2:$A$271=CB$2)*('Old CCC projections data'!$D$2:$D$271=CB$3)*('Old CCC projections data'!$F$2:$BN$271))</f>
        <v>21515.934840566897</v>
      </c>
      <c r="CC22" s="20" cm="1">
        <f t="array" ref="CC22">SUMPRODUCT(('Old CCC projections data'!$F$1:$BN$1=$B22)*('Old CCC projections data'!$A$2:$A$271=CC$2)*('Old CCC projections data'!$D$2:$D$271=CC$3)*('Old CCC projections data'!$F$2:$BN$271))</f>
        <v>21353.41519271506</v>
      </c>
      <c r="CD22" s="20" cm="1">
        <f t="array" ref="CD22">SUMPRODUCT(('Old CCC projections data'!$F$1:$BN$1=$B22)*('Old CCC projections data'!$A$2:$A$271=CD$2)*('Old CCC projections data'!$D$2:$D$271=CD$3)*('Old CCC projections data'!$F$2:$BN$271))</f>
        <v>19043.432961453909</v>
      </c>
      <c r="CE22" s="20" cm="1">
        <f t="array" ref="CE22">SUMPRODUCT(('Old CCC projections data'!$F$1:$BN$1=$B22)*('Old CCC projections data'!$A$2:$A$271=CE$2)*('Old CCC projections data'!$D$2:$D$271=CE$3)*('Old CCC projections data'!$F$2:$BN$271))</f>
        <v>23091.349867610406</v>
      </c>
      <c r="CF22" s="20" cm="1">
        <f t="array" ref="CF22">SUMPRODUCT(('Old CCC projections data'!$F$1:$BN$1=$B22)*('Old CCC projections data'!$A$2:$A$271=CF$2)*('Old CCC projections data'!$D$2:$D$271=CF$3)*('Old CCC projections data'!$F$2:$BN$271))</f>
        <v>27211.42371421777</v>
      </c>
      <c r="CG22" s="20" cm="1">
        <f t="array" ref="CG22">SUMPRODUCT(('Old CCC projections data'!$F$1:$BN$1=$B22)*('Old CCC projections data'!$A$2:$A$271=CG$2)*('Old CCC projections data'!$D$2:$D$271=CG$3)*('Old CCC projections data'!$F$2:$BN$271))</f>
        <v>25360.806612862918</v>
      </c>
      <c r="CH22" s="20" cm="1">
        <f t="array" ref="CH22">SUMPRODUCT(('Old CCC projections data'!$F$1:$BN$1=$B22)*('Old CCC projections data'!$A$2:$A$271=CH$2)*('Old CCC projections data'!$D$2:$D$271=CH$3)*('Old CCC projections data'!$F$2:$BN$271))</f>
        <v>24004.602873422289</v>
      </c>
      <c r="CI22" s="20" cm="1">
        <f t="array" ref="CI22">SUMPRODUCT(('Old CCC projections data'!$F$1:$BN$1=$B22)*('Old CCC projections data'!$A$2:$A$271=CI$2)*('Old CCC projections data'!$D$2:$D$271=CI$3)*('Old CCC projections data'!$F$2:$BN$271))</f>
        <v>23263.557297537514</v>
      </c>
      <c r="CJ22" s="20" cm="1">
        <f t="array" ref="CJ22">SUMPRODUCT(('Old CCC projections data'!$F$1:$BN$1=$B22)*('Old CCC projections data'!$A$2:$A$271=CJ$2)*('Old CCC projections data'!$D$2:$D$271=CJ$3)*('Old CCC projections data'!$F$2:$BN$271))</f>
        <v>23195.936648719722</v>
      </c>
      <c r="CK22" s="20" cm="1">
        <f t="array" ref="CK22">SUMPRODUCT(('Old CCC projections data'!$F$1:$BN$1=$B22)*('Old CCC projections data'!$A$2:$A$271=CK$2)*('Old CCC projections data'!$D$2:$D$271=CK$3)*('Old CCC projections data'!$F$2:$BN$271))</f>
        <v>23106.627742969398</v>
      </c>
      <c r="CL22" s="20" cm="1">
        <f t="array" ref="CL22">SUMPRODUCT(('Old CCC projections data'!$F$1:$BN$1=$B22)*('Old CCC projections data'!$A$2:$A$271=CL$2)*('Old CCC projections data'!$D$2:$D$271=CL$3)*('Old CCC projections data'!$F$2:$BN$271))</f>
        <v>28903.902601251499</v>
      </c>
      <c r="CM22" s="20" cm="1">
        <f t="array" ref="CM22">SUMPRODUCT(('Old CCC projections data'!$F$1:$BN$1=$B22)*('Old CCC projections data'!$A$2:$A$271=CM$2)*('Old CCC projections data'!$D$2:$D$271=CM$3)*('Old CCC projections data'!$F$2:$BN$271))</f>
        <v>26471.195129524047</v>
      </c>
      <c r="CN22" s="20" cm="1">
        <f t="array" ref="CN22">SUMPRODUCT(('Old CCC projections data'!$F$1:$BN$1=$B22)*('Old CCC projections data'!$A$2:$A$271=CN$2)*('Old CCC projections data'!$D$2:$D$271=CN$3)*('Old CCC projections data'!$F$2:$BN$271))</f>
        <v>33499.925137034312</v>
      </c>
      <c r="CO22" s="20" cm="1">
        <f t="array" ref="CO22">SUMPRODUCT(('Old CCC projections data'!$F$1:$BN$1=$B22)*('Old CCC projections data'!$A$2:$A$271=CO$2)*('Old CCC projections data'!$D$2:$D$271=CO$3)*('Old CCC projections data'!$F$2:$BN$271))</f>
        <v>19469.934518822167</v>
      </c>
      <c r="CP22" s="20" cm="1">
        <f t="array" ref="CP22">SUMPRODUCT(('Old CCC projections data'!$F$1:$BN$1=$B22)*('Old CCC projections data'!$A$2:$A$271=CP$2)*('Old CCC projections data'!$D$2:$D$271=CP$3)*('Old CCC projections data'!$F$2:$BN$271))</f>
        <v>17597.551875882062</v>
      </c>
      <c r="CQ22" s="20" cm="1">
        <f t="array" ref="CQ22">SUMPRODUCT(('Old CCC projections data'!$F$1:$BN$1=$B22)*('Old CCC projections data'!$A$2:$A$271=CQ$2)*('Old CCC projections data'!$D$2:$D$271=CQ$3)*('Old CCC projections data'!$F$2:$BN$271))</f>
        <v>16359.58918623056</v>
      </c>
      <c r="CR22" s="20" cm="1">
        <f t="array" ref="CR22">SUMPRODUCT(('Old CCC projections data'!$F$1:$BN$1=$B22)*('Old CCC projections data'!$A$2:$A$271=CR$2)*('Old CCC projections data'!$D$2:$D$271=CR$3)*('Old CCC projections data'!$F$2:$BN$271))</f>
        <v>15206.44871740145</v>
      </c>
      <c r="CS22" s="20" cm="1">
        <f t="array" ref="CS22">SUMPRODUCT(('Old CCC projections data'!$F$1:$BN$1=$B22)*('Old CCC projections data'!$A$2:$A$271=CS$2)*('Old CCC projections data'!$D$2:$D$271=CS$3)*('Old CCC projections data'!$F$2:$BN$271))</f>
        <v>14843.56408813155</v>
      </c>
      <c r="CT22" s="20" cm="1">
        <f t="array" ref="CT22">SUMPRODUCT(('Old CCC projections data'!$F$1:$BN$1=$B22)*('Old CCC projections data'!$A$2:$A$271=CT$2)*('Old CCC projections data'!$D$2:$D$271=CT$3)*('Old CCC projections data'!$F$2:$BN$271))</f>
        <v>21969.590977028885</v>
      </c>
      <c r="CU22" s="20" cm="1">
        <f t="array" ref="CU22">SUMPRODUCT(('Old CCC projections data'!$F$1:$BN$1=$B22)*('Old CCC projections data'!$A$2:$A$271=CU$2)*('Old CCC projections data'!$D$2:$D$271=CU$3)*('Old CCC projections data'!$F$2:$BN$271))</f>
        <v>21752.45906249457</v>
      </c>
      <c r="CV22" s="20" cm="1">
        <f t="array" ref="CV22">SUMPRODUCT(('Old CCC projections data'!$F$1:$BN$1=$B22)*('Old CCC projections data'!$A$2:$A$271=CV$2)*('Old CCC projections data'!$D$2:$D$271=CV$3)*('Old CCC projections data'!$F$2:$BN$271))</f>
        <v>18620.4287129718</v>
      </c>
      <c r="CW22" s="20" cm="1">
        <f t="array" ref="CW22">SUMPRODUCT(('Old CCC projections data'!$F$1:$BN$1=$B22)*('Old CCC projections data'!$A$2:$A$271=CW$2)*('Old CCC projections data'!$D$2:$D$271=CW$3)*('Old CCC projections data'!$F$2:$BN$271))</f>
        <v>23303.719527604102</v>
      </c>
      <c r="CX22" s="20">
        <f t="shared" si="19"/>
        <v>4536.1414489719427</v>
      </c>
      <c r="CY22" s="20" t="str">
        <f t="shared" si="29"/>
        <v>Demo path - C price $100 3%</v>
      </c>
      <c r="CZ22" s="3">
        <f t="shared" si="30"/>
        <v>2040</v>
      </c>
      <c r="DA22" s="18">
        <f t="shared" si="31"/>
        <v>0</v>
      </c>
      <c r="DB22" s="18">
        <f ca="1">(H25+IF($DB$3&gt;0,NPV($DB$2,H26:OFFSET(H25,$DB$3,0)),0))/($DB$3+1)</f>
        <v>196.21524523459976</v>
      </c>
      <c r="DC22" s="18">
        <f t="shared" ca="1" si="20"/>
        <v>96.215245234599763</v>
      </c>
      <c r="DD22" s="18">
        <f t="shared" si="32"/>
        <v>100</v>
      </c>
      <c r="DE22" s="20">
        <f t="shared" si="21"/>
        <v>21832.628998595821</v>
      </c>
      <c r="DF22" s="20" cm="1">
        <f t="array" ref="DF22">SUMPRODUCT(($BG$2:$BM$2=CY22)*($B$5:$B$35=CZ22)*($BG$5:$BM$35))</f>
        <v>17437.655905132771</v>
      </c>
      <c r="DG22" s="20">
        <f t="shared" si="16"/>
        <v>4394.9730934630497</v>
      </c>
      <c r="DH22" s="20" cm="1">
        <f t="array" ref="DH22">IF(CZ22=2023,SUMPRODUCT(($B$5:$B$35=CZ22-1)*($BN$5:$BN$35))-SUMPRODUCT(($BG$2:$BM$2=CY22)*($B$5:$B$35=CZ22-1)*($BG$5:$BM$35)),DG21)</f>
        <v>4181.267416480081</v>
      </c>
      <c r="DI22" s="18">
        <f t="shared" ca="1" si="17"/>
        <v>196.21524523459976</v>
      </c>
      <c r="DJ22" s="89">
        <f t="shared" si="22"/>
        <v>8.3882166880215951</v>
      </c>
      <c r="DK22" s="89">
        <f t="shared" si="23"/>
        <v>8.3383696892442654</v>
      </c>
      <c r="DL22" s="89">
        <f t="shared" ca="1" si="24"/>
        <v>5.2792122466334739</v>
      </c>
      <c r="DM22" s="20">
        <f t="shared" ca="1" si="25"/>
        <v>2669.0362760457851</v>
      </c>
      <c r="DN22" s="20">
        <f t="shared" ca="1" si="26"/>
        <v>4477.4143839731651</v>
      </c>
      <c r="DO22" s="20">
        <f t="shared" ca="1" si="27"/>
        <v>3573.2253300094753</v>
      </c>
      <c r="DP22" s="113"/>
      <c r="DQ22" s="2"/>
      <c r="DR22" s="3"/>
      <c r="DS22" t="s">
        <v>260</v>
      </c>
      <c r="DT22">
        <v>302.8778050110742</v>
      </c>
    </row>
    <row r="23" spans="1:131" ht="15.75" thickBot="1" x14ac:dyDescent="0.3">
      <c r="A23">
        <v>0.5</v>
      </c>
      <c r="B23">
        <f t="shared" si="28"/>
        <v>2038</v>
      </c>
      <c r="C23" s="190">
        <f>IF(C22*(1+A23*Model!$B$19*IF(Model!$B$28=0,1,((Model!$B$28-B23)/(Model!$B$28-$B$9))))&gt;Model!$B$44,C22*(1+A23*Model!$B$19*IF(Model!$B$28=0,1,((Model!$B$28-B23)/(Model!$B$28-$B$9)))),Model!$B$44)</f>
        <v>67.742747779032072</v>
      </c>
      <c r="D23" s="18" cm="1">
        <f t="array" ref="D23">SUMPRODUCT(('Old CCC projections data'!$F$1:$BN$1=$B23)*('Old CCC projections data'!$A$2:$A$271=D$2)*('Old CCC projections data'!$D$2:$D$271=D$3)*('Old CCC projections data'!$F$2:$BN$271))*Model!$B$47</f>
        <v>41.549707602339183</v>
      </c>
      <c r="E23" s="18" cm="1">
        <f t="array" ref="E23">SUMPRODUCT(('Old CCC projections data'!$F$1:$BN$1=$B23)*('Old CCC projections data'!$A$2:$A$271=E$2)*('Old CCC projections data'!$D$2:$D$271=E$3)*('Old CCC projections data'!$F$2:$BN$271))*Model!$B$47</f>
        <v>1.1871345029239767E-2</v>
      </c>
      <c r="F23" s="18"/>
      <c r="G23" s="18"/>
      <c r="H23" s="18" cm="1">
        <f t="array" ref="H23">SUMPRODUCT(('Old CCC projections data'!$F$1:$BN$1=$B23)*('Old CCC projections data'!$A$2:$A$271=H$2)*('Old CCC projections data'!$D$2:$D$271=H$3)*('Old CCC projections data'!$F$2:$BN$271))*Model!$B$47</f>
        <v>184.9516874678101</v>
      </c>
      <c r="I23" s="18" cm="1">
        <f t="array" ref="I23">SUMPRODUCT(('Old CCC projections data'!$F$1:$BN$1=$B23)*('Old CCC projections data'!$A$2:$A$271=I$2)*('Old CCC projections data'!$D$2:$D$271=I$3)*('Old CCC projections data'!$F$2:$BN$271))*Model!$B$47</f>
        <v>277.42753120171511</v>
      </c>
      <c r="J23" s="18" cm="1">
        <f t="array" ref="J23">SUMPRODUCT(('Old CCC projections data'!$F$1:$BN$1=$B23)*('Old CCC projections data'!$A$2:$A$271=J$2)*('Old CCC projections data'!$D$2:$D$271=J$3)*('Old CCC projections data'!$F$2:$BN$271))*Model!$B$47</f>
        <v>369.90337493562021</v>
      </c>
      <c r="K23" s="18" cm="1">
        <f t="array" ref="K23">SUMPRODUCT(('Old CCC projections data'!$F$1:$BN$1=$B23)*('Old CCC projections data'!$A$2:$A$271=K$2)*('Old CCC projections data'!$D$2:$D$271=K$3)*('Old CCC projections data'!$F$2:$BN$271))*Model!$B$47</f>
        <v>462.3792186695253</v>
      </c>
      <c r="L23" s="18" cm="1">
        <f t="array" ref="L23">SUMPRODUCT(('Old CCC projections data'!$F$1:$BN$1=$B23)*('Old CCC projections data'!$A$2:$A$271=L$2)*('Old CCC projections data'!$D$2:$D$271=L$3)*('Old CCC projections data'!$F$2:$BN$271))*Model!$B$47</f>
        <v>554.85506240343022</v>
      </c>
      <c r="M23" s="18" cm="1">
        <f t="array" ref="M23">SUMPRODUCT(('Old CCC projections data'!$F$1:$BN$1=$B23)*('Old CCC projections data'!$A$2:$A$271=M$2)*('Old CCC projections data'!$D$2:$D$271=M$3)*('Old CCC projections data'!$F$2:$BN$271))*Model!$B$47</f>
        <v>92.475843733905052</v>
      </c>
      <c r="N23" s="189" cm="1">
        <f t="array" ref="N23">SUMPRODUCT(('Old CCC projections data'!$F$1:$BN$1=$B23)*('Old CCC projections data'!$A$2:$A$271=N$2)*('Old CCC projections data'!$D$2:$D$271=N$3)*('Old CCC projections data'!$F$2:$BN$271))*Model!$B$47</f>
        <v>216.48438641277835</v>
      </c>
      <c r="O23" s="18" cm="1">
        <f t="array" ref="O23">SUMPRODUCT(('Old CCC projections data'!$F$1:$BN$1=$B23)*('Old CCC projections data'!$A$2:$A$271=O$2)*('Old CCC projections data'!$D$2:$D$271=O$3)*('Old CCC projections data'!$F$2:$BN$271))*Model!$B$47</f>
        <v>1.1871345029239767E-2</v>
      </c>
      <c r="P23" s="18" cm="1">
        <f t="array" ref="P23">SUMPRODUCT(('Old CCC projections data'!$F$1:$BN$1=$B23)*('Old CCC projections data'!$A$2:$A$271=P$2)*('Old CCC projections data'!$D$2:$D$271=P$3)*('Old CCC projections data'!$F$2:$BN$271))*Model!$B$47</f>
        <v>184.9516874678101</v>
      </c>
      <c r="Q23" s="18" cm="1">
        <f t="array" ref="Q23">SUMPRODUCT(('Old CCC projections data'!$F$1:$BN$1=$B23)*('Old CCC projections data'!$A$2:$A$271=Q$2)*('Old CCC projections data'!$D$2:$D$271=Q$3)*('Old CCC projections data'!$F$2:$BN$271))*Model!$B$47</f>
        <v>277.42753120171511</v>
      </c>
      <c r="R23" s="18" cm="1">
        <f t="array" ref="R23">SUMPRODUCT(('Old CCC projections data'!$F$1:$BN$1=$B23)*('Old CCC projections data'!$A$2:$A$271=R$2)*('Old CCC projections data'!$D$2:$D$271=R$3)*('Old CCC projections data'!$F$2:$BN$271))*Model!$B$47</f>
        <v>369.90337493562021</v>
      </c>
      <c r="S23" s="18" cm="1">
        <f t="array" ref="S23">SUMPRODUCT(('Old CCC projections data'!$F$1:$BN$1=$B23)*('Old CCC projections data'!$A$2:$A$271=S$2)*('Old CCC projections data'!$D$2:$D$271=S$3)*('Old CCC projections data'!$F$2:$BN$271))*Model!$B$47</f>
        <v>462.3792186695253</v>
      </c>
      <c r="T23" s="18" cm="1">
        <f t="array" ref="T23">SUMPRODUCT(('Old CCC projections data'!$F$1:$BN$1=$B23)*('Old CCC projections data'!$A$2:$A$271=T$2)*('Old CCC projections data'!$D$2:$D$271=T$3)*('Old CCC projections data'!$F$2:$BN$271))*Model!$B$47</f>
        <v>554.85506240343022</v>
      </c>
      <c r="U23" s="18" cm="1">
        <f t="array" ref="U23">SUMPRODUCT(('Old CCC projections data'!$F$1:$BN$1=$B23)*('Old CCC projections data'!$A$2:$A$271=U$2)*('Old CCC projections data'!$D$2:$D$271=U$3)*('Old CCC projections data'!$F$2:$BN$271))*Model!$B$47</f>
        <v>92.475843733905052</v>
      </c>
      <c r="V23" s="18" cm="1">
        <f t="array" ref="V23">SUMPRODUCT(('Old CCC projections data'!$F$1:$BN$1=$B23)*('Old CCC projections data'!$A$2:$A$271=V$2)*('Old CCC projections data'!$D$2:$D$271=V$3)*('Old CCC projections data'!$F$2:$BN$271))*Model!$B$47</f>
        <v>216.48438641277835</v>
      </c>
      <c r="W23" s="18" cm="1">
        <f t="array" ref="W23">SUMPRODUCT(('Old CCC projections data'!$F$1:$BN$1=$B23)*('Old CCC projections data'!$A$2:$A$271=W$2)*('Old CCC projections data'!$D$2:$D$271=W$3)*('Old CCC projections data'!$F$2:$BN$271))*Model!$B$47</f>
        <v>1.1871345029239767E-2</v>
      </c>
      <c r="X23" s="18" cm="1">
        <f t="array" ref="X23">SUMPRODUCT(('Old CCC projections data'!$F$1:$BN$1=$B23)*('Old CCC projections data'!$A$2:$A$271=X$2)*('Old CCC projections data'!$D$2:$D$271=X$3)*('Old CCC projections data'!$F$2:$BN$271))*Model!$B$47</f>
        <v>184.9516874678101</v>
      </c>
      <c r="Y23" s="18" cm="1">
        <f t="array" ref="Y23">SUMPRODUCT(('Old CCC projections data'!$F$1:$BN$1=$B23)*('Old CCC projections data'!$A$2:$A$271=Y$2)*('Old CCC projections data'!$D$2:$D$271=Y$3)*('Old CCC projections data'!$F$2:$BN$271))*Model!$B$47</f>
        <v>277.42753120171511</v>
      </c>
      <c r="Z23" s="18" cm="1">
        <f t="array" ref="Z23">SUMPRODUCT(('Old CCC projections data'!$F$1:$BN$1=$B23)*('Old CCC projections data'!$A$2:$A$271=Z$2)*('Old CCC projections data'!$D$2:$D$271=Z$3)*('Old CCC projections data'!$F$2:$BN$271))*Model!$B$47</f>
        <v>369.90337493562021</v>
      </c>
      <c r="AA23" s="18" cm="1">
        <f t="array" ref="AA23">SUMPRODUCT(('Old CCC projections data'!$F$1:$BN$1=$B23)*('Old CCC projections data'!$A$2:$A$271=AA$2)*('Old CCC projections data'!$D$2:$D$271=AA$3)*('Old CCC projections data'!$F$2:$BN$271))*Model!$B$47</f>
        <v>462.3792186695253</v>
      </c>
      <c r="AB23" s="18" cm="1">
        <f t="array" ref="AB23">SUMPRODUCT(('Old CCC projections data'!$F$1:$BN$1=$B23)*('Old CCC projections data'!$A$2:$A$271=AB$2)*('Old CCC projections data'!$D$2:$D$271=AB$3)*('Old CCC projections data'!$F$2:$BN$271))*Model!$B$47</f>
        <v>554.85506240343022</v>
      </c>
      <c r="AC23" s="18" cm="1">
        <f t="array" ref="AC23">SUMPRODUCT(('Old CCC projections data'!$F$1:$BN$1=$B23)*('Old CCC projections data'!$A$2:$A$271=AC$2)*('Old CCC projections data'!$D$2:$D$271=AC$3)*('Old CCC projections data'!$F$2:$BN$271))*Model!$B$47</f>
        <v>92.475843733905052</v>
      </c>
      <c r="AD23" s="18" cm="1">
        <f t="array" ref="AD23">SUMPRODUCT(('Old CCC projections data'!$F$1:$BN$1=$B23)*('Old CCC projections data'!$A$2:$A$271=AD$2)*('Old CCC projections data'!$D$2:$D$271=AD$3)*('Old CCC projections data'!$F$2:$BN$271))*Model!$B$47</f>
        <v>101.72342810729553</v>
      </c>
      <c r="AE23" s="18" cm="1">
        <f t="array" ref="AE23">SUMPRODUCT(('Old CCC projections data'!$F$1:$BN$1=$B23)*('Old CCC projections data'!$A$2:$A$271=AE$2)*('Old CCC projections data'!$D$2:$D$271=AE$3)*('Old CCC projections data'!$F$2:$BN$271))*Model!$B$47</f>
        <v>216.48438641277835</v>
      </c>
      <c r="AF23" s="18" cm="1">
        <f t="array" ref="AF23">SUMPRODUCT(('Old CCC projections data'!$F$1:$BN$1=$B23)*('Old CCC projections data'!$A$2:$A$271=AF$2)*('Old CCC projections data'!$D$2:$D$271=AF$3)*('Old CCC projections data'!$F$2:$BN$271))*Model!$B$47</f>
        <v>1.1871345029239767E-2</v>
      </c>
      <c r="AG23" s="18" cm="1">
        <f t="array" ref="AG23">SUMPRODUCT(('Old CCC projections data'!$F$1:$BN$1=$B23)*('Old CCC projections data'!$A$2:$A$271=AG$2)*('Old CCC projections data'!$D$2:$D$271=AG$3)*('Old CCC projections data'!$F$2:$BN$271))*Model!$B$47</f>
        <v>184.9516874678101</v>
      </c>
      <c r="AH23" s="18" cm="1">
        <f t="array" ref="AH23">SUMPRODUCT(('Old CCC projections data'!$F$1:$BN$1=$B23)*('Old CCC projections data'!$A$2:$A$271=AH$2)*('Old CCC projections data'!$D$2:$D$271=AH$3)*('Old CCC projections data'!$F$2:$BN$271))*Model!$B$47</f>
        <v>277.42753120171511</v>
      </c>
      <c r="AI23" s="18" cm="1">
        <f t="array" ref="AI23">SUMPRODUCT(('Old CCC projections data'!$F$1:$BN$1=$B23)*('Old CCC projections data'!$A$2:$A$271=AI$2)*('Old CCC projections data'!$D$2:$D$271=AI$3)*('Old CCC projections data'!$F$2:$BN$271))*Model!$B$47</f>
        <v>369.90337493562021</v>
      </c>
      <c r="AJ23" s="18" cm="1">
        <f t="array" ref="AJ23">SUMPRODUCT(('Old CCC projections data'!$F$1:$BN$1=$B23)*('Old CCC projections data'!$A$2:$A$271=AJ$2)*('Old CCC projections data'!$D$2:$D$271=AJ$3)*('Old CCC projections data'!$F$2:$BN$271))*Model!$B$47</f>
        <v>462.3792186695253</v>
      </c>
      <c r="AK23" s="18" cm="1">
        <f t="array" ref="AK23">SUMPRODUCT(('Old CCC projections data'!$F$1:$BN$1=$B23)*('Old CCC projections data'!$A$2:$A$271=AK$2)*('Old CCC projections data'!$D$2:$D$271=AK$3)*('Old CCC projections data'!$F$2:$BN$271))*Model!$B$47</f>
        <v>499.36955616308734</v>
      </c>
      <c r="AL23" s="18" cm="1">
        <f t="array" ref="AL23">SUMPRODUCT(('Old CCC projections data'!$F$1:$BN$1=$B23)*('Old CCC projections data'!$A$2:$A$271=AL$2)*('Old CCC projections data'!$D$2:$D$271=AL$3)*('Old CCC projections data'!$F$2:$BN$271))*Model!$B$47</f>
        <v>554.85506240343022</v>
      </c>
      <c r="AM23" s="18" cm="1">
        <f t="array" ref="AM23">SUMPRODUCT(('Old CCC projections data'!$F$1:$BN$1=$B23)*('Old CCC projections data'!$A$2:$A$271=AM$2)*('Old CCC projections data'!$D$2:$D$271=AM$3)*('Old CCC projections data'!$F$2:$BN$271))*Model!$B$47</f>
        <v>92.475843733905052</v>
      </c>
      <c r="AN23" s="18" cm="1">
        <f t="array" ref="AN23">SUMPRODUCT(('Old CCC projections data'!$F$1:$BN$1=$B23)*('Old CCC projections data'!$A$2:$A$271=AN$2)*('Old CCC projections data'!$D$2:$D$271=AN$3)*('Old CCC projections data'!$F$2:$BN$271))*Model!$B$47</f>
        <v>216.48438641277835</v>
      </c>
      <c r="AO23" s="18" cm="1">
        <f t="array" ref="AO23">SUMPRODUCT(('Old CCC projections data'!$F$1:$BN$1=$B23)*('Old CCC projections data'!$A$2:$A$271=AO$2)*('Old CCC projections data'!$D$2:$D$271=AO$3)*('Old CCC projections data'!$F$2:$BN$271))*Model!$B$47</f>
        <v>1.1871345029239767E-2</v>
      </c>
      <c r="AP23" s="18" cm="1">
        <f t="array" ref="AP23">SUMPRODUCT(('Old CCC projections data'!$F$1:$BN$1=$B23)*('Old CCC projections data'!$A$2:$A$271=AP$2)*('Old CCC projections data'!$D$2:$D$271=AP$3)*('Old CCC projections data'!$F$2:$BN$271))*Model!$B$47</f>
        <v>184.9516874678101</v>
      </c>
      <c r="AQ23" s="18" cm="1">
        <f t="array" ref="AQ23">SUMPRODUCT(('Old CCC projections data'!$F$1:$BN$1=$B23)*('Old CCC projections data'!$A$2:$A$271=AQ$2)*('Old CCC projections data'!$D$2:$D$271=AQ$3)*('Old CCC projections data'!$F$2:$BN$271))*Model!$B$47</f>
        <v>277.42753120171511</v>
      </c>
      <c r="AR23" s="18" cm="1">
        <f t="array" ref="AR23">SUMPRODUCT(('Old CCC projections data'!$F$1:$BN$1=$B23)*('Old CCC projections data'!$A$2:$A$271=AR$2)*('Old CCC projections data'!$D$2:$D$271=AR$3)*('Old CCC projections data'!$F$2:$BN$271))*Model!$B$47</f>
        <v>369.90337493562021</v>
      </c>
      <c r="AS23" s="18" cm="1">
        <f t="array" ref="AS23">SUMPRODUCT(('Old CCC projections data'!$F$1:$BN$1=$B23)*('Old CCC projections data'!$A$2:$A$271=AS$2)*('Old CCC projections data'!$D$2:$D$271=AS$3)*('Old CCC projections data'!$F$2:$BN$271))*Model!$B$47</f>
        <v>462.3792186695253</v>
      </c>
      <c r="AT23" s="18" cm="1">
        <f t="array" ref="AT23">SUMPRODUCT(('Old CCC projections data'!$F$1:$BN$1=$B23)*('Old CCC projections data'!$A$2:$A$271=AT$2)*('Old CCC projections data'!$D$2:$D$271=AT$3)*('Old CCC projections data'!$F$2:$BN$271))*Model!$B$47</f>
        <v>554.85506240343022</v>
      </c>
      <c r="AU23" s="18" cm="1">
        <f t="array" ref="AU23">SUMPRODUCT(('Old CCC projections data'!$F$1:$BN$1=$B23)*('Old CCC projections data'!$A$2:$A$271=AU$2)*('Old CCC projections data'!$D$2:$D$271=AU$3)*('Old CCC projections data'!$F$2:$BN$271))*Model!$B$47</f>
        <v>92.475843733905052</v>
      </c>
      <c r="AV23" s="18" cm="1">
        <f t="array" ref="AV23">SUMPRODUCT(('Old CCC projections data'!$F$1:$BN$1=$B23)*('Old CCC projections data'!$A$2:$A$271=AV$2)*('Old CCC projections data'!$D$2:$D$271=AV$3)*('Old CCC projections data'!$F$2:$BN$271))*Model!$B$47</f>
        <v>101.72342810729553</v>
      </c>
      <c r="AW23" s="18" cm="1">
        <f t="array" ref="AW23">SUMPRODUCT(('Old CCC projections data'!$F$1:$BN$1=$B23)*('Old CCC projections data'!$A$2:$A$271=AW$2)*('Old CCC projections data'!$D$2:$D$271=AW$3)*('Old CCC projections data'!$F$2:$BN$271))*Model!$B$47</f>
        <v>216.48438641277835</v>
      </c>
      <c r="AX23" s="18" cm="1">
        <f t="array" ref="AX23">SUMPRODUCT(('Old CCC projections data'!$F$1:$BN$1=$B23)*('Old CCC projections data'!$A$2:$A$271=AX$2)*('Old CCC projections data'!$D$2:$D$271=AX$3)*('Old CCC projections data'!$F$2:$BN$271))*Model!$B$47</f>
        <v>1.1871345029239767E-2</v>
      </c>
      <c r="AY23" s="18">
        <v>50</v>
      </c>
      <c r="AZ23" s="18">
        <v>35</v>
      </c>
      <c r="BA23" s="18">
        <v>70</v>
      </c>
      <c r="BB23" s="18"/>
      <c r="BC23" s="20" cm="1">
        <f t="array" ref="BC23">SUMPRODUCT(('Old CCC projections data'!$F$1:$BN$1=$B23)*('Old CCC projections data'!$A$2:$A$271=BC$2)*('Old CCC projections data'!$D$2:$D$271=BC$3)*('Old CCC projections data'!$F$2:$BN$271))</f>
        <v>32722.350324317027</v>
      </c>
      <c r="BD23" s="126">
        <f t="shared" si="33"/>
        <v>33029.143084858268</v>
      </c>
      <c r="BE23" s="20"/>
      <c r="BF23" s="20"/>
      <c r="BG23" s="20" cm="1">
        <f t="array" ref="BG23">SUMPRODUCT(('Old CCC projections data'!$F$1:$BN$1=$B23)*('Old CCC projections data'!$A$2:$A$271=BG$2)*('Old CCC projections data'!$D$2:$D$271=BG$3)*('Old CCC projections data'!$F$2:$BN$271))</f>
        <v>20616.696720318552</v>
      </c>
      <c r="BH23" s="20" cm="1">
        <f t="array" ref="BH23">SUMPRODUCT(('Old CCC projections data'!$F$1:$BN$1=$B23)*('Old CCC projections data'!$A$2:$A$271=BH$2)*('Old CCC projections data'!$D$2:$D$271=BH$3)*('Old CCC projections data'!$F$2:$BN$271))</f>
        <v>19029.113827849309</v>
      </c>
      <c r="BI23" s="20" cm="1">
        <f t="array" ref="BI23">SUMPRODUCT(('Old CCC projections data'!$F$1:$BN$1=$B23)*('Old CCC projections data'!$A$2:$A$271=BI$2)*('Old CCC projections data'!$D$2:$D$271=BI$3)*('Old CCC projections data'!$F$2:$BN$271))</f>
        <v>17794.654652244855</v>
      </c>
      <c r="BJ23" s="20" cm="1">
        <f t="array" ref="BJ23">SUMPRODUCT(('Old CCC projections data'!$F$1:$BN$1=$B23)*('Old CCC projections data'!$A$2:$A$271=BJ$2)*('Old CCC projections data'!$D$2:$D$271=BJ$3)*('Old CCC projections data'!$F$2:$BN$271))</f>
        <v>16875.022409831145</v>
      </c>
      <c r="BK23" s="20" cm="1">
        <f t="array" ref="BK23">SUMPRODUCT(('Old CCC projections data'!$F$1:$BN$1=$B23)*('Old CCC projections data'!$A$2:$A$271=BK$2)*('Old CCC projections data'!$D$2:$D$271=BK$3)*('Old CCC projections data'!$F$2:$BN$271))</f>
        <v>16409.495249380365</v>
      </c>
      <c r="BL23" s="20" cm="1">
        <f t="array" ref="BL23">SUMPRODUCT(('Old CCC projections data'!$F$1:$BN$1=$B23)*('Old CCC projections data'!$A$2:$A$271=BL$2)*('Old CCC projections data'!$D$2:$D$271=BL$3)*('Old CCC projections data'!$F$2:$BN$271))</f>
        <v>23131.791090139421</v>
      </c>
      <c r="BM23" s="20" cm="1">
        <f t="array" ref="BM23">SUMPRODUCT(('Old CCC projections data'!$F$1:$BN$1=$B23)*('Old CCC projections data'!$A$2:$A$271=BM$2)*('Old CCC projections data'!$D$2:$D$271=BM$3)*('Old CCC projections data'!$F$2:$BN$271))</f>
        <v>19770.302500133668</v>
      </c>
      <c r="BN23" s="20" cm="1">
        <f t="array" ref="BN23">SUMPRODUCT(('Old CCC projections data'!$F$1:$BN$1=$B23)*('Old CCC projections data'!$A$2:$A$271=BN$2)*('Old CCC projections data'!$D$2:$D$271=BN$3)*('Old CCC projections data'!$F$2:$BN$271))</f>
        <v>24570.879657466994</v>
      </c>
      <c r="BO23" s="20" cm="1">
        <f t="array" ref="BO23">SUMPRODUCT(('Old CCC projections data'!$F$1:$BN$1=$B23)*('Old CCC projections data'!$A$2:$A$271=BO$2)*('Old CCC projections data'!$D$2:$D$271=BO$3)*('Old CCC projections data'!$F$2:$BN$271))</f>
        <v>23865.549219302902</v>
      </c>
      <c r="BP23" s="20" cm="1">
        <f t="array" ref="BP23">SUMPRODUCT(('Old CCC projections data'!$F$1:$BN$1=$B23)*('Old CCC projections data'!$A$2:$A$271=BP$2)*('Old CCC projections data'!$D$2:$D$271=BP$3)*('Old CCC projections data'!$F$2:$BN$271))</f>
        <v>21737.659354115112</v>
      </c>
      <c r="BQ23" s="20" cm="1">
        <f t="array" ref="BQ23">SUMPRODUCT(('Old CCC projections data'!$F$1:$BN$1=$B23)*('Old CCC projections data'!$A$2:$A$271=BQ$2)*('Old CCC projections data'!$D$2:$D$271=BQ$3)*('Old CCC projections data'!$F$2:$BN$271))</f>
        <v>20133.859621669071</v>
      </c>
      <c r="BR23" s="20" cm="1">
        <f t="array" ref="BR23">SUMPRODUCT(('Old CCC projections data'!$F$1:$BN$1=$B23)*('Old CCC projections data'!$A$2:$A$271=BR$2)*('Old CCC projections data'!$D$2:$D$271=BR$3)*('Old CCC projections data'!$F$2:$BN$271))</f>
        <v>19120.974714623313</v>
      </c>
      <c r="BS23" s="20" cm="1">
        <f t="array" ref="BS23">SUMPRODUCT(('Old CCC projections data'!$F$1:$BN$1=$B23)*('Old CCC projections data'!$A$2:$A$271=BS$2)*('Old CCC projections data'!$D$2:$D$271=BS$3)*('Old CCC projections data'!$F$2:$BN$271))</f>
        <v>18393.403014057581</v>
      </c>
      <c r="BT23" s="20" cm="1">
        <f t="array" ref="BT23">SUMPRODUCT(('Old CCC projections data'!$F$1:$BN$1=$B23)*('Old CCC projections data'!$A$2:$A$271=BT$2)*('Old CCC projections data'!$D$2:$D$271=BT$3)*('Old CCC projections data'!$F$2:$BN$271))</f>
        <v>25655.33473743562</v>
      </c>
      <c r="BU23" s="20" cm="1">
        <f t="array" ref="BU23">SUMPRODUCT(('Old CCC projections data'!$F$1:$BN$1=$B23)*('Old CCC projections data'!$A$2:$A$271=BU$2)*('Old CCC projections data'!$D$2:$D$271=BU$3)*('Old CCC projections data'!$F$2:$BN$271))</f>
        <v>22866.317353283674</v>
      </c>
      <c r="BV23" s="20" cm="1">
        <f t="array" ref="BV23">SUMPRODUCT(('Old CCC projections data'!$F$1:$BN$1=$B23)*('Old CCC projections data'!$A$2:$A$271=BV$2)*('Old CCC projections data'!$D$2:$D$271=BV$3)*('Old CCC projections data'!$F$2:$BN$271))</f>
        <v>33963.828548969163</v>
      </c>
      <c r="BW23" s="20" cm="1">
        <f t="array" ref="BW23">SUMPRODUCT(('Old CCC projections data'!$F$1:$BN$1=$B23)*('Old CCC projections data'!$A$2:$A$271=BW$2)*('Old CCC projections data'!$D$2:$D$271=BW$3)*('Old CCC projections data'!$F$2:$BN$271))</f>
        <v>18523.274181359731</v>
      </c>
      <c r="BX23" s="20" cm="1">
        <f t="array" ref="BX23">SUMPRODUCT(('Old CCC projections data'!$F$1:$BN$1=$B23)*('Old CCC projections data'!$A$2:$A$271=BX$2)*('Old CCC projections data'!$D$2:$D$271=BX$3)*('Old CCC projections data'!$F$2:$BN$271))</f>
        <v>17299.366309132056</v>
      </c>
      <c r="BY23" s="20" cm="1">
        <f t="array" ref="BY23">SUMPRODUCT(('Old CCC projections data'!$F$1:$BN$1=$B23)*('Old CCC projections data'!$A$2:$A$271=BY$2)*('Old CCC projections data'!$D$2:$D$271=BY$3)*('Old CCC projections data'!$F$2:$BN$271))</f>
        <v>16313.264391992294</v>
      </c>
      <c r="BZ23" s="20" cm="1">
        <f t="array" ref="BZ23">SUMPRODUCT(('Old CCC projections data'!$F$1:$BN$1=$B23)*('Old CCC projections data'!$A$2:$A$271=BZ$2)*('Old CCC projections data'!$D$2:$D$271=BZ$3)*('Old CCC projections data'!$F$2:$BN$271))</f>
        <v>15722.047966242884</v>
      </c>
      <c r="CA23" s="20" cm="1">
        <f t="array" ref="CA23">SUMPRODUCT(('Old CCC projections data'!$F$1:$BN$1=$B23)*('Old CCC projections data'!$A$2:$A$271=CA$2)*('Old CCC projections data'!$D$2:$D$271=CA$3)*('Old CCC projections data'!$F$2:$BN$271))</f>
        <v>15608.849672928864</v>
      </c>
      <c r="CB23" s="20" cm="1">
        <f t="array" ref="CB23">SUMPRODUCT(('Old CCC projections data'!$F$1:$BN$1=$B23)*('Old CCC projections data'!$A$2:$A$271=CB$2)*('Old CCC projections data'!$D$2:$D$271=CB$3)*('Old CCC projections data'!$F$2:$BN$271))</f>
        <v>20380.921575032029</v>
      </c>
      <c r="CC23" s="20" cm="1">
        <f t="array" ref="CC23">SUMPRODUCT(('Old CCC projections data'!$F$1:$BN$1=$B23)*('Old CCC projections data'!$A$2:$A$271=CC$2)*('Old CCC projections data'!$D$2:$D$271=CC$3)*('Old CCC projections data'!$F$2:$BN$271))</f>
        <v>20224.303880225543</v>
      </c>
      <c r="CD23" s="20" cm="1">
        <f t="array" ref="CD23">SUMPRODUCT(('Old CCC projections data'!$F$1:$BN$1=$B23)*('Old CCC projections data'!$A$2:$A$271=CD$2)*('Old CCC projections data'!$D$2:$D$271=CD$3)*('Old CCC projections data'!$F$2:$BN$271))</f>
        <v>17950.720115271175</v>
      </c>
      <c r="CE23" s="20" cm="1">
        <f t="array" ref="CE23">SUMPRODUCT(('Old CCC projections data'!$F$1:$BN$1=$B23)*('Old CCC projections data'!$A$2:$A$271=CE$2)*('Old CCC projections data'!$D$2:$D$271=CE$3)*('Old CCC projections data'!$F$2:$BN$271))</f>
        <v>22040.287348112044</v>
      </c>
      <c r="CF23" s="20" cm="1">
        <f t="array" ref="CF23">SUMPRODUCT(('Old CCC projections data'!$F$1:$BN$1=$B23)*('Old CCC projections data'!$A$2:$A$271=CF$2)*('Old CCC projections data'!$D$2:$D$271=CF$3)*('Old CCC projections data'!$F$2:$BN$271))</f>
        <v>26207.885503468315</v>
      </c>
      <c r="CG23" s="20" cm="1">
        <f t="array" ref="CG23">SUMPRODUCT(('Old CCC projections data'!$F$1:$BN$1=$B23)*('Old CCC projections data'!$A$2:$A$271=CG$2)*('Old CCC projections data'!$D$2:$D$271=CG$3)*('Old CCC projections data'!$F$2:$BN$271))</f>
        <v>24323.37641502895</v>
      </c>
      <c r="CH23" s="20" cm="1">
        <f t="array" ref="CH23">SUMPRODUCT(('Old CCC projections data'!$F$1:$BN$1=$B23)*('Old CCC projections data'!$A$2:$A$271=CH$2)*('Old CCC projections data'!$D$2:$D$271=CH$3)*('Old CCC projections data'!$F$2:$BN$271))</f>
        <v>22930.435522268308</v>
      </c>
      <c r="CI23" s="20" cm="1">
        <f t="array" ref="CI23">SUMPRODUCT(('Old CCC projections data'!$F$1:$BN$1=$B23)*('Old CCC projections data'!$A$2:$A$271=CI$2)*('Old CCC projections data'!$D$2:$D$271=CI$3)*('Old CCC projections data'!$F$2:$BN$271))</f>
        <v>22276.643549593573</v>
      </c>
      <c r="CJ23" s="20" cm="1">
        <f t="array" ref="CJ23">SUMPRODUCT(('Old CCC projections data'!$F$1:$BN$1=$B23)*('Old CCC projections data'!$A$2:$A$271=CJ$2)*('Old CCC projections data'!$D$2:$D$271=CJ$3)*('Old CCC projections data'!$F$2:$BN$271))</f>
        <v>22217.112098401816</v>
      </c>
      <c r="CK23" s="20" cm="1">
        <f t="array" ref="CK23">SUMPRODUCT(('Old CCC projections data'!$F$1:$BN$1=$B23)*('Old CCC projections data'!$A$2:$A$271=CK$2)*('Old CCC projections data'!$D$2:$D$271=CK$3)*('Old CCC projections data'!$F$2:$BN$271))</f>
        <v>22169.289009279317</v>
      </c>
      <c r="CL23" s="20" cm="1">
        <f t="array" ref="CL23">SUMPRODUCT(('Old CCC projections data'!$F$1:$BN$1=$B23)*('Old CCC projections data'!$A$2:$A$271=CL$2)*('Old CCC projections data'!$D$2:$D$271=CL$3)*('Old CCC projections data'!$F$2:$BN$271))</f>
        <v>28024.401164931613</v>
      </c>
      <c r="CM23" s="20" cm="1">
        <f t="array" ref="CM23">SUMPRODUCT(('Old CCC projections data'!$F$1:$BN$1=$B23)*('Old CCC projections data'!$A$2:$A$271=CM$2)*('Old CCC projections data'!$D$2:$D$271=CM$3)*('Old CCC projections data'!$F$2:$BN$271))</f>
        <v>25331.835519061995</v>
      </c>
      <c r="CN23" s="20" cm="1">
        <f t="array" ref="CN23">SUMPRODUCT(('Old CCC projections data'!$F$1:$BN$1=$B23)*('Old CCC projections data'!$A$2:$A$271=CN$2)*('Old CCC projections data'!$D$2:$D$271=CN$3)*('Old CCC projections data'!$F$2:$BN$271))</f>
        <v>33316.863192079298</v>
      </c>
      <c r="CO23" s="20" cm="1">
        <f t="array" ref="CO23">SUMPRODUCT(('Old CCC projections data'!$F$1:$BN$1=$B23)*('Old CCC projections data'!$A$2:$A$271=CO$2)*('Old CCC projections data'!$D$2:$D$271=CO$3)*('Old CCC projections data'!$F$2:$BN$271))</f>
        <v>18328.31820703379</v>
      </c>
      <c r="CP23" s="20" cm="1">
        <f t="array" ref="CP23">SUMPRODUCT(('Old CCC projections data'!$F$1:$BN$1=$B23)*('Old CCC projections data'!$A$2:$A$271=CP$2)*('Old CCC projections data'!$D$2:$D$271=CP$3)*('Old CCC projections data'!$F$2:$BN$271))</f>
        <v>16536.129656694611</v>
      </c>
      <c r="CQ23" s="20" cm="1">
        <f t="array" ref="CQ23">SUMPRODUCT(('Old CCC projections data'!$F$1:$BN$1=$B23)*('Old CCC projections data'!$A$2:$A$271=CQ$2)*('Old CCC projections data'!$D$2:$D$271=CQ$3)*('Old CCC projections data'!$F$2:$BN$271))</f>
        <v>15383.795372649594</v>
      </c>
      <c r="CR23" s="20" cm="1">
        <f t="array" ref="CR23">SUMPRODUCT(('Old CCC projections data'!$F$1:$BN$1=$B23)*('Old CCC projections data'!$A$2:$A$271=CR$2)*('Old CCC projections data'!$D$2:$D$271=CR$3)*('Old CCC projections data'!$F$2:$BN$271))</f>
        <v>14357.103705210629</v>
      </c>
      <c r="CS23" s="20" cm="1">
        <f t="array" ref="CS23">SUMPRODUCT(('Old CCC projections data'!$F$1:$BN$1=$B23)*('Old CCC projections data'!$A$2:$A$271=CS$2)*('Old CCC projections data'!$D$2:$D$271=CS$3)*('Old CCC projections data'!$F$2:$BN$271))</f>
        <v>13974.177712861227</v>
      </c>
      <c r="CT23" s="20" cm="1">
        <f t="array" ref="CT23">SUMPRODUCT(('Old CCC projections data'!$F$1:$BN$1=$B23)*('Old CCC projections data'!$A$2:$A$271=CT$2)*('Old CCC projections data'!$D$2:$D$271=CT$3)*('Old CCC projections data'!$F$2:$BN$271))</f>
        <v>20933.61964782884</v>
      </c>
      <c r="CU23" s="20" cm="1">
        <f t="array" ref="CU23">SUMPRODUCT(('Old CCC projections data'!$F$1:$BN$1=$B23)*('Old CCC projections data'!$A$2:$A$271=CU$2)*('Old CCC projections data'!$D$2:$D$271=CU$3)*('Old CCC projections data'!$F$2:$BN$271))</f>
        <v>20672.003167787327</v>
      </c>
      <c r="CV23" s="20" cm="1">
        <f t="array" ref="CV23">SUMPRODUCT(('Old CCC projections data'!$F$1:$BN$1=$B23)*('Old CCC projections data'!$A$2:$A$271=CV$2)*('Old CCC projections data'!$D$2:$D$271=CV$3)*('Old CCC projections data'!$F$2:$BN$271))</f>
        <v>17498.746028911311</v>
      </c>
      <c r="CW23" s="20" cm="1">
        <f t="array" ref="CW23">SUMPRODUCT(('Old CCC projections data'!$F$1:$BN$1=$B23)*('Old CCC projections data'!$A$2:$A$271=CW$2)*('Old CCC projections data'!$D$2:$D$271=CW$3)*('Old CCC projections data'!$F$2:$BN$271))</f>
        <v>22325.997290537911</v>
      </c>
      <c r="CX23" s="20">
        <f t="shared" si="19"/>
        <v>4800.5771573333259</v>
      </c>
      <c r="CY23" s="20" t="str">
        <f t="shared" si="29"/>
        <v>Demo path - C price $100 3%</v>
      </c>
      <c r="CZ23" s="3">
        <f t="shared" si="30"/>
        <v>2041</v>
      </c>
      <c r="DA23" s="18">
        <f t="shared" si="31"/>
        <v>0</v>
      </c>
      <c r="DB23" s="18">
        <f ca="1">(H26+IF($DB$3&gt;0,NPV($DB$2,H27:OFFSET(H26,$DB$3,0)),0))/($DB$3+1)</f>
        <v>183.72882053785244</v>
      </c>
      <c r="DC23" s="18">
        <f t="shared" ca="1" si="20"/>
        <v>83.728820537852442</v>
      </c>
      <c r="DD23" s="18">
        <f t="shared" si="32"/>
        <v>100</v>
      </c>
      <c r="DE23" s="20">
        <f t="shared" si="21"/>
        <v>21020.865912256821</v>
      </c>
      <c r="DF23" s="20" cm="1">
        <f t="array" ref="DF23">SUMPRODUCT(($BG$2:$BM$2=CY23)*($B$5:$B$35=CZ23)*($BG$5:$BM$35))</f>
        <v>16376.547042010257</v>
      </c>
      <c r="DG23" s="20">
        <f t="shared" si="16"/>
        <v>4644.3188702465632</v>
      </c>
      <c r="DH23" s="20" cm="1">
        <f t="array" ref="DH23">IF(CZ23=2023,SUMPRODUCT(($B$5:$B$35=CZ23-1)*($BN$5:$BN$35))-SUMPRODUCT(($BG$2:$BM$2=CY23)*($B$5:$B$35=CZ23-1)*($BG$5:$BM$35)),DG22)</f>
        <v>4394.9730934630497</v>
      </c>
      <c r="DI23" s="18">
        <f t="shared" ca="1" si="17"/>
        <v>183.72882053785244</v>
      </c>
      <c r="DJ23" s="89">
        <f t="shared" si="22"/>
        <v>8.4434000033043883</v>
      </c>
      <c r="DK23" s="89">
        <f t="shared" si="23"/>
        <v>8.3882166880215951</v>
      </c>
      <c r="DL23" s="89">
        <f t="shared" ca="1" si="24"/>
        <v>5.2134608690706932</v>
      </c>
      <c r="DM23" s="20">
        <f t="shared" ca="1" si="25"/>
        <v>2774.4962071869504</v>
      </c>
      <c r="DN23" s="20">
        <f t="shared" ca="1" si="26"/>
        <v>4453.6515692150379</v>
      </c>
      <c r="DO23" s="20">
        <f t="shared" ca="1" si="27"/>
        <v>3614.0738882009941</v>
      </c>
      <c r="DP23" s="113"/>
      <c r="DQ23" s="2"/>
      <c r="DR23" s="3"/>
      <c r="DS23" s="14" t="s">
        <v>261</v>
      </c>
      <c r="DT23" s="14">
        <v>196</v>
      </c>
    </row>
    <row r="24" spans="1:131" x14ac:dyDescent="0.25">
      <c r="A24">
        <v>0.5</v>
      </c>
      <c r="B24">
        <f t="shared" si="28"/>
        <v>2039</v>
      </c>
      <c r="C24" s="190">
        <f>IF(C23*(1+A24*Model!$B$19*IF(Model!$B$28=0,1,((Model!$B$28-B24)/(Model!$B$28-$B$9))))&gt;Model!$B$44,C23*(1+A24*Model!$B$19*IF(Model!$B$28=0,1,((Model!$B$28-B24)/(Model!$B$28-$B$9)))),Model!$B$44)</f>
        <v>66.083050458445783</v>
      </c>
      <c r="D24" s="18" cm="1">
        <f t="array" ref="D24">SUMPRODUCT(('Old CCC projections data'!$F$1:$BN$1=$B24)*('Old CCC projections data'!$A$2:$A$271=D$2)*('Old CCC projections data'!$D$2:$D$271=D$3)*('Old CCC projections data'!$F$2:$BN$271))*Model!$B$47</f>
        <v>41.549707602339183</v>
      </c>
      <c r="E24" s="18" cm="1">
        <f t="array" ref="E24">SUMPRODUCT(('Old CCC projections data'!$F$1:$BN$1=$B24)*('Old CCC projections data'!$A$2:$A$271=E$2)*('Old CCC projections data'!$D$2:$D$271=E$3)*('Old CCC projections data'!$F$2:$BN$271))*Model!$B$47</f>
        <v>1.1871345029239767E-2</v>
      </c>
      <c r="F24" s="18"/>
      <c r="G24" s="18"/>
      <c r="H24" s="18" cm="1">
        <f t="array" ref="H24">SUMPRODUCT(('Old CCC projections data'!$F$1:$BN$1=$B24)*('Old CCC projections data'!$A$2:$A$271=H$2)*('Old CCC projections data'!$D$2:$D$271=H$3)*('Old CCC projections data'!$F$2:$BN$271))*Model!$B$47</f>
        <v>190.50023809184441</v>
      </c>
      <c r="I24" s="18" cm="1">
        <f t="array" ref="I24">SUMPRODUCT(('Old CCC projections data'!$F$1:$BN$1=$B24)*('Old CCC projections data'!$A$2:$A$271=I$2)*('Old CCC projections data'!$D$2:$D$271=I$3)*('Old CCC projections data'!$F$2:$BN$271))*Model!$B$47</f>
        <v>285.75035713776663</v>
      </c>
      <c r="J24" s="18" cm="1">
        <f t="array" ref="J24">SUMPRODUCT(('Old CCC projections data'!$F$1:$BN$1=$B24)*('Old CCC projections data'!$A$2:$A$271=J$2)*('Old CCC projections data'!$D$2:$D$271=J$3)*('Old CCC projections data'!$F$2:$BN$271))*Model!$B$47</f>
        <v>381.00047618368882</v>
      </c>
      <c r="K24" s="18" cm="1">
        <f t="array" ref="K24">SUMPRODUCT(('Old CCC projections data'!$F$1:$BN$1=$B24)*('Old CCC projections data'!$A$2:$A$271=K$2)*('Old CCC projections data'!$D$2:$D$271=K$3)*('Old CCC projections data'!$F$2:$BN$271))*Model!$B$47</f>
        <v>476.25059522961106</v>
      </c>
      <c r="L24" s="18" cm="1">
        <f t="array" ref="L24">SUMPRODUCT(('Old CCC projections data'!$F$1:$BN$1=$B24)*('Old CCC projections data'!$A$2:$A$271=L$2)*('Old CCC projections data'!$D$2:$D$271=L$3)*('Old CCC projections data'!$F$2:$BN$271))*Model!$B$47</f>
        <v>571.50071427553326</v>
      </c>
      <c r="M24" s="18" cm="1">
        <f t="array" ref="M24">SUMPRODUCT(('Old CCC projections data'!$F$1:$BN$1=$B24)*('Old CCC projections data'!$A$2:$A$271=M$2)*('Old CCC projections data'!$D$2:$D$271=M$3)*('Old CCC projections data'!$F$2:$BN$271))*Model!$B$47</f>
        <v>95.250119045922204</v>
      </c>
      <c r="N24" s="189" cm="1">
        <f t="array" ref="N24">SUMPRODUCT(('Old CCC projections data'!$F$1:$BN$1=$B24)*('Old CCC projections data'!$A$2:$A$271=N$2)*('Old CCC projections data'!$D$2:$D$271=N$3)*('Old CCC projections data'!$F$2:$BN$271))*Model!$B$47</f>
        <v>222.97891800516172</v>
      </c>
      <c r="O24" s="18" cm="1">
        <f t="array" ref="O24">SUMPRODUCT(('Old CCC projections data'!$F$1:$BN$1=$B24)*('Old CCC projections data'!$A$2:$A$271=O$2)*('Old CCC projections data'!$D$2:$D$271=O$3)*('Old CCC projections data'!$F$2:$BN$271))*Model!$B$47</f>
        <v>1.1871345029239767E-2</v>
      </c>
      <c r="P24" s="18" cm="1">
        <f t="array" ref="P24">SUMPRODUCT(('Old CCC projections data'!$F$1:$BN$1=$B24)*('Old CCC projections data'!$A$2:$A$271=P$2)*('Old CCC projections data'!$D$2:$D$271=P$3)*('Old CCC projections data'!$F$2:$BN$271))*Model!$B$47</f>
        <v>190.50023809184441</v>
      </c>
      <c r="Q24" s="18" cm="1">
        <f t="array" ref="Q24">SUMPRODUCT(('Old CCC projections data'!$F$1:$BN$1=$B24)*('Old CCC projections data'!$A$2:$A$271=Q$2)*('Old CCC projections data'!$D$2:$D$271=Q$3)*('Old CCC projections data'!$F$2:$BN$271))*Model!$B$47</f>
        <v>285.75035713776663</v>
      </c>
      <c r="R24" s="18" cm="1">
        <f t="array" ref="R24">SUMPRODUCT(('Old CCC projections data'!$F$1:$BN$1=$B24)*('Old CCC projections data'!$A$2:$A$271=R$2)*('Old CCC projections data'!$D$2:$D$271=R$3)*('Old CCC projections data'!$F$2:$BN$271))*Model!$B$47</f>
        <v>381.00047618368882</v>
      </c>
      <c r="S24" s="18" cm="1">
        <f t="array" ref="S24">SUMPRODUCT(('Old CCC projections data'!$F$1:$BN$1=$B24)*('Old CCC projections data'!$A$2:$A$271=S$2)*('Old CCC projections data'!$D$2:$D$271=S$3)*('Old CCC projections data'!$F$2:$BN$271))*Model!$B$47</f>
        <v>476.25059522961106</v>
      </c>
      <c r="T24" s="18" cm="1">
        <f t="array" ref="T24">SUMPRODUCT(('Old CCC projections data'!$F$1:$BN$1=$B24)*('Old CCC projections data'!$A$2:$A$271=T$2)*('Old CCC projections data'!$D$2:$D$271=T$3)*('Old CCC projections data'!$F$2:$BN$271))*Model!$B$47</f>
        <v>571.50071427553326</v>
      </c>
      <c r="U24" s="18" cm="1">
        <f t="array" ref="U24">SUMPRODUCT(('Old CCC projections data'!$F$1:$BN$1=$B24)*('Old CCC projections data'!$A$2:$A$271=U$2)*('Old CCC projections data'!$D$2:$D$271=U$3)*('Old CCC projections data'!$F$2:$BN$271))*Model!$B$47</f>
        <v>95.250119045922204</v>
      </c>
      <c r="V24" s="18" cm="1">
        <f t="array" ref="V24">SUMPRODUCT(('Old CCC projections data'!$F$1:$BN$1=$B24)*('Old CCC projections data'!$A$2:$A$271=V$2)*('Old CCC projections data'!$D$2:$D$271=V$3)*('Old CCC projections data'!$F$2:$BN$271))*Model!$B$47</f>
        <v>222.97891800516172</v>
      </c>
      <c r="W24" s="18" cm="1">
        <f t="array" ref="W24">SUMPRODUCT(('Old CCC projections data'!$F$1:$BN$1=$B24)*('Old CCC projections data'!$A$2:$A$271=W$2)*('Old CCC projections data'!$D$2:$D$271=W$3)*('Old CCC projections data'!$F$2:$BN$271))*Model!$B$47</f>
        <v>1.1871345029239767E-2</v>
      </c>
      <c r="X24" s="18" cm="1">
        <f t="array" ref="X24">SUMPRODUCT(('Old CCC projections data'!$F$1:$BN$1=$B24)*('Old CCC projections data'!$A$2:$A$271=X$2)*('Old CCC projections data'!$D$2:$D$271=X$3)*('Old CCC projections data'!$F$2:$BN$271))*Model!$B$47</f>
        <v>190.50023809184441</v>
      </c>
      <c r="Y24" s="18" cm="1">
        <f t="array" ref="Y24">SUMPRODUCT(('Old CCC projections data'!$F$1:$BN$1=$B24)*('Old CCC projections data'!$A$2:$A$271=Y$2)*('Old CCC projections data'!$D$2:$D$271=Y$3)*('Old CCC projections data'!$F$2:$BN$271))*Model!$B$47</f>
        <v>285.75035713776663</v>
      </c>
      <c r="Z24" s="18" cm="1">
        <f t="array" ref="Z24">SUMPRODUCT(('Old CCC projections data'!$F$1:$BN$1=$B24)*('Old CCC projections data'!$A$2:$A$271=Z$2)*('Old CCC projections data'!$D$2:$D$271=Z$3)*('Old CCC projections data'!$F$2:$BN$271))*Model!$B$47</f>
        <v>381.00047618368882</v>
      </c>
      <c r="AA24" s="18" cm="1">
        <f t="array" ref="AA24">SUMPRODUCT(('Old CCC projections data'!$F$1:$BN$1=$B24)*('Old CCC projections data'!$A$2:$A$271=AA$2)*('Old CCC projections data'!$D$2:$D$271=AA$3)*('Old CCC projections data'!$F$2:$BN$271))*Model!$B$47</f>
        <v>476.25059522961106</v>
      </c>
      <c r="AB24" s="18" cm="1">
        <f t="array" ref="AB24">SUMPRODUCT(('Old CCC projections data'!$F$1:$BN$1=$B24)*('Old CCC projections data'!$A$2:$A$271=AB$2)*('Old CCC projections data'!$D$2:$D$271=AB$3)*('Old CCC projections data'!$F$2:$BN$271))*Model!$B$47</f>
        <v>571.50071427553326</v>
      </c>
      <c r="AC24" s="18" cm="1">
        <f t="array" ref="AC24">SUMPRODUCT(('Old CCC projections data'!$F$1:$BN$1=$B24)*('Old CCC projections data'!$A$2:$A$271=AC$2)*('Old CCC projections data'!$D$2:$D$271=AC$3)*('Old CCC projections data'!$F$2:$BN$271))*Model!$B$47</f>
        <v>95.250119045922204</v>
      </c>
      <c r="AD24" s="18" cm="1">
        <f t="array" ref="AD24">SUMPRODUCT(('Old CCC projections data'!$F$1:$BN$1=$B24)*('Old CCC projections data'!$A$2:$A$271=AD$2)*('Old CCC projections data'!$D$2:$D$271=AD$3)*('Old CCC projections data'!$F$2:$BN$271))*Model!$B$47</f>
        <v>104.7751309505144</v>
      </c>
      <c r="AE24" s="18" cm="1">
        <f t="array" ref="AE24">SUMPRODUCT(('Old CCC projections data'!$F$1:$BN$1=$B24)*('Old CCC projections data'!$A$2:$A$271=AE$2)*('Old CCC projections data'!$D$2:$D$271=AE$3)*('Old CCC projections data'!$F$2:$BN$271))*Model!$B$47</f>
        <v>222.97891800516172</v>
      </c>
      <c r="AF24" s="18" cm="1">
        <f t="array" ref="AF24">SUMPRODUCT(('Old CCC projections data'!$F$1:$BN$1=$B24)*('Old CCC projections data'!$A$2:$A$271=AF$2)*('Old CCC projections data'!$D$2:$D$271=AF$3)*('Old CCC projections data'!$F$2:$BN$271))*Model!$B$47</f>
        <v>1.1871345029239767E-2</v>
      </c>
      <c r="AG24" s="18" cm="1">
        <f t="array" ref="AG24">SUMPRODUCT(('Old CCC projections data'!$F$1:$BN$1=$B24)*('Old CCC projections data'!$A$2:$A$271=AG$2)*('Old CCC projections data'!$D$2:$D$271=AG$3)*('Old CCC projections data'!$F$2:$BN$271))*Model!$B$47</f>
        <v>190.50023809184441</v>
      </c>
      <c r="AH24" s="18" cm="1">
        <f t="array" ref="AH24">SUMPRODUCT(('Old CCC projections data'!$F$1:$BN$1=$B24)*('Old CCC projections data'!$A$2:$A$271=AH$2)*('Old CCC projections data'!$D$2:$D$271=AH$3)*('Old CCC projections data'!$F$2:$BN$271))*Model!$B$47</f>
        <v>285.75035713776663</v>
      </c>
      <c r="AI24" s="18" cm="1">
        <f t="array" ref="AI24">SUMPRODUCT(('Old CCC projections data'!$F$1:$BN$1=$B24)*('Old CCC projections data'!$A$2:$A$271=AI$2)*('Old CCC projections data'!$D$2:$D$271=AI$3)*('Old CCC projections data'!$F$2:$BN$271))*Model!$B$47</f>
        <v>381.00047618368882</v>
      </c>
      <c r="AJ24" s="18" cm="1">
        <f t="array" ref="AJ24">SUMPRODUCT(('Old CCC projections data'!$F$1:$BN$1=$B24)*('Old CCC projections data'!$A$2:$A$271=AJ$2)*('Old CCC projections data'!$D$2:$D$271=AJ$3)*('Old CCC projections data'!$F$2:$BN$271))*Model!$B$47</f>
        <v>476.25059522961106</v>
      </c>
      <c r="AK24" s="18" cm="1">
        <f t="array" ref="AK24">SUMPRODUCT(('Old CCC projections data'!$F$1:$BN$1=$B24)*('Old CCC projections data'!$A$2:$A$271=AK$2)*('Old CCC projections data'!$D$2:$D$271=AK$3)*('Old CCC projections data'!$F$2:$BN$271))*Model!$B$47</f>
        <v>514.35064284798</v>
      </c>
      <c r="AL24" s="18" cm="1">
        <f t="array" ref="AL24">SUMPRODUCT(('Old CCC projections data'!$F$1:$BN$1=$B24)*('Old CCC projections data'!$A$2:$A$271=AL$2)*('Old CCC projections data'!$D$2:$D$271=AL$3)*('Old CCC projections data'!$F$2:$BN$271))*Model!$B$47</f>
        <v>571.50071427553326</v>
      </c>
      <c r="AM24" s="18" cm="1">
        <f t="array" ref="AM24">SUMPRODUCT(('Old CCC projections data'!$F$1:$BN$1=$B24)*('Old CCC projections data'!$A$2:$A$271=AM$2)*('Old CCC projections data'!$D$2:$D$271=AM$3)*('Old CCC projections data'!$F$2:$BN$271))*Model!$B$47</f>
        <v>95.250119045922204</v>
      </c>
      <c r="AN24" s="18" cm="1">
        <f t="array" ref="AN24">SUMPRODUCT(('Old CCC projections data'!$F$1:$BN$1=$B24)*('Old CCC projections data'!$A$2:$A$271=AN$2)*('Old CCC projections data'!$D$2:$D$271=AN$3)*('Old CCC projections data'!$F$2:$BN$271))*Model!$B$47</f>
        <v>222.97891800516172</v>
      </c>
      <c r="AO24" s="18" cm="1">
        <f t="array" ref="AO24">SUMPRODUCT(('Old CCC projections data'!$F$1:$BN$1=$B24)*('Old CCC projections data'!$A$2:$A$271=AO$2)*('Old CCC projections data'!$D$2:$D$271=AO$3)*('Old CCC projections data'!$F$2:$BN$271))*Model!$B$47</f>
        <v>1.1871345029239767E-2</v>
      </c>
      <c r="AP24" s="18" cm="1">
        <f t="array" ref="AP24">SUMPRODUCT(('Old CCC projections data'!$F$1:$BN$1=$B24)*('Old CCC projections data'!$A$2:$A$271=AP$2)*('Old CCC projections data'!$D$2:$D$271=AP$3)*('Old CCC projections data'!$F$2:$BN$271))*Model!$B$47</f>
        <v>190.50023809184441</v>
      </c>
      <c r="AQ24" s="18" cm="1">
        <f t="array" ref="AQ24">SUMPRODUCT(('Old CCC projections data'!$F$1:$BN$1=$B24)*('Old CCC projections data'!$A$2:$A$271=AQ$2)*('Old CCC projections data'!$D$2:$D$271=AQ$3)*('Old CCC projections data'!$F$2:$BN$271))*Model!$B$47</f>
        <v>285.75035713776663</v>
      </c>
      <c r="AR24" s="18" cm="1">
        <f t="array" ref="AR24">SUMPRODUCT(('Old CCC projections data'!$F$1:$BN$1=$B24)*('Old CCC projections data'!$A$2:$A$271=AR$2)*('Old CCC projections data'!$D$2:$D$271=AR$3)*('Old CCC projections data'!$F$2:$BN$271))*Model!$B$47</f>
        <v>381.00047618368882</v>
      </c>
      <c r="AS24" s="18" cm="1">
        <f t="array" ref="AS24">SUMPRODUCT(('Old CCC projections data'!$F$1:$BN$1=$B24)*('Old CCC projections data'!$A$2:$A$271=AS$2)*('Old CCC projections data'!$D$2:$D$271=AS$3)*('Old CCC projections data'!$F$2:$BN$271))*Model!$B$47</f>
        <v>476.25059522961106</v>
      </c>
      <c r="AT24" s="18" cm="1">
        <f t="array" ref="AT24">SUMPRODUCT(('Old CCC projections data'!$F$1:$BN$1=$B24)*('Old CCC projections data'!$A$2:$A$271=AT$2)*('Old CCC projections data'!$D$2:$D$271=AT$3)*('Old CCC projections data'!$F$2:$BN$271))*Model!$B$47</f>
        <v>571.50071427553326</v>
      </c>
      <c r="AU24" s="18" cm="1">
        <f t="array" ref="AU24">SUMPRODUCT(('Old CCC projections data'!$F$1:$BN$1=$B24)*('Old CCC projections data'!$A$2:$A$271=AU$2)*('Old CCC projections data'!$D$2:$D$271=AU$3)*('Old CCC projections data'!$F$2:$BN$271))*Model!$B$47</f>
        <v>95.250119045922204</v>
      </c>
      <c r="AV24" s="18" cm="1">
        <f t="array" ref="AV24">SUMPRODUCT(('Old CCC projections data'!$F$1:$BN$1=$B24)*('Old CCC projections data'!$A$2:$A$271=AV$2)*('Old CCC projections data'!$D$2:$D$271=AV$3)*('Old CCC projections data'!$F$2:$BN$271))*Model!$B$47</f>
        <v>104.7751309505144</v>
      </c>
      <c r="AW24" s="18" cm="1">
        <f t="array" ref="AW24">SUMPRODUCT(('Old CCC projections data'!$F$1:$BN$1=$B24)*('Old CCC projections data'!$A$2:$A$271=AW$2)*('Old CCC projections data'!$D$2:$D$271=AW$3)*('Old CCC projections data'!$F$2:$BN$271))*Model!$B$47</f>
        <v>222.97891800516172</v>
      </c>
      <c r="AX24" s="18" cm="1">
        <f t="array" ref="AX24">SUMPRODUCT(('Old CCC projections data'!$F$1:$BN$1=$B24)*('Old CCC projections data'!$A$2:$A$271=AX$2)*('Old CCC projections data'!$D$2:$D$271=AX$3)*('Old CCC projections data'!$F$2:$BN$271))*Model!$B$47</f>
        <v>1.1871345029239767E-2</v>
      </c>
      <c r="AY24" s="18">
        <v>50</v>
      </c>
      <c r="AZ24" s="18">
        <v>35</v>
      </c>
      <c r="BA24" s="18">
        <v>70</v>
      </c>
      <c r="BB24" s="18"/>
      <c r="BC24" s="20" cm="1">
        <f t="array" ref="BC24">SUMPRODUCT(('Old CCC projections data'!$F$1:$BN$1=$B24)*('Old CCC projections data'!$A$2:$A$271=BC$2)*('Old CCC projections data'!$D$2:$D$271=BC$3)*('Old CCC projections data'!$F$2:$BN$271))</f>
        <v>32213.96899255387</v>
      </c>
      <c r="BD24" s="20" cm="1">
        <f t="array" ref="BD24">SUMPRODUCT(('Old CCC projections data'!$F$1:$BN$1=$B24)*('Old CCC projections data'!$A$2:$A$271=BD$2)*('Old CCC projections data'!$D$2:$D$271=BD$3)*('Old CCC projections data'!$F$2:$BN$271))</f>
        <v>32513.76865292915</v>
      </c>
      <c r="BE24" s="20"/>
      <c r="BF24" s="20"/>
      <c r="BG24" s="20" cm="1">
        <f t="array" ref="BG24">SUMPRODUCT(('Old CCC projections data'!$F$1:$BN$1=$B24)*('Old CCC projections data'!$A$2:$A$271=BG$2)*('Old CCC projections data'!$D$2:$D$271=BG$3)*('Old CCC projections data'!$F$2:$BN$271))</f>
        <v>19452.40976976942</v>
      </c>
      <c r="BH24" s="20" cm="1">
        <f t="array" ref="BH24">SUMPRODUCT(('Old CCC projections data'!$F$1:$BN$1=$B24)*('Old CCC projections data'!$A$2:$A$271=BH$2)*('Old CCC projections data'!$D$2:$D$271=BH$3)*('Old CCC projections data'!$F$2:$BN$271))</f>
        <v>17868.031631273087</v>
      </c>
      <c r="BI24" s="20" cm="1">
        <f t="array" ref="BI24">SUMPRODUCT(('Old CCC projections data'!$F$1:$BN$1=$B24)*('Old CCC projections data'!$A$2:$A$271=BI$2)*('Old CCC projections data'!$D$2:$D$271=BI$3)*('Old CCC projections data'!$F$2:$BN$271))</f>
        <v>16729.637897576293</v>
      </c>
      <c r="BJ24" s="20" cm="1">
        <f t="array" ref="BJ24">SUMPRODUCT(('Old CCC projections data'!$F$1:$BN$1=$B24)*('Old CCC projections data'!$A$2:$A$271=BJ$2)*('Old CCC projections data'!$D$2:$D$271=BJ$3)*('Old CCC projections data'!$F$2:$BN$271))</f>
        <v>15844.335017702333</v>
      </c>
      <c r="BK24" s="20" cm="1">
        <f t="array" ref="BK24">SUMPRODUCT(('Old CCC projections data'!$F$1:$BN$1=$B24)*('Old CCC projections data'!$A$2:$A$271=BK$2)*('Old CCC projections data'!$D$2:$D$271=BK$3)*('Old CCC projections data'!$F$2:$BN$271))</f>
        <v>15458.292731377856</v>
      </c>
      <c r="BL24" s="20" cm="1">
        <f t="array" ref="BL24">SUMPRODUCT(('Old CCC projections data'!$F$1:$BN$1=$B24)*('Old CCC projections data'!$A$2:$A$271=BL$2)*('Old CCC projections data'!$D$2:$D$271=BL$3)*('Old CCC projections data'!$F$2:$BN$271))</f>
        <v>21983.941009502036</v>
      </c>
      <c r="BM24" s="20" cm="1">
        <f t="array" ref="BM24">SUMPRODUCT(('Old CCC projections data'!$F$1:$BN$1=$B24)*('Old CCC projections data'!$A$2:$A$271=BM$2)*('Old CCC projections data'!$D$2:$D$271=BM$3)*('Old CCC projections data'!$F$2:$BN$271))</f>
        <v>18707.495476896602</v>
      </c>
      <c r="BN24" s="20" cm="1">
        <f t="array" ref="BN24">SUMPRODUCT(('Old CCC projections data'!$F$1:$BN$1=$B24)*('Old CCC projections data'!$A$2:$A$271=BN$2)*('Old CCC projections data'!$D$2:$D$271=BN$3)*('Old CCC projections data'!$F$2:$BN$271))</f>
        <v>23633.677186249501</v>
      </c>
      <c r="BO24" s="20" cm="1">
        <f t="array" ref="BO24">SUMPRODUCT(('Old CCC projections data'!$F$1:$BN$1=$B24)*('Old CCC projections data'!$A$2:$A$271=BO$2)*('Old CCC projections data'!$D$2:$D$271=BO$3)*('Old CCC projections data'!$F$2:$BN$271))</f>
        <v>22679.469558575878</v>
      </c>
      <c r="BP24" s="20" cm="1">
        <f t="array" ref="BP24">SUMPRODUCT(('Old CCC projections data'!$F$1:$BN$1=$B24)*('Old CCC projections data'!$A$2:$A$271=BP$2)*('Old CCC projections data'!$D$2:$D$271=BP$3)*('Old CCC projections data'!$F$2:$BN$271))</f>
        <v>20543.371942479833</v>
      </c>
      <c r="BQ24" s="20" cm="1">
        <f t="array" ref="BQ24">SUMPRODUCT(('Old CCC projections data'!$F$1:$BN$1=$B24)*('Old CCC projections data'!$A$2:$A$271=BQ$2)*('Old CCC projections data'!$D$2:$D$271=BQ$3)*('Old CCC projections data'!$F$2:$BN$271))</f>
        <v>19126.649567506767</v>
      </c>
      <c r="BR24" s="20" cm="1">
        <f t="array" ref="BR24">SUMPRODUCT(('Old CCC projections data'!$F$1:$BN$1=$B24)*('Old CCC projections data'!$A$2:$A$271=BR$2)*('Old CCC projections data'!$D$2:$D$271=BR$3)*('Old CCC projections data'!$F$2:$BN$271))</f>
        <v>18061.406428289392</v>
      </c>
      <c r="BS24" s="20" cm="1">
        <f t="array" ref="BS24">SUMPRODUCT(('Old CCC projections data'!$F$1:$BN$1=$B24)*('Old CCC projections data'!$A$2:$A$271=BS$2)*('Old CCC projections data'!$D$2:$D$271=BS$3)*('Old CCC projections data'!$F$2:$BN$271))</f>
        <v>17442.530169357473</v>
      </c>
      <c r="BT24" s="20" cm="1">
        <f t="array" ref="BT24">SUMPRODUCT(('Old CCC projections data'!$F$1:$BN$1=$B24)*('Old CCC projections data'!$A$2:$A$271=BT$2)*('Old CCC projections data'!$D$2:$D$271=BT$3)*('Old CCC projections data'!$F$2:$BN$271))</f>
        <v>24755.813136699755</v>
      </c>
      <c r="BU24" s="20" cm="1">
        <f t="array" ref="BU24">SUMPRODUCT(('Old CCC projections data'!$F$1:$BN$1=$B24)*('Old CCC projections data'!$A$2:$A$271=BU$2)*('Old CCC projections data'!$D$2:$D$271=BU$3)*('Old CCC projections data'!$F$2:$BN$271))</f>
        <v>21711.568916164902</v>
      </c>
      <c r="BV24" s="20" cm="1">
        <f t="array" ref="BV24">SUMPRODUCT(('Old CCC projections data'!$F$1:$BN$1=$B24)*('Old CCC projections data'!$A$2:$A$271=BV$2)*('Old CCC projections data'!$D$2:$D$271=BV$3)*('Old CCC projections data'!$F$2:$BN$271))</f>
        <v>25296.814018637633</v>
      </c>
      <c r="BW24" s="20" cm="1">
        <f t="array" ref="BW24">SUMPRODUCT(('Old CCC projections data'!$F$1:$BN$1=$B24)*('Old CCC projections data'!$A$2:$A$271=BW$2)*('Old CCC projections data'!$D$2:$D$271=BW$3)*('Old CCC projections data'!$F$2:$BN$271))</f>
        <v>17351.577286428503</v>
      </c>
      <c r="BX24" s="20" cm="1">
        <f t="array" ref="BX24">SUMPRODUCT(('Old CCC projections data'!$F$1:$BN$1=$B24)*('Old CCC projections data'!$A$2:$A$271=BX$2)*('Old CCC projections data'!$D$2:$D$271=BX$3)*('Old CCC projections data'!$F$2:$BN$271))</f>
        <v>16288.411889084306</v>
      </c>
      <c r="BY24" s="20" cm="1">
        <f t="array" ref="BY24">SUMPRODUCT(('Old CCC projections data'!$F$1:$BN$1=$B24)*('Old CCC projections data'!$A$2:$A$271=BY$2)*('Old CCC projections data'!$D$2:$D$271=BY$3)*('Old CCC projections data'!$F$2:$BN$271))</f>
        <v>15199.198142062081</v>
      </c>
      <c r="BZ24" s="20" cm="1">
        <f t="array" ref="BZ24">SUMPRODUCT(('Old CCC projections data'!$F$1:$BN$1=$B24)*('Old CCC projections data'!$A$2:$A$271=BZ$2)*('Old CCC projections data'!$D$2:$D$271=BZ$3)*('Old CCC projections data'!$F$2:$BN$271))</f>
        <v>14787.058566299929</v>
      </c>
      <c r="CA24" s="20" cm="1">
        <f t="array" ref="CA24">SUMPRODUCT(('Old CCC projections data'!$F$1:$BN$1=$B24)*('Old CCC projections data'!$A$2:$A$271=CA$2)*('Old CCC projections data'!$D$2:$D$271=CA$3)*('Old CCC projections data'!$F$2:$BN$271))</f>
        <v>14681.187935170085</v>
      </c>
      <c r="CB24" s="20" cm="1">
        <f t="array" ref="CB24">SUMPRODUCT(('Old CCC projections data'!$F$1:$BN$1=$B24)*('Old CCC projections data'!$A$2:$A$271=CB$2)*('Old CCC projections data'!$D$2:$D$271=CB$3)*('Old CCC projections data'!$F$2:$BN$271))</f>
        <v>19267.921472580427</v>
      </c>
      <c r="CC24" s="20" cm="1">
        <f t="array" ref="CC24">SUMPRODUCT(('Old CCC projections data'!$F$1:$BN$1=$B24)*('Old CCC projections data'!$A$2:$A$271=CC$2)*('Old CCC projections data'!$D$2:$D$271=CC$3)*('Old CCC projections data'!$F$2:$BN$271))</f>
        <v>19112.067408187861</v>
      </c>
      <c r="CD24" s="20" cm="1">
        <f t="array" ref="CD24">SUMPRODUCT(('Old CCC projections data'!$F$1:$BN$1=$B24)*('Old CCC projections data'!$A$2:$A$271=CD$2)*('Old CCC projections data'!$D$2:$D$271=CD$3)*('Old CCC projections data'!$F$2:$BN$271))</f>
        <v>16877.214353273033</v>
      </c>
      <c r="CE24" s="20" cm="1">
        <f t="array" ref="CE24">SUMPRODUCT(('Old CCC projections data'!$F$1:$BN$1=$B24)*('Old CCC projections data'!$A$2:$A$271=CE$2)*('Old CCC projections data'!$D$2:$D$271=CE$3)*('Old CCC projections data'!$F$2:$BN$271))</f>
        <v>21028.063404229029</v>
      </c>
      <c r="CF24" s="20" cm="1">
        <f t="array" ref="CF24">SUMPRODUCT(('Old CCC projections data'!$F$1:$BN$1=$B24)*('Old CCC projections data'!$A$2:$A$271=CF$2)*('Old CCC projections data'!$D$2:$D$271=CF$3)*('Old CCC projections data'!$F$2:$BN$271))</f>
        <v>25056.524466932275</v>
      </c>
      <c r="CG24" s="20" cm="1">
        <f t="array" ref="CG24">SUMPRODUCT(('Old CCC projections data'!$F$1:$BN$1=$B24)*('Old CCC projections data'!$A$2:$A$271=CG$2)*('Old CCC projections data'!$D$2:$D$271=CG$3)*('Old CCC projections data'!$F$2:$BN$271))</f>
        <v>23127.706173002985</v>
      </c>
      <c r="CH24" s="20" cm="1">
        <f t="array" ref="CH24">SUMPRODUCT(('Old CCC projections data'!$F$1:$BN$1=$B24)*('Old CCC projections data'!$A$2:$A$271=CH$2)*('Old CCC projections data'!$D$2:$D$271=CH$3)*('Old CCC projections data'!$F$2:$BN$271))</f>
        <v>21718.987575701609</v>
      </c>
      <c r="CI24" s="20" cm="1">
        <f t="array" ref="CI24">SUMPRODUCT(('Old CCC projections data'!$F$1:$BN$1=$B24)*('Old CCC projections data'!$A$2:$A$271=CI$2)*('Old CCC projections data'!$D$2:$D$271=CI$3)*('Old CCC projections data'!$F$2:$BN$271))</f>
        <v>21156.050197954133</v>
      </c>
      <c r="CJ24" s="20" cm="1">
        <f t="array" ref="CJ24">SUMPRODUCT(('Old CCC projections data'!$F$1:$BN$1=$B24)*('Old CCC projections data'!$A$2:$A$271=CJ$2)*('Old CCC projections data'!$D$2:$D$271=CJ$3)*('Old CCC projections data'!$F$2:$BN$271))</f>
        <v>21094.781603918349</v>
      </c>
      <c r="CK24" s="20" cm="1">
        <f t="array" ref="CK24">SUMPRODUCT(('Old CCC projections data'!$F$1:$BN$1=$B24)*('Old CCC projections data'!$A$2:$A$271=CK$2)*('Old CCC projections data'!$D$2:$D$271=CK$3)*('Old CCC projections data'!$F$2:$BN$271))</f>
        <v>21006.309408491652</v>
      </c>
      <c r="CL24" s="20" cm="1">
        <f t="array" ref="CL24">SUMPRODUCT(('Old CCC projections data'!$F$1:$BN$1=$B24)*('Old CCC projections data'!$A$2:$A$271=CL$2)*('Old CCC projections data'!$D$2:$D$271=CL$3)*('Old CCC projections data'!$F$2:$BN$271))</f>
        <v>27033.726243892143</v>
      </c>
      <c r="CM24" s="20" cm="1">
        <f t="array" ref="CM24">SUMPRODUCT(('Old CCC projections data'!$F$1:$BN$1=$B24)*('Old CCC projections data'!$A$2:$A$271=CM$2)*('Old CCC projections data'!$D$2:$D$271=CM$3)*('Old CCC projections data'!$F$2:$BN$271))</f>
        <v>24137.265705541206</v>
      </c>
      <c r="CN24" s="20" cm="1">
        <f t="array" ref="CN24">SUMPRODUCT(('Old CCC projections data'!$F$1:$BN$1=$B24)*('Old CCC projections data'!$A$2:$A$271=CN$2)*('Old CCC projections data'!$D$2:$D$271=CN$3)*('Old CCC projections data'!$F$2:$BN$271))</f>
        <v>33101.555213306943</v>
      </c>
      <c r="CO24" s="20" cm="1">
        <f t="array" ref="CO24">SUMPRODUCT(('Old CCC projections data'!$F$1:$BN$1=$B24)*('Old CCC projections data'!$A$2:$A$271=CO$2)*('Old CCC projections data'!$D$2:$D$271=CO$3)*('Old CCC projections data'!$F$2:$BN$271))</f>
        <v>17193.872478072219</v>
      </c>
      <c r="CP24" s="20" cm="1">
        <f t="array" ref="CP24">SUMPRODUCT(('Old CCC projections data'!$F$1:$BN$1=$B24)*('Old CCC projections data'!$A$2:$A$271=CP$2)*('Old CCC projections data'!$D$2:$D$271=CP$3)*('Old CCC projections data'!$F$2:$BN$271))</f>
        <v>15573.924158721422</v>
      </c>
      <c r="CQ24" s="20" cm="1">
        <f t="array" ref="CQ24">SUMPRODUCT(('Old CCC projections data'!$F$1:$BN$1=$B24)*('Old CCC projections data'!$A$2:$A$271=CQ$2)*('Old CCC projections data'!$D$2:$D$271=CQ$3)*('Old CCC projections data'!$F$2:$BN$271))</f>
        <v>14442.712729358709</v>
      </c>
      <c r="CR24" s="20" cm="1">
        <f t="array" ref="CR24">SUMPRODUCT(('Old CCC projections data'!$F$1:$BN$1=$B24)*('Old CCC projections data'!$A$2:$A$271=CR$2)*('Old CCC projections data'!$D$2:$D$271=CR$3)*('Old CCC projections data'!$F$2:$BN$271))</f>
        <v>13513.583454096197</v>
      </c>
      <c r="CS24" s="20" cm="1">
        <f t="array" ref="CS24">SUMPRODUCT(('Old CCC projections data'!$F$1:$BN$1=$B24)*('Old CCC projections data'!$A$2:$A$271=CS$2)*('Old CCC projections data'!$D$2:$D$271=CS$3)*('Old CCC projections data'!$F$2:$BN$271))</f>
        <v>13190.000682149643</v>
      </c>
      <c r="CT24" s="20" cm="1">
        <f t="array" ref="CT24">SUMPRODUCT(('Old CCC projections data'!$F$1:$BN$1=$B24)*('Old CCC projections data'!$A$2:$A$271=CT$2)*('Old CCC projections data'!$D$2:$D$271=CT$3)*('Old CCC projections data'!$F$2:$BN$271))</f>
        <v>19804.69272467271</v>
      </c>
      <c r="CU24" s="20" cm="1">
        <f t="array" ref="CU24">SUMPRODUCT(('Old CCC projections data'!$F$1:$BN$1=$B24)*('Old CCC projections data'!$A$2:$A$271=CU$2)*('Old CCC projections data'!$D$2:$D$271=CU$3)*('Old CCC projections data'!$F$2:$BN$271))</f>
        <v>19546.215700233577</v>
      </c>
      <c r="CV24" s="20" cm="1">
        <f t="array" ref="CV24">SUMPRODUCT(('Old CCC projections data'!$F$1:$BN$1=$B24)*('Old CCC projections data'!$A$2:$A$271=CV$2)*('Old CCC projections data'!$D$2:$D$271=CV$3)*('Old CCC projections data'!$F$2:$BN$271))</f>
        <v>16490.435240624371</v>
      </c>
      <c r="CW24" s="20" cm="1">
        <f t="array" ref="CW24">SUMPRODUCT(('Old CCC projections data'!$F$1:$BN$1=$B24)*('Old CCC projections data'!$A$2:$A$271=CW$2)*('Old CCC projections data'!$D$2:$D$271=CW$3)*('Old CCC projections data'!$F$2:$BN$271))</f>
        <v>21338.900684951848</v>
      </c>
      <c r="CX24" s="20">
        <f t="shared" si="19"/>
        <v>4926.1817093528989</v>
      </c>
      <c r="CY24" s="20" t="str">
        <f t="shared" si="29"/>
        <v>Demo path - C price $100 3%</v>
      </c>
      <c r="CZ24" s="3">
        <f t="shared" si="30"/>
        <v>2042</v>
      </c>
      <c r="DA24" s="18">
        <f t="shared" si="31"/>
        <v>0</v>
      </c>
      <c r="DB24" s="18">
        <f ca="1">(H27+IF($DB$3&gt;0,NPV($DB$2,H28:OFFSET(H27,$DB$3,0)),0))/($DB$3+1)</f>
        <v>170.3166166385893</v>
      </c>
      <c r="DC24" s="18">
        <f t="shared" ca="1" si="20"/>
        <v>70.316616638589295</v>
      </c>
      <c r="DD24" s="18">
        <f t="shared" si="32"/>
        <v>100</v>
      </c>
      <c r="DE24" s="20">
        <f t="shared" si="21"/>
        <v>20178.380919926673</v>
      </c>
      <c r="DF24" s="20" cm="1">
        <f t="array" ref="DF24">SUMPRODUCT(($BG$2:$BM$2=CY24)*($B$5:$B$35=CZ24)*($BG$5:$BM$35))</f>
        <v>15319.053840433871</v>
      </c>
      <c r="DG24" s="20">
        <f t="shared" si="16"/>
        <v>4859.3270794928012</v>
      </c>
      <c r="DH24" s="20" cm="1">
        <f t="array" ref="DH24">IF(CZ24=2023,SUMPRODUCT(($B$5:$B$35=CZ24-1)*($BN$5:$BN$35))-SUMPRODUCT(($BG$2:$BM$2=CY24)*($B$5:$B$35=CZ24-1)*($BG$5:$BM$35)),DG23)</f>
        <v>4644.3188702465632</v>
      </c>
      <c r="DI24" s="18">
        <f t="shared" ca="1" si="17"/>
        <v>170.3166166385893</v>
      </c>
      <c r="DJ24" s="89">
        <f t="shared" si="22"/>
        <v>8.488655246298217</v>
      </c>
      <c r="DK24" s="89">
        <f t="shared" si="23"/>
        <v>8.4434000033043883</v>
      </c>
      <c r="DL24" s="89">
        <f t="shared" ca="1" si="24"/>
        <v>5.1376591556544122</v>
      </c>
      <c r="DM24" s="20">
        <f t="shared" ca="1" si="25"/>
        <v>2854.2922788336277</v>
      </c>
      <c r="DN24" s="20">
        <f t="shared" ca="1" si="26"/>
        <v>4346.5835318691015</v>
      </c>
      <c r="DO24" s="20">
        <f t="shared" ca="1" si="27"/>
        <v>3600.4379053513649</v>
      </c>
      <c r="DP24" s="113"/>
      <c r="DQ24" s="2"/>
      <c r="DR24" s="3"/>
    </row>
    <row r="25" spans="1:131" ht="15.75" thickBot="1" x14ac:dyDescent="0.3">
      <c r="A25">
        <v>0.5</v>
      </c>
      <c r="B25">
        <f t="shared" si="28"/>
        <v>2040</v>
      </c>
      <c r="C25" s="190">
        <f>IF(C24*(1+A25*Model!$B$19*IF(Model!$B$28=0,1,((Model!$B$28-B25)/(Model!$B$28-$B$9))))&gt;Model!$B$44,C24*(1+A25*Model!$B$19*IF(Model!$B$28=0,1,((Model!$B$28-B25)/(Model!$B$28-$B$9)))),Model!$B$44)</f>
        <v>64.464015722213858</v>
      </c>
      <c r="D25" s="18" cm="1">
        <f t="array" ref="D25">SUMPRODUCT(('Old CCC projections data'!$F$1:$BN$1=$B25)*('Old CCC projections data'!$A$2:$A$271=D$2)*('Old CCC projections data'!$D$2:$D$271=D$3)*('Old CCC projections data'!$F$2:$BN$271))*Model!$B$47</f>
        <v>41.549707602339183</v>
      </c>
      <c r="E25" s="18" cm="1">
        <f t="array" ref="E25">SUMPRODUCT(('Old CCC projections data'!$F$1:$BN$1=$B25)*('Old CCC projections data'!$A$2:$A$271=E$2)*('Old CCC projections data'!$D$2:$D$271=E$3)*('Old CCC projections data'!$F$2:$BN$271))*Model!$B$47</f>
        <v>1.1871345029239767E-2</v>
      </c>
      <c r="F25" s="18"/>
      <c r="G25" s="18"/>
      <c r="H25" s="18" cm="1">
        <f t="array" ref="H25">SUMPRODUCT(('Old CCC projections data'!$F$1:$BN$1=$B25)*('Old CCC projections data'!$A$2:$A$271=H$2)*('Old CCC projections data'!$D$2:$D$271=H$3)*('Old CCC projections data'!$F$2:$BN$271))*Model!$B$47</f>
        <v>196.21524523459973</v>
      </c>
      <c r="I25" s="18" cm="1">
        <f t="array" ref="I25">SUMPRODUCT(('Old CCC projections data'!$F$1:$BN$1=$B25)*('Old CCC projections data'!$A$2:$A$271=I$2)*('Old CCC projections data'!$D$2:$D$271=I$3)*('Old CCC projections data'!$F$2:$BN$271))*Model!$B$47</f>
        <v>294.32286785189962</v>
      </c>
      <c r="J25" s="18" cm="1">
        <f t="array" ref="J25">SUMPRODUCT(('Old CCC projections data'!$F$1:$BN$1=$B25)*('Old CCC projections data'!$A$2:$A$271=J$2)*('Old CCC projections data'!$D$2:$D$271=J$3)*('Old CCC projections data'!$F$2:$BN$271))*Model!$B$47</f>
        <v>392.43049046919947</v>
      </c>
      <c r="K25" s="18" cm="1">
        <f t="array" ref="K25">SUMPRODUCT(('Old CCC projections data'!$F$1:$BN$1=$B25)*('Old CCC projections data'!$A$2:$A$271=K$2)*('Old CCC projections data'!$D$2:$D$271=K$3)*('Old CCC projections data'!$F$2:$BN$271))*Model!$B$47</f>
        <v>490.53811308649944</v>
      </c>
      <c r="L25" s="18" cm="1">
        <f t="array" ref="L25">SUMPRODUCT(('Old CCC projections data'!$F$1:$BN$1=$B25)*('Old CCC projections data'!$A$2:$A$271=L$2)*('Old CCC projections data'!$D$2:$D$271=L$3)*('Old CCC projections data'!$F$2:$BN$271))*Model!$B$47</f>
        <v>588.64573570379923</v>
      </c>
      <c r="M25" s="18" cm="1">
        <f t="array" ref="M25">SUMPRODUCT(('Old CCC projections data'!$F$1:$BN$1=$B25)*('Old CCC projections data'!$A$2:$A$271=M$2)*('Old CCC projections data'!$D$2:$D$271=M$3)*('Old CCC projections data'!$F$2:$BN$271))*Model!$B$47</f>
        <v>98.107622617299867</v>
      </c>
      <c r="N25" s="189" cm="1">
        <f t="array" ref="N25">SUMPRODUCT(('Old CCC projections data'!$F$1:$BN$1=$B25)*('Old CCC projections data'!$A$2:$A$271=N$2)*('Old CCC projections data'!$D$2:$D$271=N$3)*('Old CCC projections data'!$F$2:$BN$271))*Model!$B$47</f>
        <v>229.66828554531656</v>
      </c>
      <c r="O25" s="18" cm="1">
        <f t="array" ref="O25">SUMPRODUCT(('Old CCC projections data'!$F$1:$BN$1=$B25)*('Old CCC projections data'!$A$2:$A$271=O$2)*('Old CCC projections data'!$D$2:$D$271=O$3)*('Old CCC projections data'!$F$2:$BN$271))*Model!$B$47</f>
        <v>1.1871345029239767E-2</v>
      </c>
      <c r="P25" s="18" cm="1">
        <f t="array" ref="P25">SUMPRODUCT(('Old CCC projections data'!$F$1:$BN$1=$B25)*('Old CCC projections data'!$A$2:$A$271=P$2)*('Old CCC projections data'!$D$2:$D$271=P$3)*('Old CCC projections data'!$F$2:$BN$271))*Model!$B$47</f>
        <v>196.21524523459973</v>
      </c>
      <c r="Q25" s="18" cm="1">
        <f t="array" ref="Q25">SUMPRODUCT(('Old CCC projections data'!$F$1:$BN$1=$B25)*('Old CCC projections data'!$A$2:$A$271=Q$2)*('Old CCC projections data'!$D$2:$D$271=Q$3)*('Old CCC projections data'!$F$2:$BN$271))*Model!$B$47</f>
        <v>294.32286785189962</v>
      </c>
      <c r="R25" s="18" cm="1">
        <f t="array" ref="R25">SUMPRODUCT(('Old CCC projections data'!$F$1:$BN$1=$B25)*('Old CCC projections data'!$A$2:$A$271=R$2)*('Old CCC projections data'!$D$2:$D$271=R$3)*('Old CCC projections data'!$F$2:$BN$271))*Model!$B$47</f>
        <v>392.43049046919947</v>
      </c>
      <c r="S25" s="18" cm="1">
        <f t="array" ref="S25">SUMPRODUCT(('Old CCC projections data'!$F$1:$BN$1=$B25)*('Old CCC projections data'!$A$2:$A$271=S$2)*('Old CCC projections data'!$D$2:$D$271=S$3)*('Old CCC projections data'!$F$2:$BN$271))*Model!$B$47</f>
        <v>490.53811308649944</v>
      </c>
      <c r="T25" s="18" cm="1">
        <f t="array" ref="T25">SUMPRODUCT(('Old CCC projections data'!$F$1:$BN$1=$B25)*('Old CCC projections data'!$A$2:$A$271=T$2)*('Old CCC projections data'!$D$2:$D$271=T$3)*('Old CCC projections data'!$F$2:$BN$271))*Model!$B$47</f>
        <v>588.64573570379923</v>
      </c>
      <c r="U25" s="18" cm="1">
        <f t="array" ref="U25">SUMPRODUCT(('Old CCC projections data'!$F$1:$BN$1=$B25)*('Old CCC projections data'!$A$2:$A$271=U$2)*('Old CCC projections data'!$D$2:$D$271=U$3)*('Old CCC projections data'!$F$2:$BN$271))*Model!$B$47</f>
        <v>98.107622617299867</v>
      </c>
      <c r="V25" s="18" cm="1">
        <f t="array" ref="V25">SUMPRODUCT(('Old CCC projections data'!$F$1:$BN$1=$B25)*('Old CCC projections data'!$A$2:$A$271=V$2)*('Old CCC projections data'!$D$2:$D$271=V$3)*('Old CCC projections data'!$F$2:$BN$271))*Model!$B$47</f>
        <v>229.66828554531656</v>
      </c>
      <c r="W25" s="18" cm="1">
        <f t="array" ref="W25">SUMPRODUCT(('Old CCC projections data'!$F$1:$BN$1=$B25)*('Old CCC projections data'!$A$2:$A$271=W$2)*('Old CCC projections data'!$D$2:$D$271=W$3)*('Old CCC projections data'!$F$2:$BN$271))*Model!$B$47</f>
        <v>1.1871345029239767E-2</v>
      </c>
      <c r="X25" s="18" cm="1">
        <f t="array" ref="X25">SUMPRODUCT(('Old CCC projections data'!$F$1:$BN$1=$B25)*('Old CCC projections data'!$A$2:$A$271=X$2)*('Old CCC projections data'!$D$2:$D$271=X$3)*('Old CCC projections data'!$F$2:$BN$271))*Model!$B$47</f>
        <v>196.21524523459973</v>
      </c>
      <c r="Y25" s="18" cm="1">
        <f t="array" ref="Y25">SUMPRODUCT(('Old CCC projections data'!$F$1:$BN$1=$B25)*('Old CCC projections data'!$A$2:$A$271=Y$2)*('Old CCC projections data'!$D$2:$D$271=Y$3)*('Old CCC projections data'!$F$2:$BN$271))*Model!$B$47</f>
        <v>294.32286785189962</v>
      </c>
      <c r="Z25" s="18" cm="1">
        <f t="array" ref="Z25">SUMPRODUCT(('Old CCC projections data'!$F$1:$BN$1=$B25)*('Old CCC projections data'!$A$2:$A$271=Z$2)*('Old CCC projections data'!$D$2:$D$271=Z$3)*('Old CCC projections data'!$F$2:$BN$271))*Model!$B$47</f>
        <v>392.43049046919947</v>
      </c>
      <c r="AA25" s="18" cm="1">
        <f t="array" ref="AA25">SUMPRODUCT(('Old CCC projections data'!$F$1:$BN$1=$B25)*('Old CCC projections data'!$A$2:$A$271=AA$2)*('Old CCC projections data'!$D$2:$D$271=AA$3)*('Old CCC projections data'!$F$2:$BN$271))*Model!$B$47</f>
        <v>490.53811308649944</v>
      </c>
      <c r="AB25" s="18" cm="1">
        <f t="array" ref="AB25">SUMPRODUCT(('Old CCC projections data'!$F$1:$BN$1=$B25)*('Old CCC projections data'!$A$2:$A$271=AB$2)*('Old CCC projections data'!$D$2:$D$271=AB$3)*('Old CCC projections data'!$F$2:$BN$271))*Model!$B$47</f>
        <v>588.64573570379923</v>
      </c>
      <c r="AC25" s="18" cm="1">
        <f t="array" ref="AC25">SUMPRODUCT(('Old CCC projections data'!$F$1:$BN$1=$B25)*('Old CCC projections data'!$A$2:$A$271=AC$2)*('Old CCC projections data'!$D$2:$D$271=AC$3)*('Old CCC projections data'!$F$2:$BN$271))*Model!$B$47</f>
        <v>98.107622617299867</v>
      </c>
      <c r="AD25" s="18" cm="1">
        <f t="array" ref="AD25">SUMPRODUCT(('Old CCC projections data'!$F$1:$BN$1=$B25)*('Old CCC projections data'!$A$2:$A$271=AD$2)*('Old CCC projections data'!$D$2:$D$271=AD$3)*('Old CCC projections data'!$F$2:$BN$271))*Model!$B$47</f>
        <v>107.91838487902983</v>
      </c>
      <c r="AE25" s="18" cm="1">
        <f t="array" ref="AE25">SUMPRODUCT(('Old CCC projections data'!$F$1:$BN$1=$B25)*('Old CCC projections data'!$A$2:$A$271=AE$2)*('Old CCC projections data'!$D$2:$D$271=AE$3)*('Old CCC projections data'!$F$2:$BN$271))*Model!$B$47</f>
        <v>229.66828554531656</v>
      </c>
      <c r="AF25" s="18" cm="1">
        <f t="array" ref="AF25">SUMPRODUCT(('Old CCC projections data'!$F$1:$BN$1=$B25)*('Old CCC projections data'!$A$2:$A$271=AF$2)*('Old CCC projections data'!$D$2:$D$271=AF$3)*('Old CCC projections data'!$F$2:$BN$271))*Model!$B$47</f>
        <v>1.1871345029239767E-2</v>
      </c>
      <c r="AG25" s="18" cm="1">
        <f t="array" ref="AG25">SUMPRODUCT(('Old CCC projections data'!$F$1:$BN$1=$B25)*('Old CCC projections data'!$A$2:$A$271=AG$2)*('Old CCC projections data'!$D$2:$D$271=AG$3)*('Old CCC projections data'!$F$2:$BN$271))*Model!$B$47</f>
        <v>196.21524523459973</v>
      </c>
      <c r="AH25" s="18" cm="1">
        <f t="array" ref="AH25">SUMPRODUCT(('Old CCC projections data'!$F$1:$BN$1=$B25)*('Old CCC projections data'!$A$2:$A$271=AH$2)*('Old CCC projections data'!$D$2:$D$271=AH$3)*('Old CCC projections data'!$F$2:$BN$271))*Model!$B$47</f>
        <v>294.32286785189962</v>
      </c>
      <c r="AI25" s="18" cm="1">
        <f t="array" ref="AI25">SUMPRODUCT(('Old CCC projections data'!$F$1:$BN$1=$B25)*('Old CCC projections data'!$A$2:$A$271=AI$2)*('Old CCC projections data'!$D$2:$D$271=AI$3)*('Old CCC projections data'!$F$2:$BN$271))*Model!$B$47</f>
        <v>392.43049046919947</v>
      </c>
      <c r="AJ25" s="18" cm="1">
        <f t="array" ref="AJ25">SUMPRODUCT(('Old CCC projections data'!$F$1:$BN$1=$B25)*('Old CCC projections data'!$A$2:$A$271=AJ$2)*('Old CCC projections data'!$D$2:$D$271=AJ$3)*('Old CCC projections data'!$F$2:$BN$271))*Model!$B$47</f>
        <v>490.53811308649944</v>
      </c>
      <c r="AK25" s="18" cm="1">
        <f t="array" ref="AK25">SUMPRODUCT(('Old CCC projections data'!$F$1:$BN$1=$B25)*('Old CCC projections data'!$A$2:$A$271=AK$2)*('Old CCC projections data'!$D$2:$D$271=AK$3)*('Old CCC projections data'!$F$2:$BN$271))*Model!$B$47</f>
        <v>529.78116213341946</v>
      </c>
      <c r="AL25" s="18" cm="1">
        <f t="array" ref="AL25">SUMPRODUCT(('Old CCC projections data'!$F$1:$BN$1=$B25)*('Old CCC projections data'!$A$2:$A$271=AL$2)*('Old CCC projections data'!$D$2:$D$271=AL$3)*('Old CCC projections data'!$F$2:$BN$271))*Model!$B$47</f>
        <v>588.64573570379923</v>
      </c>
      <c r="AM25" s="18" cm="1">
        <f t="array" ref="AM25">SUMPRODUCT(('Old CCC projections data'!$F$1:$BN$1=$B25)*('Old CCC projections data'!$A$2:$A$271=AM$2)*('Old CCC projections data'!$D$2:$D$271=AM$3)*('Old CCC projections data'!$F$2:$BN$271))*Model!$B$47</f>
        <v>98.107622617299867</v>
      </c>
      <c r="AN25" s="18" cm="1">
        <f t="array" ref="AN25">SUMPRODUCT(('Old CCC projections data'!$F$1:$BN$1=$B25)*('Old CCC projections data'!$A$2:$A$271=AN$2)*('Old CCC projections data'!$D$2:$D$271=AN$3)*('Old CCC projections data'!$F$2:$BN$271))*Model!$B$47</f>
        <v>229.66828554531656</v>
      </c>
      <c r="AO25" s="18" cm="1">
        <f t="array" ref="AO25">SUMPRODUCT(('Old CCC projections data'!$F$1:$BN$1=$B25)*('Old CCC projections data'!$A$2:$A$271=AO$2)*('Old CCC projections data'!$D$2:$D$271=AO$3)*('Old CCC projections data'!$F$2:$BN$271))*Model!$B$47</f>
        <v>1.1871345029239767E-2</v>
      </c>
      <c r="AP25" s="18" cm="1">
        <f t="array" ref="AP25">SUMPRODUCT(('Old CCC projections data'!$F$1:$BN$1=$B25)*('Old CCC projections data'!$A$2:$A$271=AP$2)*('Old CCC projections data'!$D$2:$D$271=AP$3)*('Old CCC projections data'!$F$2:$BN$271))*Model!$B$47</f>
        <v>196.21524523459973</v>
      </c>
      <c r="AQ25" s="18" cm="1">
        <f t="array" ref="AQ25">SUMPRODUCT(('Old CCC projections data'!$F$1:$BN$1=$B25)*('Old CCC projections data'!$A$2:$A$271=AQ$2)*('Old CCC projections data'!$D$2:$D$271=AQ$3)*('Old CCC projections data'!$F$2:$BN$271))*Model!$B$47</f>
        <v>294.32286785189962</v>
      </c>
      <c r="AR25" s="18" cm="1">
        <f t="array" ref="AR25">SUMPRODUCT(('Old CCC projections data'!$F$1:$BN$1=$B25)*('Old CCC projections data'!$A$2:$A$271=AR$2)*('Old CCC projections data'!$D$2:$D$271=AR$3)*('Old CCC projections data'!$F$2:$BN$271))*Model!$B$47</f>
        <v>392.43049046919947</v>
      </c>
      <c r="AS25" s="18" cm="1">
        <f t="array" ref="AS25">SUMPRODUCT(('Old CCC projections data'!$F$1:$BN$1=$B25)*('Old CCC projections data'!$A$2:$A$271=AS$2)*('Old CCC projections data'!$D$2:$D$271=AS$3)*('Old CCC projections data'!$F$2:$BN$271))*Model!$B$47</f>
        <v>490.53811308649944</v>
      </c>
      <c r="AT25" s="18" cm="1">
        <f t="array" ref="AT25">SUMPRODUCT(('Old CCC projections data'!$F$1:$BN$1=$B25)*('Old CCC projections data'!$A$2:$A$271=AT$2)*('Old CCC projections data'!$D$2:$D$271=AT$3)*('Old CCC projections data'!$F$2:$BN$271))*Model!$B$47</f>
        <v>588.64573570379923</v>
      </c>
      <c r="AU25" s="18" cm="1">
        <f t="array" ref="AU25">SUMPRODUCT(('Old CCC projections data'!$F$1:$BN$1=$B25)*('Old CCC projections data'!$A$2:$A$271=AU$2)*('Old CCC projections data'!$D$2:$D$271=AU$3)*('Old CCC projections data'!$F$2:$BN$271))*Model!$B$47</f>
        <v>98.107622617299867</v>
      </c>
      <c r="AV25" s="18" cm="1">
        <f t="array" ref="AV25">SUMPRODUCT(('Old CCC projections data'!$F$1:$BN$1=$B25)*('Old CCC projections data'!$A$2:$A$271=AV$2)*('Old CCC projections data'!$D$2:$D$271=AV$3)*('Old CCC projections data'!$F$2:$BN$271))*Model!$B$47</f>
        <v>107.91838487902983</v>
      </c>
      <c r="AW25" s="18" cm="1">
        <f t="array" ref="AW25">SUMPRODUCT(('Old CCC projections data'!$F$1:$BN$1=$B25)*('Old CCC projections data'!$A$2:$A$271=AW$2)*('Old CCC projections data'!$D$2:$D$271=AW$3)*('Old CCC projections data'!$F$2:$BN$271))*Model!$B$47</f>
        <v>229.66828554531656</v>
      </c>
      <c r="AX25" s="18" cm="1">
        <f t="array" ref="AX25">SUMPRODUCT(('Old CCC projections data'!$F$1:$BN$1=$B25)*('Old CCC projections data'!$A$2:$A$271=AX$2)*('Old CCC projections data'!$D$2:$D$271=AX$3)*('Old CCC projections data'!$F$2:$BN$271))*Model!$B$47</f>
        <v>1.1871345029239767E-2</v>
      </c>
      <c r="AY25" s="18">
        <v>50</v>
      </c>
      <c r="AZ25" s="18">
        <v>35</v>
      </c>
      <c r="BA25" s="18">
        <v>70</v>
      </c>
      <c r="BB25" s="18"/>
      <c r="BC25" s="20" cm="1">
        <f t="array" ref="BC25">SUMPRODUCT(('Old CCC projections data'!$F$1:$BN$1=$B25)*('Old CCC projections data'!$A$2:$A$271=BC$2)*('Old CCC projections data'!$D$2:$D$271=BC$3)*('Old CCC projections data'!$F$2:$BN$271))</f>
        <v>30842.559399565223</v>
      </c>
      <c r="BD25" s="20" cm="1">
        <f t="array" ref="BD25">SUMPRODUCT(('Old CCC projections data'!$F$1:$BN$1=$B25)*('Old CCC projections data'!$A$2:$A$271=BD$2)*('Old CCC projections data'!$D$2:$D$271=BD$3)*('Old CCC projections data'!$F$2:$BN$271))</f>
        <v>31199.393159965352</v>
      </c>
      <c r="BE25" s="20"/>
      <c r="BF25" s="20"/>
      <c r="BG25" s="20" cm="1">
        <f t="array" ref="BG25">SUMPRODUCT(('Old CCC projections data'!$F$1:$BN$1=$B25)*('Old CCC projections data'!$A$2:$A$271=BG$2)*('Old CCC projections data'!$D$2:$D$271=BG$3)*('Old CCC projections data'!$F$2:$BN$271))</f>
        <v>17437.655905132771</v>
      </c>
      <c r="BH25" s="20" cm="1">
        <f t="array" ref="BH25">SUMPRODUCT(('Old CCC projections data'!$F$1:$BN$1=$B25)*('Old CCC projections data'!$A$2:$A$271=BH$2)*('Old CCC projections data'!$D$2:$D$271=BH$3)*('Old CCC projections data'!$F$2:$BN$271))</f>
        <v>16013.68072781664</v>
      </c>
      <c r="BI25" s="20" cm="1">
        <f t="array" ref="BI25">SUMPRODUCT(('Old CCC projections data'!$F$1:$BN$1=$B25)*('Old CCC projections data'!$A$2:$A$271=BI$2)*('Old CCC projections data'!$D$2:$D$271=BI$3)*('Old CCC projections data'!$F$2:$BN$271))</f>
        <v>14808.778492472065</v>
      </c>
      <c r="BJ25" s="20" cm="1">
        <f t="array" ref="BJ25">SUMPRODUCT(('Old CCC projections data'!$F$1:$BN$1=$B25)*('Old CCC projections data'!$A$2:$A$271=BJ$2)*('Old CCC projections data'!$D$2:$D$271=BJ$3)*('Old CCC projections data'!$F$2:$BN$271))</f>
        <v>14064.776721357572</v>
      </c>
      <c r="BK25" s="20" cm="1">
        <f t="array" ref="BK25">SUMPRODUCT(('Old CCC projections data'!$F$1:$BN$1=$B25)*('Old CCC projections data'!$A$2:$A$271=BK$2)*('Old CCC projections data'!$D$2:$D$271=BK$3)*('Old CCC projections data'!$F$2:$BN$271))</f>
        <v>13691.179291679502</v>
      </c>
      <c r="BL25" s="20" cm="1">
        <f t="array" ref="BL25">SUMPRODUCT(('Old CCC projections data'!$F$1:$BN$1=$B25)*('Old CCC projections data'!$A$2:$A$271=BL$2)*('Old CCC projections data'!$D$2:$D$271=BL$3)*('Old CCC projections data'!$F$2:$BN$271))</f>
        <v>20121.886982337306</v>
      </c>
      <c r="BM25" s="20" cm="1">
        <f t="array" ref="BM25">SUMPRODUCT(('Old CCC projections data'!$F$1:$BN$1=$B25)*('Old CCC projections data'!$A$2:$A$271=BM$2)*('Old CCC projections data'!$D$2:$D$271=BM$3)*('Old CCC projections data'!$F$2:$BN$271))</f>
        <v>16827.230325610708</v>
      </c>
      <c r="BN25" s="20" cm="1">
        <f t="array" ref="BN25">SUMPRODUCT(('Old CCC projections data'!$F$1:$BN$1=$B25)*('Old CCC projections data'!$A$2:$A$271=BN$2)*('Old CCC projections data'!$D$2:$D$271=BN$3)*('Old CCC projections data'!$F$2:$BN$271))</f>
        <v>21832.628998595821</v>
      </c>
      <c r="BO25" s="20" cm="1">
        <f t="array" ref="BO25">SUMPRODUCT(('Old CCC projections data'!$F$1:$BN$1=$B25)*('Old CCC projections data'!$A$2:$A$271=BO$2)*('Old CCC projections data'!$D$2:$D$271=BO$3)*('Old CCC projections data'!$F$2:$BN$271))</f>
        <v>20797.32447776345</v>
      </c>
      <c r="BP25" s="20" cm="1">
        <f t="array" ref="BP25">SUMPRODUCT(('Old CCC projections data'!$F$1:$BN$1=$B25)*('Old CCC projections data'!$A$2:$A$271=BP$2)*('Old CCC projections data'!$D$2:$D$271=BP$3)*('Old CCC projections data'!$F$2:$BN$271))</f>
        <v>18622.583308225891</v>
      </c>
      <c r="BQ25" s="20" cm="1">
        <f t="array" ref="BQ25">SUMPRODUCT(('Old CCC projections data'!$F$1:$BN$1=$B25)*('Old CCC projections data'!$A$2:$A$271=BQ$2)*('Old CCC projections data'!$D$2:$D$271=BQ$3)*('Old CCC projections data'!$F$2:$BN$271))</f>
        <v>17366.556219603561</v>
      </c>
      <c r="BR25" s="20" cm="1">
        <f t="array" ref="BR25">SUMPRODUCT(('Old CCC projections data'!$F$1:$BN$1=$B25)*('Old CCC projections data'!$A$2:$A$271=BR$2)*('Old CCC projections data'!$D$2:$D$271=BR$3)*('Old CCC projections data'!$F$2:$BN$271))</f>
        <v>16084.640366008651</v>
      </c>
      <c r="BS25" s="20" cm="1">
        <f t="array" ref="BS25">SUMPRODUCT(('Old CCC projections data'!$F$1:$BN$1=$B25)*('Old CCC projections data'!$A$2:$A$271=BS$2)*('Old CCC projections data'!$D$2:$D$271=BS$3)*('Old CCC projections data'!$F$2:$BN$271))</f>
        <v>15627.534951895379</v>
      </c>
      <c r="BT25" s="20" cm="1">
        <f t="array" ref="BT25">SUMPRODUCT(('Old CCC projections data'!$F$1:$BN$1=$B25)*('Old CCC projections data'!$A$2:$A$271=BT$2)*('Old CCC projections data'!$D$2:$D$271=BT$3)*('Old CCC projections data'!$F$2:$BN$271))</f>
        <v>23078.174411689473</v>
      </c>
      <c r="BU25" s="20" cm="1">
        <f t="array" ref="BU25">SUMPRODUCT(('Old CCC projections data'!$F$1:$BN$1=$B25)*('Old CCC projections data'!$A$2:$A$271=BU$2)*('Old CCC projections data'!$D$2:$D$271=BU$3)*('Old CCC projections data'!$F$2:$BN$271))</f>
        <v>19846.449756645932</v>
      </c>
      <c r="BV25" s="20" cm="1">
        <f t="array" ref="BV25">SUMPRODUCT(('Old CCC projections data'!$F$1:$BN$1=$B25)*('Old CCC projections data'!$A$2:$A$271=BV$2)*('Old CCC projections data'!$D$2:$D$271=BV$3)*('Old CCC projections data'!$F$2:$BN$271))</f>
        <v>23678.916714701423</v>
      </c>
      <c r="BW25" s="20" cm="1">
        <f t="array" ref="BW25">SUMPRODUCT(('Old CCC projections data'!$F$1:$BN$1=$B25)*('Old CCC projections data'!$A$2:$A$271=BW$2)*('Old CCC projections data'!$D$2:$D$271=BW$3)*('Old CCC projections data'!$F$2:$BN$271))</f>
        <v>15498.449379170987</v>
      </c>
      <c r="BX25" s="20" cm="1">
        <f t="array" ref="BX25">SUMPRODUCT(('Old CCC projections data'!$F$1:$BN$1=$B25)*('Old CCC projections data'!$A$2:$A$271=BX$2)*('Old CCC projections data'!$D$2:$D$271=BX$3)*('Old CCC projections data'!$F$2:$BN$271))</f>
        <v>14508.085041440983</v>
      </c>
      <c r="BY25" s="20" cm="1">
        <f t="array" ref="BY25">SUMPRODUCT(('Old CCC projections data'!$F$1:$BN$1=$B25)*('Old CCC projections data'!$A$2:$A$271=BY$2)*('Old CCC projections data'!$D$2:$D$271=BY$3)*('Old CCC projections data'!$F$2:$BN$271))</f>
        <v>13491.00787683958</v>
      </c>
      <c r="BZ25" s="20" cm="1">
        <f t="array" ref="BZ25">SUMPRODUCT(('Old CCC projections data'!$F$1:$BN$1=$B25)*('Old CCC projections data'!$A$2:$A$271=BZ$2)*('Old CCC projections data'!$D$2:$D$271=BZ$3)*('Old CCC projections data'!$F$2:$BN$271))</f>
        <v>12999.919065755588</v>
      </c>
      <c r="CA25" s="20" cm="1">
        <f t="array" ref="CA25">SUMPRODUCT(('Old CCC projections data'!$F$1:$BN$1=$B25)*('Old CCC projections data'!$A$2:$A$271=CA$2)*('Old CCC projections data'!$D$2:$D$271=CA$3)*('Old CCC projections data'!$F$2:$BN$271))</f>
        <v>12874.92203558236</v>
      </c>
      <c r="CB25" s="20" cm="1">
        <f t="array" ref="CB25">SUMPRODUCT(('Old CCC projections data'!$F$1:$BN$1=$B25)*('Old CCC projections data'!$A$2:$A$271=CB$2)*('Old CCC projections data'!$D$2:$D$271=CB$3)*('Old CCC projections data'!$F$2:$BN$271))</f>
        <v>17444.824017921168</v>
      </c>
      <c r="CC25" s="20" cm="1">
        <f t="array" ref="CC25">SUMPRODUCT(('Old CCC projections data'!$F$1:$BN$1=$B25)*('Old CCC projections data'!$A$2:$A$271=CC$2)*('Old CCC projections data'!$D$2:$D$271=CC$3)*('Old CCC projections data'!$F$2:$BN$271))</f>
        <v>17267.034719171097</v>
      </c>
      <c r="CD25" s="20" cm="1">
        <f t="array" ref="CD25">SUMPRODUCT(('Old CCC projections data'!$F$1:$BN$1=$B25)*('Old CCC projections data'!$A$2:$A$271=CD$2)*('Old CCC projections data'!$D$2:$D$271=CD$3)*('Old CCC projections data'!$F$2:$BN$271))</f>
        <v>15158.536086607608</v>
      </c>
      <c r="CE25" s="20" cm="1">
        <f t="array" ref="CE25">SUMPRODUCT(('Old CCC projections data'!$F$1:$BN$1=$B25)*('Old CCC projections data'!$A$2:$A$271=CE$2)*('Old CCC projections data'!$D$2:$D$271=CE$3)*('Old CCC projections data'!$F$2:$BN$271))</f>
        <v>19357.445636190889</v>
      </c>
      <c r="CF25" s="20" cm="1">
        <f t="array" ref="CF25">SUMPRODUCT(('Old CCC projections data'!$F$1:$BN$1=$B25)*('Old CCC projections data'!$A$2:$A$271=CF$2)*('Old CCC projections data'!$D$2:$D$271=CF$3)*('Old CCC projections data'!$F$2:$BN$271))</f>
        <v>23093.868794133294</v>
      </c>
      <c r="CG25" s="20" cm="1">
        <f t="array" ref="CG25">SUMPRODUCT(('Old CCC projections data'!$F$1:$BN$1=$B25)*('Old CCC projections data'!$A$2:$A$271=CG$2)*('Old CCC projections data'!$D$2:$D$271=CG$3)*('Old CCC projections data'!$F$2:$BN$271))</f>
        <v>21103.17082210528</v>
      </c>
      <c r="CH25" s="20" cm="1">
        <f t="array" ref="CH25">SUMPRODUCT(('Old CCC projections data'!$F$1:$BN$1=$B25)*('Old CCC projections data'!$A$2:$A$271=CH$2)*('Old CCC projections data'!$D$2:$D$271=CH$3)*('Old CCC projections data'!$F$2:$BN$271))</f>
        <v>19860.337890648862</v>
      </c>
      <c r="CI25" s="20" cm="1">
        <f t="array" ref="CI25">SUMPRODUCT(('Old CCC projections data'!$F$1:$BN$1=$B25)*('Old CCC projections data'!$A$2:$A$271=CI$2)*('Old CCC projections data'!$D$2:$D$271=CI$3)*('Old CCC projections data'!$F$2:$BN$271))</f>
        <v>19267.762928792454</v>
      </c>
      <c r="CJ25" s="20" cm="1">
        <f t="array" ref="CJ25">SUMPRODUCT(('Old CCC projections data'!$F$1:$BN$1=$B25)*('Old CCC projections data'!$A$2:$A$271=CJ$2)*('Old CCC projections data'!$D$2:$D$271=CJ$3)*('Old CCC projections data'!$F$2:$BN$271))</f>
        <v>19175.52425961737</v>
      </c>
      <c r="CK25" s="20" cm="1">
        <f t="array" ref="CK25">SUMPRODUCT(('Old CCC projections data'!$F$1:$BN$1=$B25)*('Old CCC projections data'!$A$2:$A$271=CK$2)*('Old CCC projections data'!$D$2:$D$271=CK$3)*('Old CCC projections data'!$F$2:$BN$271))</f>
        <v>18897.639172929357</v>
      </c>
      <c r="CL25" s="20" cm="1">
        <f t="array" ref="CL25">SUMPRODUCT(('Old CCC projections data'!$F$1:$BN$1=$B25)*('Old CCC projections data'!$A$2:$A$271=CL$2)*('Old CCC projections data'!$D$2:$D$271=CL$3)*('Old CCC projections data'!$F$2:$BN$271))</f>
        <v>25240.956129346141</v>
      </c>
      <c r="CM25" s="20" cm="1">
        <f t="array" ref="CM25">SUMPRODUCT(('Old CCC projections data'!$F$1:$BN$1=$B25)*('Old CCC projections data'!$A$2:$A$271=CM$2)*('Old CCC projections data'!$D$2:$D$271=CM$3)*('Old CCC projections data'!$F$2:$BN$271))</f>
        <v>22160.690982034932</v>
      </c>
      <c r="CN25" s="20" cm="1">
        <f t="array" ref="CN25">SUMPRODUCT(('Old CCC projections data'!$F$1:$BN$1=$B25)*('Old CCC projections data'!$A$2:$A$271=CN$2)*('Old CCC projections data'!$D$2:$D$271=CN$3)*('Old CCC projections data'!$F$2:$BN$271))</f>
        <v>26548.743297958343</v>
      </c>
      <c r="CO25" s="20" cm="1">
        <f t="array" ref="CO25">SUMPRODUCT(('Old CCC projections data'!$F$1:$BN$1=$B25)*('Old CCC projections data'!$A$2:$A$271=CO$2)*('Old CCC projections data'!$D$2:$D$271=CO$3)*('Old CCC projections data'!$F$2:$BN$271))</f>
        <v>13461.542884203154</v>
      </c>
      <c r="CP25" s="20" cm="1">
        <f t="array" ref="CP25">SUMPRODUCT(('Old CCC projections data'!$F$1:$BN$1=$B25)*('Old CCC projections data'!$A$2:$A$271=CP$2)*('Old CCC projections data'!$D$2:$D$271=CP$3)*('Old CCC projections data'!$F$2:$BN$271))</f>
        <v>12018.399536575715</v>
      </c>
      <c r="CQ25" s="20" cm="1">
        <f t="array" ref="CQ25">SUMPRODUCT(('Old CCC projections data'!$F$1:$BN$1=$B25)*('Old CCC projections data'!$A$2:$A$271=CQ$2)*('Old CCC projections data'!$D$2:$D$271=CQ$3)*('Old CCC projections data'!$F$2:$BN$271))</f>
        <v>10796.226099617303</v>
      </c>
      <c r="CR25" s="20" cm="1">
        <f t="array" ref="CR25">SUMPRODUCT(('Old CCC projections data'!$F$1:$BN$1=$B25)*('Old CCC projections data'!$A$2:$A$271=CR$2)*('Old CCC projections data'!$D$2:$D$271=CR$3)*('Old CCC projections data'!$F$2:$BN$271))</f>
        <v>9991.608623455566</v>
      </c>
      <c r="CS25" s="20" cm="1">
        <f t="array" ref="CS25">SUMPRODUCT(('Old CCC projections data'!$F$1:$BN$1=$B25)*('Old CCC projections data'!$A$2:$A$271=CS$2)*('Old CCC projections data'!$D$2:$D$271=CS$3)*('Old CCC projections data'!$F$2:$BN$271))</f>
        <v>9688.006635800095</v>
      </c>
      <c r="CT25" s="20" cm="1">
        <f t="array" ref="CT25">SUMPRODUCT(('Old CCC projections data'!$F$1:$BN$1=$B25)*('Old CCC projections data'!$A$2:$A$271=CT$2)*('Old CCC projections data'!$D$2:$D$271=CT$3)*('Old CCC projections data'!$F$2:$BN$271))</f>
        <v>16144.348424287666</v>
      </c>
      <c r="CU25" s="20" cm="1">
        <f t="array" ref="CU25">SUMPRODUCT(('Old CCC projections data'!$F$1:$BN$1=$B25)*('Old CCC projections data'!$A$2:$A$271=CU$2)*('Old CCC projections data'!$D$2:$D$271=CU$3)*('Old CCC projections data'!$F$2:$BN$271))</f>
        <v>15911.103942544683</v>
      </c>
      <c r="CV25" s="20" cm="1">
        <f t="array" ref="CV25">SUMPRODUCT(('Old CCC projections data'!$F$1:$BN$1=$B25)*('Old CCC projections data'!$A$2:$A$271=CV$2)*('Old CCC projections data'!$D$2:$D$271=CV$3)*('Old CCC projections data'!$F$2:$BN$271))</f>
        <v>12902.227069422348</v>
      </c>
      <c r="CW25" s="20" cm="1">
        <f t="array" ref="CW25">SUMPRODUCT(('Old CCC projections data'!$F$1:$BN$1=$B25)*('Old CCC projections data'!$A$2:$A$271=CW$2)*('Old CCC projections data'!$D$2:$D$271=CW$3)*('Old CCC projections data'!$F$2:$BN$271))</f>
        <v>17712.424618685141</v>
      </c>
      <c r="CX25" s="20">
        <f t="shared" si="19"/>
        <v>5005.3986729851131</v>
      </c>
      <c r="CY25" s="20" t="str">
        <f t="shared" si="29"/>
        <v>Demo path - C price $100 3%</v>
      </c>
      <c r="CZ25" s="3">
        <f t="shared" si="30"/>
        <v>2043</v>
      </c>
      <c r="DA25" s="18">
        <f t="shared" si="31"/>
        <v>0</v>
      </c>
      <c r="DB25" s="18">
        <f ca="1">(H28+IF($DB$3&gt;0,NPV($DB$2,H29:OFFSET(H28,$DB$3,0)),0))/($DB$3+1)</f>
        <v>155.93432456688615</v>
      </c>
      <c r="DC25" s="18">
        <f t="shared" ca="1" si="20"/>
        <v>55.934324566886147</v>
      </c>
      <c r="DD25" s="18">
        <f t="shared" si="32"/>
        <v>100</v>
      </c>
      <c r="DE25" s="20">
        <f t="shared" si="21"/>
        <v>19320.318365199299</v>
      </c>
      <c r="DF25" s="20" cm="1">
        <f t="array" ref="DF25">SUMPRODUCT(($BG$2:$BM$2=CY25)*($B$5:$B$35=CZ25)*($BG$5:$BM$35))</f>
        <v>14496.860675792695</v>
      </c>
      <c r="DG25" s="20">
        <f t="shared" si="16"/>
        <v>4823.4576894066031</v>
      </c>
      <c r="DH25" s="20" cm="1">
        <f t="array" ref="DH25">IF(CZ25=2023,SUMPRODUCT(($B$5:$B$35=CZ25-1)*($BN$5:$BN$35))-SUMPRODUCT(($BG$2:$BM$2=CY25)*($B$5:$B$35=CZ25-1)*($BG$5:$BM$35)),DG24)</f>
        <v>4859.3270794928012</v>
      </c>
      <c r="DI25" s="18">
        <f t="shared" ca="1" si="17"/>
        <v>155.93432456688615</v>
      </c>
      <c r="DJ25" s="89">
        <f t="shared" si="22"/>
        <v>8.4812463128102618</v>
      </c>
      <c r="DK25" s="89">
        <f t="shared" si="23"/>
        <v>8.488655246298217</v>
      </c>
      <c r="DL25" s="89">
        <f t="shared" ca="1" si="24"/>
        <v>5.0494349222395725</v>
      </c>
      <c r="DM25" s="20">
        <f t="shared" ca="1" si="25"/>
        <v>2908.5599131307285</v>
      </c>
      <c r="DN25" s="20">
        <f t="shared" ca="1" si="26"/>
        <v>4178.7734002258048</v>
      </c>
      <c r="DO25" s="20">
        <f t="shared" ca="1" si="27"/>
        <v>3543.6666566782669</v>
      </c>
      <c r="DP25" s="113"/>
      <c r="DQ25" s="2"/>
      <c r="DR25" s="3"/>
      <c r="DS25" t="s">
        <v>262</v>
      </c>
    </row>
    <row r="26" spans="1:131" x14ac:dyDescent="0.25">
      <c r="A26">
        <v>0.5</v>
      </c>
      <c r="B26">
        <f t="shared" si="28"/>
        <v>2041</v>
      </c>
      <c r="C26" s="190">
        <f>IF(C25*(1+A26*Model!$B$19*IF(Model!$B$28=0,1,((Model!$B$28-B26)/(Model!$B$28-$B$9))))&gt;Model!$B$44,C25*(1+A26*Model!$B$19*IF(Model!$B$28=0,1,((Model!$B$28-B26)/(Model!$B$28-$B$9)))),Model!$B$44)</f>
        <v>62.884647337019622</v>
      </c>
      <c r="D26" s="18" cm="1">
        <f t="array" ref="D26">SUMPRODUCT(('Old CCC projections data'!$F$1:$BN$1=$B26)*('Old CCC projections data'!$A$2:$A$271=D$2)*('Old CCC projections data'!$D$2:$D$271=D$3)*('Old CCC projections data'!$F$2:$BN$271))*Model!$B$47</f>
        <v>41.549707602339183</v>
      </c>
      <c r="E26" s="18" cm="1">
        <f t="array" ref="E26">SUMPRODUCT(('Old CCC projections data'!$F$1:$BN$1=$B26)*('Old CCC projections data'!$A$2:$A$271=E$2)*('Old CCC projections data'!$D$2:$D$271=E$3)*('Old CCC projections data'!$F$2:$BN$271))*Model!$B$47</f>
        <v>1.1871345029239767E-2</v>
      </c>
      <c r="F26" s="18"/>
      <c r="G26" s="18"/>
      <c r="H26" s="18" cm="1">
        <f t="array" ref="H26">SUMPRODUCT(('Old CCC projections data'!$F$1:$BN$1=$B26)*('Old CCC projections data'!$A$2:$A$271=H$2)*('Old CCC projections data'!$D$2:$D$271=H$3)*('Old CCC projections data'!$F$2:$BN$271))*Model!$B$47</f>
        <v>202.10170259163775</v>
      </c>
      <c r="I26" s="18" cm="1">
        <f t="array" ref="I26">SUMPRODUCT(('Old CCC projections data'!$F$1:$BN$1=$B26)*('Old CCC projections data'!$A$2:$A$271=I$2)*('Old CCC projections data'!$D$2:$D$271=I$3)*('Old CCC projections data'!$F$2:$BN$271))*Model!$B$47</f>
        <v>303.15255388745658</v>
      </c>
      <c r="J26" s="18" cm="1">
        <f t="array" ref="J26">SUMPRODUCT(('Old CCC projections data'!$F$1:$BN$1=$B26)*('Old CCC projections data'!$A$2:$A$271=J$2)*('Old CCC projections data'!$D$2:$D$271=J$3)*('Old CCC projections data'!$F$2:$BN$271))*Model!$B$47</f>
        <v>404.20340518327549</v>
      </c>
      <c r="K26" s="18" cm="1">
        <f t="array" ref="K26">SUMPRODUCT(('Old CCC projections data'!$F$1:$BN$1=$B26)*('Old CCC projections data'!$A$2:$A$271=K$2)*('Old CCC projections data'!$D$2:$D$271=K$3)*('Old CCC projections data'!$F$2:$BN$271))*Model!$B$47</f>
        <v>505.25425647909441</v>
      </c>
      <c r="L26" s="18" cm="1">
        <f t="array" ref="L26">SUMPRODUCT(('Old CCC projections data'!$F$1:$BN$1=$B26)*('Old CCC projections data'!$A$2:$A$271=L$2)*('Old CCC projections data'!$D$2:$D$271=L$3)*('Old CCC projections data'!$F$2:$BN$271))*Model!$B$47</f>
        <v>606.30510777491315</v>
      </c>
      <c r="M26" s="18" cm="1">
        <f t="array" ref="M26">SUMPRODUCT(('Old CCC projections data'!$F$1:$BN$1=$B26)*('Old CCC projections data'!$A$2:$A$271=M$2)*('Old CCC projections data'!$D$2:$D$271=M$3)*('Old CCC projections data'!$F$2:$BN$271))*Model!$B$47</f>
        <v>101.05085129581887</v>
      </c>
      <c r="N26" s="189" cm="1">
        <f t="array" ref="N26">SUMPRODUCT(('Old CCC projections data'!$F$1:$BN$1=$B26)*('Old CCC projections data'!$A$2:$A$271=N$2)*('Old CCC projections data'!$D$2:$D$271=N$3)*('Old CCC projections data'!$F$2:$BN$271))*Model!$B$47</f>
        <v>236.55833411167606</v>
      </c>
      <c r="O26" s="18" cm="1">
        <f t="array" ref="O26">SUMPRODUCT(('Old CCC projections data'!$F$1:$BN$1=$B26)*('Old CCC projections data'!$A$2:$A$271=O$2)*('Old CCC projections data'!$D$2:$D$271=O$3)*('Old CCC projections data'!$F$2:$BN$271))*Model!$B$47</f>
        <v>1.1871345029239767E-2</v>
      </c>
      <c r="P26" s="18" cm="1">
        <f t="array" ref="P26">SUMPRODUCT(('Old CCC projections data'!$F$1:$BN$1=$B26)*('Old CCC projections data'!$A$2:$A$271=P$2)*('Old CCC projections data'!$D$2:$D$271=P$3)*('Old CCC projections data'!$F$2:$BN$271))*Model!$B$47</f>
        <v>202.10170259163775</v>
      </c>
      <c r="Q26" s="18" cm="1">
        <f t="array" ref="Q26">SUMPRODUCT(('Old CCC projections data'!$F$1:$BN$1=$B26)*('Old CCC projections data'!$A$2:$A$271=Q$2)*('Old CCC projections data'!$D$2:$D$271=Q$3)*('Old CCC projections data'!$F$2:$BN$271))*Model!$B$47</f>
        <v>303.15255388745658</v>
      </c>
      <c r="R26" s="18" cm="1">
        <f t="array" ref="R26">SUMPRODUCT(('Old CCC projections data'!$F$1:$BN$1=$B26)*('Old CCC projections data'!$A$2:$A$271=R$2)*('Old CCC projections data'!$D$2:$D$271=R$3)*('Old CCC projections data'!$F$2:$BN$271))*Model!$B$47</f>
        <v>404.20340518327549</v>
      </c>
      <c r="S26" s="18" cm="1">
        <f t="array" ref="S26">SUMPRODUCT(('Old CCC projections data'!$F$1:$BN$1=$B26)*('Old CCC projections data'!$A$2:$A$271=S$2)*('Old CCC projections data'!$D$2:$D$271=S$3)*('Old CCC projections data'!$F$2:$BN$271))*Model!$B$47</f>
        <v>505.25425647909441</v>
      </c>
      <c r="T26" s="18" cm="1">
        <f t="array" ref="T26">SUMPRODUCT(('Old CCC projections data'!$F$1:$BN$1=$B26)*('Old CCC projections data'!$A$2:$A$271=T$2)*('Old CCC projections data'!$D$2:$D$271=T$3)*('Old CCC projections data'!$F$2:$BN$271))*Model!$B$47</f>
        <v>606.30510777491315</v>
      </c>
      <c r="U26" s="18" cm="1">
        <f t="array" ref="U26">SUMPRODUCT(('Old CCC projections data'!$F$1:$BN$1=$B26)*('Old CCC projections data'!$A$2:$A$271=U$2)*('Old CCC projections data'!$D$2:$D$271=U$3)*('Old CCC projections data'!$F$2:$BN$271))*Model!$B$47</f>
        <v>101.05085129581887</v>
      </c>
      <c r="V26" s="18" cm="1">
        <f t="array" ref="V26">SUMPRODUCT(('Old CCC projections data'!$F$1:$BN$1=$B26)*('Old CCC projections data'!$A$2:$A$271=V$2)*('Old CCC projections data'!$D$2:$D$271=V$3)*('Old CCC projections data'!$F$2:$BN$271))*Model!$B$47</f>
        <v>236.55833411167606</v>
      </c>
      <c r="W26" s="18" cm="1">
        <f t="array" ref="W26">SUMPRODUCT(('Old CCC projections data'!$F$1:$BN$1=$B26)*('Old CCC projections data'!$A$2:$A$271=W$2)*('Old CCC projections data'!$D$2:$D$271=W$3)*('Old CCC projections data'!$F$2:$BN$271))*Model!$B$47</f>
        <v>1.1871345029239767E-2</v>
      </c>
      <c r="X26" s="18" cm="1">
        <f t="array" ref="X26">SUMPRODUCT(('Old CCC projections data'!$F$1:$BN$1=$B26)*('Old CCC projections data'!$A$2:$A$271=X$2)*('Old CCC projections data'!$D$2:$D$271=X$3)*('Old CCC projections data'!$F$2:$BN$271))*Model!$B$47</f>
        <v>202.10170259163775</v>
      </c>
      <c r="Y26" s="18" cm="1">
        <f t="array" ref="Y26">SUMPRODUCT(('Old CCC projections data'!$F$1:$BN$1=$B26)*('Old CCC projections data'!$A$2:$A$271=Y$2)*('Old CCC projections data'!$D$2:$D$271=Y$3)*('Old CCC projections data'!$F$2:$BN$271))*Model!$B$47</f>
        <v>303.15255388745658</v>
      </c>
      <c r="Z26" s="18" cm="1">
        <f t="array" ref="Z26">SUMPRODUCT(('Old CCC projections data'!$F$1:$BN$1=$B26)*('Old CCC projections data'!$A$2:$A$271=Z$2)*('Old CCC projections data'!$D$2:$D$271=Z$3)*('Old CCC projections data'!$F$2:$BN$271))*Model!$B$47</f>
        <v>404.20340518327549</v>
      </c>
      <c r="AA26" s="18" cm="1">
        <f t="array" ref="AA26">SUMPRODUCT(('Old CCC projections data'!$F$1:$BN$1=$B26)*('Old CCC projections data'!$A$2:$A$271=AA$2)*('Old CCC projections data'!$D$2:$D$271=AA$3)*('Old CCC projections data'!$F$2:$BN$271))*Model!$B$47</f>
        <v>505.25425647909441</v>
      </c>
      <c r="AB26" s="18" cm="1">
        <f t="array" ref="AB26">SUMPRODUCT(('Old CCC projections data'!$F$1:$BN$1=$B26)*('Old CCC projections data'!$A$2:$A$271=AB$2)*('Old CCC projections data'!$D$2:$D$271=AB$3)*('Old CCC projections data'!$F$2:$BN$271))*Model!$B$47</f>
        <v>606.30510777491315</v>
      </c>
      <c r="AC26" s="18" cm="1">
        <f t="array" ref="AC26">SUMPRODUCT(('Old CCC projections data'!$F$1:$BN$1=$B26)*('Old CCC projections data'!$A$2:$A$271=AC$2)*('Old CCC projections data'!$D$2:$D$271=AC$3)*('Old CCC projections data'!$F$2:$BN$271))*Model!$B$47</f>
        <v>101.05085129581887</v>
      </c>
      <c r="AD26" s="18" cm="1">
        <f t="array" ref="AD26">SUMPRODUCT(('Old CCC projections data'!$F$1:$BN$1=$B26)*('Old CCC projections data'!$A$2:$A$271=AD$2)*('Old CCC projections data'!$D$2:$D$271=AD$3)*('Old CCC projections data'!$F$2:$BN$271))*Model!$B$47</f>
        <v>111.15593642540072</v>
      </c>
      <c r="AE26" s="18" cm="1">
        <f t="array" ref="AE26">SUMPRODUCT(('Old CCC projections data'!$F$1:$BN$1=$B26)*('Old CCC projections data'!$A$2:$A$271=AE$2)*('Old CCC projections data'!$D$2:$D$271=AE$3)*('Old CCC projections data'!$F$2:$BN$271))*Model!$B$47</f>
        <v>236.55833411167606</v>
      </c>
      <c r="AF26" s="18" cm="1">
        <f t="array" ref="AF26">SUMPRODUCT(('Old CCC projections data'!$F$1:$BN$1=$B26)*('Old CCC projections data'!$A$2:$A$271=AF$2)*('Old CCC projections data'!$D$2:$D$271=AF$3)*('Old CCC projections data'!$F$2:$BN$271))*Model!$B$47</f>
        <v>1.1871345029239767E-2</v>
      </c>
      <c r="AG26" s="18" cm="1">
        <f t="array" ref="AG26">SUMPRODUCT(('Old CCC projections data'!$F$1:$BN$1=$B26)*('Old CCC projections data'!$A$2:$A$271=AG$2)*('Old CCC projections data'!$D$2:$D$271=AG$3)*('Old CCC projections data'!$F$2:$BN$271))*Model!$B$47</f>
        <v>202.10170259163775</v>
      </c>
      <c r="AH26" s="18" cm="1">
        <f t="array" ref="AH26">SUMPRODUCT(('Old CCC projections data'!$F$1:$BN$1=$B26)*('Old CCC projections data'!$A$2:$A$271=AH$2)*('Old CCC projections data'!$D$2:$D$271=AH$3)*('Old CCC projections data'!$F$2:$BN$271))*Model!$B$47</f>
        <v>303.15255388745658</v>
      </c>
      <c r="AI26" s="18" cm="1">
        <f t="array" ref="AI26">SUMPRODUCT(('Old CCC projections data'!$F$1:$BN$1=$B26)*('Old CCC projections data'!$A$2:$A$271=AI$2)*('Old CCC projections data'!$D$2:$D$271=AI$3)*('Old CCC projections data'!$F$2:$BN$271))*Model!$B$47</f>
        <v>404.20340518327549</v>
      </c>
      <c r="AJ26" s="18" cm="1">
        <f t="array" ref="AJ26">SUMPRODUCT(('Old CCC projections data'!$F$1:$BN$1=$B26)*('Old CCC projections data'!$A$2:$A$271=AJ$2)*('Old CCC projections data'!$D$2:$D$271=AJ$3)*('Old CCC projections data'!$F$2:$BN$271))*Model!$B$47</f>
        <v>505.25425647909441</v>
      </c>
      <c r="AK26" s="18" cm="1">
        <f t="array" ref="AK26">SUMPRODUCT(('Old CCC projections data'!$F$1:$BN$1=$B26)*('Old CCC projections data'!$A$2:$A$271=AK$2)*('Old CCC projections data'!$D$2:$D$271=AK$3)*('Old CCC projections data'!$F$2:$BN$271))*Model!$B$47</f>
        <v>545.6745969974221</v>
      </c>
      <c r="AL26" s="18" cm="1">
        <f t="array" ref="AL26">SUMPRODUCT(('Old CCC projections data'!$F$1:$BN$1=$B26)*('Old CCC projections data'!$A$2:$A$271=AL$2)*('Old CCC projections data'!$D$2:$D$271=AL$3)*('Old CCC projections data'!$F$2:$BN$271))*Model!$B$47</f>
        <v>606.30510777491315</v>
      </c>
      <c r="AM26" s="18" cm="1">
        <f t="array" ref="AM26">SUMPRODUCT(('Old CCC projections data'!$F$1:$BN$1=$B26)*('Old CCC projections data'!$A$2:$A$271=AM$2)*('Old CCC projections data'!$D$2:$D$271=AM$3)*('Old CCC projections data'!$F$2:$BN$271))*Model!$B$47</f>
        <v>101.05085129581887</v>
      </c>
      <c r="AN26" s="18" cm="1">
        <f t="array" ref="AN26">SUMPRODUCT(('Old CCC projections data'!$F$1:$BN$1=$B26)*('Old CCC projections data'!$A$2:$A$271=AN$2)*('Old CCC projections data'!$D$2:$D$271=AN$3)*('Old CCC projections data'!$F$2:$BN$271))*Model!$B$47</f>
        <v>236.55833411167606</v>
      </c>
      <c r="AO26" s="18" cm="1">
        <f t="array" ref="AO26">SUMPRODUCT(('Old CCC projections data'!$F$1:$BN$1=$B26)*('Old CCC projections data'!$A$2:$A$271=AO$2)*('Old CCC projections data'!$D$2:$D$271=AO$3)*('Old CCC projections data'!$F$2:$BN$271))*Model!$B$47</f>
        <v>1.1871345029239767E-2</v>
      </c>
      <c r="AP26" s="18" cm="1">
        <f t="array" ref="AP26">SUMPRODUCT(('Old CCC projections data'!$F$1:$BN$1=$B26)*('Old CCC projections data'!$A$2:$A$271=AP$2)*('Old CCC projections data'!$D$2:$D$271=AP$3)*('Old CCC projections data'!$F$2:$BN$271))*Model!$B$47</f>
        <v>202.10170259163775</v>
      </c>
      <c r="AQ26" s="18" cm="1">
        <f t="array" ref="AQ26">SUMPRODUCT(('Old CCC projections data'!$F$1:$BN$1=$B26)*('Old CCC projections data'!$A$2:$A$271=AQ$2)*('Old CCC projections data'!$D$2:$D$271=AQ$3)*('Old CCC projections data'!$F$2:$BN$271))*Model!$B$47</f>
        <v>303.15255388745658</v>
      </c>
      <c r="AR26" s="18" cm="1">
        <f t="array" ref="AR26">SUMPRODUCT(('Old CCC projections data'!$F$1:$BN$1=$B26)*('Old CCC projections data'!$A$2:$A$271=AR$2)*('Old CCC projections data'!$D$2:$D$271=AR$3)*('Old CCC projections data'!$F$2:$BN$271))*Model!$B$47</f>
        <v>404.20340518327549</v>
      </c>
      <c r="AS26" s="18" cm="1">
        <f t="array" ref="AS26">SUMPRODUCT(('Old CCC projections data'!$F$1:$BN$1=$B26)*('Old CCC projections data'!$A$2:$A$271=AS$2)*('Old CCC projections data'!$D$2:$D$271=AS$3)*('Old CCC projections data'!$F$2:$BN$271))*Model!$B$47</f>
        <v>505.25425647909441</v>
      </c>
      <c r="AT26" s="18" cm="1">
        <f t="array" ref="AT26">SUMPRODUCT(('Old CCC projections data'!$F$1:$BN$1=$B26)*('Old CCC projections data'!$A$2:$A$271=AT$2)*('Old CCC projections data'!$D$2:$D$271=AT$3)*('Old CCC projections data'!$F$2:$BN$271))*Model!$B$47</f>
        <v>606.30510777491315</v>
      </c>
      <c r="AU26" s="18" cm="1">
        <f t="array" ref="AU26">SUMPRODUCT(('Old CCC projections data'!$F$1:$BN$1=$B26)*('Old CCC projections data'!$A$2:$A$271=AU$2)*('Old CCC projections data'!$D$2:$D$271=AU$3)*('Old CCC projections data'!$F$2:$BN$271))*Model!$B$47</f>
        <v>101.05085129581887</v>
      </c>
      <c r="AV26" s="18" cm="1">
        <f t="array" ref="AV26">SUMPRODUCT(('Old CCC projections data'!$F$1:$BN$1=$B26)*('Old CCC projections data'!$A$2:$A$271=AV$2)*('Old CCC projections data'!$D$2:$D$271=AV$3)*('Old CCC projections data'!$F$2:$BN$271))*Model!$B$47</f>
        <v>111.15593642540072</v>
      </c>
      <c r="AW26" s="18" cm="1">
        <f t="array" ref="AW26">SUMPRODUCT(('Old CCC projections data'!$F$1:$BN$1=$B26)*('Old CCC projections data'!$A$2:$A$271=AW$2)*('Old CCC projections data'!$D$2:$D$271=AW$3)*('Old CCC projections data'!$F$2:$BN$271))*Model!$B$47</f>
        <v>236.55833411167606</v>
      </c>
      <c r="AX26" s="18" cm="1">
        <f t="array" ref="AX26">SUMPRODUCT(('Old CCC projections data'!$F$1:$BN$1=$B26)*('Old CCC projections data'!$A$2:$A$271=AX$2)*('Old CCC projections data'!$D$2:$D$271=AX$3)*('Old CCC projections data'!$F$2:$BN$271))*Model!$B$47</f>
        <v>1.1871345029239767E-2</v>
      </c>
      <c r="AY26" s="18">
        <v>50</v>
      </c>
      <c r="AZ26" s="18">
        <v>35</v>
      </c>
      <c r="BA26" s="18">
        <v>70</v>
      </c>
      <c r="BB26" s="18"/>
      <c r="BC26" s="20" cm="1">
        <f t="array" ref="BC26">SUMPRODUCT(('Old CCC projections data'!$F$1:$BN$1=$B26)*('Old CCC projections data'!$A$2:$A$271=BC$2)*('Old CCC projections data'!$D$2:$D$271=BC$3)*('Old CCC projections data'!$F$2:$BN$271))</f>
        <v>30248.897027781368</v>
      </c>
      <c r="BD26" s="20" cm="1">
        <f t="array" ref="BD26">SUMPRODUCT(('Old CCC projections data'!$F$1:$BN$1=$B26)*('Old CCC projections data'!$A$2:$A$271=BD$2)*('Old CCC projections data'!$D$2:$D$271=BD$3)*('Old CCC projections data'!$F$2:$BN$271))</f>
        <v>30588.855112490513</v>
      </c>
      <c r="BE26" s="20"/>
      <c r="BF26" s="20"/>
      <c r="BG26" s="20" cm="1">
        <f t="array" ref="BG26">SUMPRODUCT(('Old CCC projections data'!$F$1:$BN$1=$B26)*('Old CCC projections data'!$A$2:$A$271=BG$2)*('Old CCC projections data'!$D$2:$D$271=BG$3)*('Old CCC projections data'!$F$2:$BN$271))</f>
        <v>16376.547042010257</v>
      </c>
      <c r="BH26" s="20" cm="1">
        <f t="array" ref="BH26">SUMPRODUCT(('Old CCC projections data'!$F$1:$BN$1=$B26)*('Old CCC projections data'!$A$2:$A$271=BH$2)*('Old CCC projections data'!$D$2:$D$271=BH$3)*('Old CCC projections data'!$F$2:$BN$271))</f>
        <v>15081.953238564503</v>
      </c>
      <c r="BI26" s="20" cm="1">
        <f t="array" ref="BI26">SUMPRODUCT(('Old CCC projections data'!$F$1:$BN$1=$B26)*('Old CCC projections data'!$A$2:$A$271=BI$2)*('Old CCC projections data'!$D$2:$D$271=BI$3)*('Old CCC projections data'!$F$2:$BN$271))</f>
        <v>13918.299510039895</v>
      </c>
      <c r="BJ26" s="20" cm="1">
        <f t="array" ref="BJ26">SUMPRODUCT(('Old CCC projections data'!$F$1:$BN$1=$B26)*('Old CCC projections data'!$A$2:$A$271=BJ$2)*('Old CCC projections data'!$D$2:$D$271=BJ$3)*('Old CCC projections data'!$F$2:$BN$271))</f>
        <v>13250.047795492828</v>
      </c>
      <c r="BK26" s="20" cm="1">
        <f t="array" ref="BK26">SUMPRODUCT(('Old CCC projections data'!$F$1:$BN$1=$B26)*('Old CCC projections data'!$A$2:$A$271=BK$2)*('Old CCC projections data'!$D$2:$D$271=BK$3)*('Old CCC projections data'!$F$2:$BN$271))</f>
        <v>12887.32715545773</v>
      </c>
      <c r="BL26" s="20" cm="1">
        <f t="array" ref="BL26">SUMPRODUCT(('Old CCC projections data'!$F$1:$BN$1=$B26)*('Old CCC projections data'!$A$2:$A$271=BL$2)*('Old CCC projections data'!$D$2:$D$271=BL$3)*('Old CCC projections data'!$F$2:$BN$271))</f>
        <v>19084.77936974962</v>
      </c>
      <c r="BM26" s="20" cm="1">
        <f t="array" ref="BM26">SUMPRODUCT(('Old CCC projections data'!$F$1:$BN$1=$B26)*('Old CCC projections data'!$A$2:$A$271=BM$2)*('Old CCC projections data'!$D$2:$D$271=BM$3)*('Old CCC projections data'!$F$2:$BN$271))</f>
        <v>15927.485361404346</v>
      </c>
      <c r="BN26" s="20" cm="1">
        <f t="array" ref="BN26">SUMPRODUCT(('Old CCC projections data'!$F$1:$BN$1=$B26)*('Old CCC projections data'!$A$2:$A$271=BN$2)*('Old CCC projections data'!$D$2:$D$271=BN$3)*('Old CCC projections data'!$F$2:$BN$271))</f>
        <v>21020.865912256821</v>
      </c>
      <c r="BO26" s="20" cm="1">
        <f t="array" ref="BO26">SUMPRODUCT(('Old CCC projections data'!$F$1:$BN$1=$B26)*('Old CCC projections data'!$A$2:$A$271=BO$2)*('Old CCC projections data'!$D$2:$D$271=BO$3)*('Old CCC projections data'!$F$2:$BN$271))</f>
        <v>19642.333719975035</v>
      </c>
      <c r="BP26" s="20" cm="1">
        <f t="array" ref="BP26">SUMPRODUCT(('Old CCC projections data'!$F$1:$BN$1=$B26)*('Old CCC projections data'!$A$2:$A$271=BP$2)*('Old CCC projections data'!$D$2:$D$271=BP$3)*('Old CCC projections data'!$F$2:$BN$271))</f>
        <v>17555.327629195075</v>
      </c>
      <c r="BQ26" s="20" cm="1">
        <f t="array" ref="BQ26">SUMPRODUCT(('Old CCC projections data'!$F$1:$BN$1=$B26)*('Old CCC projections data'!$A$2:$A$271=BQ$2)*('Old CCC projections data'!$D$2:$D$271=BQ$3)*('Old CCC projections data'!$F$2:$BN$271))</f>
        <v>16386.268295828751</v>
      </c>
      <c r="BR26" s="20" cm="1">
        <f t="array" ref="BR26">SUMPRODUCT(('Old CCC projections data'!$F$1:$BN$1=$B26)*('Old CCC projections data'!$A$2:$A$271=BR$2)*('Old CCC projections data'!$D$2:$D$271=BR$3)*('Old CCC projections data'!$F$2:$BN$271))</f>
        <v>15267.275848282548</v>
      </c>
      <c r="BS26" s="20" cm="1">
        <f t="array" ref="BS26">SUMPRODUCT(('Old CCC projections data'!$F$1:$BN$1=$B26)*('Old CCC projections data'!$A$2:$A$271=BS$2)*('Old CCC projections data'!$D$2:$D$271=BS$3)*('Old CCC projections data'!$F$2:$BN$271))</f>
        <v>14752.626825826861</v>
      </c>
      <c r="BT26" s="20" cm="1">
        <f t="array" ref="BT26">SUMPRODUCT(('Old CCC projections data'!$F$1:$BN$1=$B26)*('Old CCC projections data'!$A$2:$A$271=BT$2)*('Old CCC projections data'!$D$2:$D$271=BT$3)*('Old CCC projections data'!$F$2:$BN$271))</f>
        <v>22210.117329236746</v>
      </c>
      <c r="BU26" s="20" cm="1">
        <f t="array" ref="BU26">SUMPRODUCT(('Old CCC projections data'!$F$1:$BN$1=$B26)*('Old CCC projections data'!$A$2:$A$271=BU$2)*('Old CCC projections data'!$D$2:$D$271=BU$3)*('Old CCC projections data'!$F$2:$BN$271))</f>
        <v>18863.971534854194</v>
      </c>
      <c r="BV26" s="20" cm="1">
        <f t="array" ref="BV26">SUMPRODUCT(('Old CCC projections data'!$F$1:$BN$1=$B26)*('Old CCC projections data'!$A$2:$A$271=BV$2)*('Old CCC projections data'!$D$2:$D$271=BV$3)*('Old CCC projections data'!$F$2:$BN$271))</f>
        <v>22897.715215943161</v>
      </c>
      <c r="BW26" s="20" cm="1">
        <f t="array" ref="BW26">SUMPRODUCT(('Old CCC projections data'!$F$1:$BN$1=$B26)*('Old CCC projections data'!$A$2:$A$271=BW$2)*('Old CCC projections data'!$D$2:$D$271=BW$3)*('Old CCC projections data'!$F$2:$BN$271))</f>
        <v>14576.76428061699</v>
      </c>
      <c r="BX26" s="20" cm="1">
        <f t="array" ref="BX26">SUMPRODUCT(('Old CCC projections data'!$F$1:$BN$1=$B26)*('Old CCC projections data'!$A$2:$A$271=BX$2)*('Old CCC projections data'!$D$2:$D$271=BX$3)*('Old CCC projections data'!$F$2:$BN$271))</f>
        <v>13430.689131664938</v>
      </c>
      <c r="BY26" s="20" cm="1">
        <f t="array" ref="BY26">SUMPRODUCT(('Old CCC projections data'!$F$1:$BN$1=$B26)*('Old CCC projections data'!$A$2:$A$271=BY$2)*('Old CCC projections data'!$D$2:$D$271=BY$3)*('Old CCC projections data'!$F$2:$BN$271))</f>
        <v>12408.965515062791</v>
      </c>
      <c r="BZ26" s="20" cm="1">
        <f t="array" ref="BZ26">SUMPRODUCT(('Old CCC projections data'!$F$1:$BN$1=$B26)*('Old CCC projections data'!$A$2:$A$271=BZ$2)*('Old CCC projections data'!$D$2:$D$271=BZ$3)*('Old CCC projections data'!$F$2:$BN$271))</f>
        <v>12271.956599908581</v>
      </c>
      <c r="CA26" s="20" cm="1">
        <f t="array" ref="CA26">SUMPRODUCT(('Old CCC projections data'!$F$1:$BN$1=$B26)*('Old CCC projections data'!$A$2:$A$271=CA$2)*('Old CCC projections data'!$D$2:$D$271=CA$3)*('Old CCC projections data'!$F$2:$BN$271))</f>
        <v>12177.389907272758</v>
      </c>
      <c r="CB26" s="20" cm="1">
        <f t="array" ref="CB26">SUMPRODUCT(('Old CCC projections data'!$F$1:$BN$1=$B26)*('Old CCC projections data'!$A$2:$A$271=CB$2)*('Old CCC projections data'!$D$2:$D$271=CB$3)*('Old CCC projections data'!$F$2:$BN$271))</f>
        <v>16542.828116697721</v>
      </c>
      <c r="CC26" s="20" cm="1">
        <f t="array" ref="CC26">SUMPRODUCT(('Old CCC projections data'!$F$1:$BN$1=$B26)*('Old CCC projections data'!$A$2:$A$271=CC$2)*('Old CCC projections data'!$D$2:$D$271=CC$3)*('Old CCC projections data'!$F$2:$BN$271))</f>
        <v>16321.530916246367</v>
      </c>
      <c r="CD26" s="20" cm="1">
        <f t="array" ref="CD26">SUMPRODUCT(('Old CCC projections data'!$F$1:$BN$1=$B26)*('Old CCC projections data'!$A$2:$A$271=CD$2)*('Old CCC projections data'!$D$2:$D$271=CD$3)*('Old CCC projections data'!$F$2:$BN$271))</f>
        <v>14250.945884500568</v>
      </c>
      <c r="CE26" s="20" cm="1">
        <f t="array" ref="CE26">SUMPRODUCT(('Old CCC projections data'!$F$1:$BN$1=$B26)*('Old CCC projections data'!$A$2:$A$271=CE$2)*('Old CCC projections data'!$D$2:$D$271=CE$3)*('Old CCC projections data'!$F$2:$BN$271))</f>
        <v>18462.67088932866</v>
      </c>
      <c r="CF26" s="20" cm="1">
        <f t="array" ref="CF26">SUMPRODUCT(('Old CCC projections data'!$F$1:$BN$1=$B26)*('Old CCC projections data'!$A$2:$A$271=CF$2)*('Old CCC projections data'!$D$2:$D$271=CF$3)*('Old CCC projections data'!$F$2:$BN$271))</f>
        <v>21843.444286780756</v>
      </c>
      <c r="CG26" s="20" cm="1">
        <f t="array" ref="CG26">SUMPRODUCT(('Old CCC projections data'!$F$1:$BN$1=$B26)*('Old CCC projections data'!$A$2:$A$271=CG$2)*('Old CCC projections data'!$D$2:$D$271=CG$3)*('Old CCC projections data'!$F$2:$BN$271))</f>
        <v>19907.577668355454</v>
      </c>
      <c r="CH26" s="20" cm="1">
        <f t="array" ref="CH26">SUMPRODUCT(('Old CCC projections data'!$F$1:$BN$1=$B26)*('Old CCC projections data'!$A$2:$A$271=CH$2)*('Old CCC projections data'!$D$2:$D$271=CH$3)*('Old CCC projections data'!$F$2:$BN$271))</f>
        <v>18826.907953678161</v>
      </c>
      <c r="CI26" s="20" cm="1">
        <f t="array" ref="CI26">SUMPRODUCT(('Old CCC projections data'!$F$1:$BN$1=$B26)*('Old CCC projections data'!$A$2:$A$271=CI$2)*('Old CCC projections data'!$D$2:$D$271=CI$3)*('Old CCC projections data'!$F$2:$BN$271))</f>
        <v>18220.606279685733</v>
      </c>
      <c r="CJ26" s="20" cm="1">
        <f t="array" ref="CJ26">SUMPRODUCT(('Old CCC projections data'!$F$1:$BN$1=$B26)*('Old CCC projections data'!$A$2:$A$271=CJ$2)*('Old CCC projections data'!$D$2:$D$271=CJ$3)*('Old CCC projections data'!$F$2:$BN$271))</f>
        <v>18158.050218744018</v>
      </c>
      <c r="CK26" s="20" cm="1">
        <f t="array" ref="CK26">SUMPRODUCT(('Old CCC projections data'!$F$1:$BN$1=$B26)*('Old CCC projections data'!$A$2:$A$271=CK$2)*('Old CCC projections data'!$D$2:$D$271=CK$3)*('Old CCC projections data'!$F$2:$BN$271))</f>
        <v>17885.63391666779</v>
      </c>
      <c r="CL26" s="20" cm="1">
        <f t="array" ref="CL26">SUMPRODUCT(('Old CCC projections data'!$F$1:$BN$1=$B26)*('Old CCC projections data'!$A$2:$A$271=CL$2)*('Old CCC projections data'!$D$2:$D$271=CL$3)*('Old CCC projections data'!$F$2:$BN$271))</f>
        <v>24186.398223759134</v>
      </c>
      <c r="CM26" s="20" cm="1">
        <f t="array" ref="CM26">SUMPRODUCT(('Old CCC projections data'!$F$1:$BN$1=$B26)*('Old CCC projections data'!$A$2:$A$271=CM$2)*('Old CCC projections data'!$D$2:$D$271=CM$3)*('Old CCC projections data'!$F$2:$BN$271))</f>
        <v>20953.1374198011</v>
      </c>
      <c r="CN26" s="20" cm="1">
        <f t="array" ref="CN26">SUMPRODUCT(('Old CCC projections data'!$F$1:$BN$1=$B26)*('Old CCC projections data'!$A$2:$A$271=CN$2)*('Old CCC projections data'!$D$2:$D$271=CN$3)*('Old CCC projections data'!$F$2:$BN$271))</f>
        <v>25554.044378704555</v>
      </c>
      <c r="CO26" s="20" cm="1">
        <f t="array" ref="CO26">SUMPRODUCT(('Old CCC projections data'!$F$1:$BN$1=$B26)*('Old CCC projections data'!$A$2:$A$271=CO$2)*('Old CCC projections data'!$D$2:$D$271=CO$3)*('Old CCC projections data'!$F$2:$BN$271))</f>
        <v>12528.833796219111</v>
      </c>
      <c r="CP26" s="20" cm="1">
        <f t="array" ref="CP26">SUMPRODUCT(('Old CCC projections data'!$F$1:$BN$1=$B26)*('Old CCC projections data'!$A$2:$A$271=CP$2)*('Old CCC projections data'!$D$2:$D$271=CP$3)*('Old CCC projections data'!$F$2:$BN$271))</f>
        <v>11236.38040552808</v>
      </c>
      <c r="CQ26" s="20" cm="1">
        <f t="array" ref="CQ26">SUMPRODUCT(('Old CCC projections data'!$F$1:$BN$1=$B26)*('Old CCC projections data'!$A$2:$A$271=CQ$2)*('Old CCC projections data'!$D$2:$D$271=CQ$3)*('Old CCC projections data'!$F$2:$BN$271))</f>
        <v>10071.193501248657</v>
      </c>
      <c r="CR26" s="20" cm="1">
        <f t="array" ref="CR26">SUMPRODUCT(('Old CCC projections data'!$F$1:$BN$1=$B26)*('Old CCC projections data'!$A$2:$A$271=CR$2)*('Old CCC projections data'!$D$2:$D$271=CR$3)*('Old CCC projections data'!$F$2:$BN$271))</f>
        <v>9355.8625592039552</v>
      </c>
      <c r="CS26" s="20" cm="1">
        <f t="array" ref="CS26">SUMPRODUCT(('Old CCC projections data'!$F$1:$BN$1=$B26)*('Old CCC projections data'!$A$2:$A$271=CS$2)*('Old CCC projections data'!$D$2:$D$271=CS$3)*('Old CCC projections data'!$F$2:$BN$271))</f>
        <v>9068.7442812650497</v>
      </c>
      <c r="CT26" s="20" cm="1">
        <f t="array" ref="CT26">SUMPRODUCT(('Old CCC projections data'!$F$1:$BN$1=$B26)*('Old CCC projections data'!$A$2:$A$271=CT$2)*('Old CCC projections data'!$D$2:$D$271=CT$3)*('Old CCC projections data'!$F$2:$BN$271))</f>
        <v>15260.416573207891</v>
      </c>
      <c r="CU26" s="20" cm="1">
        <f t="array" ref="CU26">SUMPRODUCT(('Old CCC projections data'!$F$1:$BN$1=$B26)*('Old CCC projections data'!$A$2:$A$271=CU$2)*('Old CCC projections data'!$D$2:$D$271=CU$3)*('Old CCC projections data'!$F$2:$BN$271))</f>
        <v>15001.600024061454</v>
      </c>
      <c r="CV26" s="20" cm="1">
        <f t="array" ref="CV26">SUMPRODUCT(('Old CCC projections data'!$F$1:$BN$1=$B26)*('Old CCC projections data'!$A$2:$A$271=CV$2)*('Old CCC projections data'!$D$2:$D$271=CV$3)*('Old CCC projections data'!$F$2:$BN$271))</f>
        <v>12121.314614694558</v>
      </c>
      <c r="CW26" s="20" cm="1">
        <f t="array" ref="CW26">SUMPRODUCT(('Old CCC projections data'!$F$1:$BN$1=$B26)*('Old CCC projections data'!$A$2:$A$271=CW$2)*('Old CCC projections data'!$D$2:$D$271=CW$3)*('Old CCC projections data'!$F$2:$BN$271))</f>
        <v>16865.01068086371</v>
      </c>
      <c r="CX26" s="20">
        <f t="shared" si="19"/>
        <v>5093.3805508524747</v>
      </c>
      <c r="CY26" s="20" t="str">
        <f t="shared" si="29"/>
        <v>Demo path - C price $100 3%</v>
      </c>
      <c r="CZ26" s="3">
        <f t="shared" si="30"/>
        <v>2044</v>
      </c>
      <c r="DA26" s="18">
        <f t="shared" si="31"/>
        <v>0</v>
      </c>
      <c r="DB26" s="18">
        <f ca="1">(H29+IF($DB$3&gt;0,NPV($DB$2,H30:OFFSET(H29,$DB$3,0)),0))/($DB$3+1)</f>
        <v>140.53581001590615</v>
      </c>
      <c r="DC26" s="18">
        <f t="shared" ca="1" si="20"/>
        <v>40.535810015906151</v>
      </c>
      <c r="DD26" s="18">
        <f t="shared" si="32"/>
        <v>100</v>
      </c>
      <c r="DE26" s="20">
        <f t="shared" si="21"/>
        <v>18472.725707396126</v>
      </c>
      <c r="DF26" s="20" cm="1">
        <f t="array" ref="DF26">SUMPRODUCT(($BG$2:$BM$2=CY26)*($B$5:$B$35=CZ26)*($BG$5:$BM$35))</f>
        <v>13641.882633335566</v>
      </c>
      <c r="DG26" s="20">
        <f t="shared" si="16"/>
        <v>4830.84307406056</v>
      </c>
      <c r="DH26" s="20" cm="1">
        <f t="array" ref="DH26">IF(CZ26=2023,SUMPRODUCT(($B$5:$B$35=CZ26-1)*($BN$5:$BN$35))-SUMPRODUCT(($BG$2:$BM$2=CY26)*($B$5:$B$35=CZ26-1)*($BG$5:$BM$35)),DG25)</f>
        <v>4823.4576894066031</v>
      </c>
      <c r="DI26" s="18">
        <f t="shared" ca="1" si="17"/>
        <v>140.53581001590615</v>
      </c>
      <c r="DJ26" s="89">
        <f t="shared" si="22"/>
        <v>8.482776280909567</v>
      </c>
      <c r="DK26" s="89">
        <f t="shared" si="23"/>
        <v>8.4812463128102618</v>
      </c>
      <c r="DL26" s="89">
        <f t="shared" ca="1" si="24"/>
        <v>4.9454623318565947</v>
      </c>
      <c r="DM26" s="20">
        <f t="shared" ca="1" si="25"/>
        <v>2937.359855557932</v>
      </c>
      <c r="DN26" s="20">
        <f t="shared" ca="1" si="26"/>
        <v>3963.4023431558694</v>
      </c>
      <c r="DO26" s="20">
        <f t="shared" ca="1" si="27"/>
        <v>3450.3810993569004</v>
      </c>
      <c r="DP26" s="113"/>
      <c r="DQ26" s="2"/>
      <c r="DR26" s="3"/>
      <c r="DS26" s="15"/>
      <c r="DT26" s="15" t="s">
        <v>263</v>
      </c>
      <c r="DU26" s="15" t="s">
        <v>264</v>
      </c>
      <c r="DV26" s="15" t="s">
        <v>265</v>
      </c>
      <c r="DW26" s="15" t="s">
        <v>266</v>
      </c>
      <c r="DX26" s="15" t="s">
        <v>267</v>
      </c>
    </row>
    <row r="27" spans="1:131" x14ac:dyDescent="0.25">
      <c r="A27">
        <v>0.5</v>
      </c>
      <c r="B27">
        <f t="shared" si="28"/>
        <v>2042</v>
      </c>
      <c r="C27" s="190">
        <f>IF(C26*(1+A27*Model!$B$19*IF(Model!$B$28=0,1,((Model!$B$28-B27)/(Model!$B$28-$B$9))))&gt;Model!$B$44,C26*(1+A27*Model!$B$19*IF(Model!$B$28=0,1,((Model!$B$28-B27)/(Model!$B$28-$B$9)))),Model!$B$44)</f>
        <v>61.343973477262644</v>
      </c>
      <c r="D27" s="18" cm="1">
        <f t="array" ref="D27">SUMPRODUCT(('Old CCC projections data'!$F$1:$BN$1=$B27)*('Old CCC projections data'!$A$2:$A$271=D$2)*('Old CCC projections data'!$D$2:$D$271=D$3)*('Old CCC projections data'!$F$2:$BN$271))*Model!$B$47</f>
        <v>41.549707602339183</v>
      </c>
      <c r="E27" s="18" cm="1">
        <f t="array" ref="E27">SUMPRODUCT(('Old CCC projections data'!$F$1:$BN$1=$B27)*('Old CCC projections data'!$A$2:$A$271=E$2)*('Old CCC projections data'!$D$2:$D$271=E$3)*('Old CCC projections data'!$F$2:$BN$271))*Model!$B$47</f>
        <v>1.1871345029239767E-2</v>
      </c>
      <c r="F27" s="18"/>
      <c r="G27" s="18"/>
      <c r="H27" s="18" cm="1">
        <f t="array" ref="H27">SUMPRODUCT(('Old CCC projections data'!$F$1:$BN$1=$B27)*('Old CCC projections data'!$A$2:$A$271=H$2)*('Old CCC projections data'!$D$2:$D$271=H$3)*('Old CCC projections data'!$F$2:$BN$271))*Model!$B$47</f>
        <v>208.16475366938687</v>
      </c>
      <c r="I27" s="18" cm="1">
        <f t="array" ref="I27">SUMPRODUCT(('Old CCC projections data'!$F$1:$BN$1=$B27)*('Old CCC projections data'!$A$2:$A$271=I$2)*('Old CCC projections data'!$D$2:$D$271=I$3)*('Old CCC projections data'!$F$2:$BN$271))*Model!$B$47</f>
        <v>312.2471305040803</v>
      </c>
      <c r="J27" s="18" cm="1">
        <f t="array" ref="J27">SUMPRODUCT(('Old CCC projections data'!$F$1:$BN$1=$B27)*('Old CCC projections data'!$A$2:$A$271=J$2)*('Old CCC projections data'!$D$2:$D$271=J$3)*('Old CCC projections data'!$F$2:$BN$271))*Model!$B$47</f>
        <v>416.32950733877374</v>
      </c>
      <c r="K27" s="18" cm="1">
        <f t="array" ref="K27">SUMPRODUCT(('Old CCC projections data'!$F$1:$BN$1=$B27)*('Old CCC projections data'!$A$2:$A$271=K$2)*('Old CCC projections data'!$D$2:$D$271=K$3)*('Old CCC projections data'!$F$2:$BN$271))*Model!$B$47</f>
        <v>520.41188417346723</v>
      </c>
      <c r="L27" s="18" cm="1">
        <f t="array" ref="L27">SUMPRODUCT(('Old CCC projections data'!$F$1:$BN$1=$B27)*('Old CCC projections data'!$A$2:$A$271=L$2)*('Old CCC projections data'!$D$2:$D$271=L$3)*('Old CCC projections data'!$F$2:$BN$271))*Model!$B$47</f>
        <v>624.49426100816061</v>
      </c>
      <c r="M27" s="18" cm="1">
        <f t="array" ref="M27">SUMPRODUCT(('Old CCC projections data'!$F$1:$BN$1=$B27)*('Old CCC projections data'!$A$2:$A$271=M$2)*('Old CCC projections data'!$D$2:$D$271=M$3)*('Old CCC projections data'!$F$2:$BN$271))*Model!$B$47</f>
        <v>104.08237683469343</v>
      </c>
      <c r="N27" s="189" cm="1">
        <f t="array" ref="N27">SUMPRODUCT(('Old CCC projections data'!$F$1:$BN$1=$B27)*('Old CCC projections data'!$A$2:$A$271=N$2)*('Old CCC projections data'!$D$2:$D$271=N$3)*('Old CCC projections data'!$F$2:$BN$271))*Model!$B$47</f>
        <v>243.65508413502639</v>
      </c>
      <c r="O27" s="18" cm="1">
        <f t="array" ref="O27">SUMPRODUCT(('Old CCC projections data'!$F$1:$BN$1=$B27)*('Old CCC projections data'!$A$2:$A$271=O$2)*('Old CCC projections data'!$D$2:$D$271=O$3)*('Old CCC projections data'!$F$2:$BN$271))*Model!$B$47</f>
        <v>1.1871345029239767E-2</v>
      </c>
      <c r="P27" s="18" cm="1">
        <f t="array" ref="P27">SUMPRODUCT(('Old CCC projections data'!$F$1:$BN$1=$B27)*('Old CCC projections data'!$A$2:$A$271=P$2)*('Old CCC projections data'!$D$2:$D$271=P$3)*('Old CCC projections data'!$F$2:$BN$271))*Model!$B$47</f>
        <v>208.16475366938687</v>
      </c>
      <c r="Q27" s="18" cm="1">
        <f t="array" ref="Q27">SUMPRODUCT(('Old CCC projections data'!$F$1:$BN$1=$B27)*('Old CCC projections data'!$A$2:$A$271=Q$2)*('Old CCC projections data'!$D$2:$D$271=Q$3)*('Old CCC projections data'!$F$2:$BN$271))*Model!$B$47</f>
        <v>312.2471305040803</v>
      </c>
      <c r="R27" s="18" cm="1">
        <f t="array" ref="R27">SUMPRODUCT(('Old CCC projections data'!$F$1:$BN$1=$B27)*('Old CCC projections data'!$A$2:$A$271=R$2)*('Old CCC projections data'!$D$2:$D$271=R$3)*('Old CCC projections data'!$F$2:$BN$271))*Model!$B$47</f>
        <v>416.32950733877374</v>
      </c>
      <c r="S27" s="18" cm="1">
        <f t="array" ref="S27">SUMPRODUCT(('Old CCC projections data'!$F$1:$BN$1=$B27)*('Old CCC projections data'!$A$2:$A$271=S$2)*('Old CCC projections data'!$D$2:$D$271=S$3)*('Old CCC projections data'!$F$2:$BN$271))*Model!$B$47</f>
        <v>520.41188417346723</v>
      </c>
      <c r="T27" s="18" cm="1">
        <f t="array" ref="T27">SUMPRODUCT(('Old CCC projections data'!$F$1:$BN$1=$B27)*('Old CCC projections data'!$A$2:$A$271=T$2)*('Old CCC projections data'!$D$2:$D$271=T$3)*('Old CCC projections data'!$F$2:$BN$271))*Model!$B$47</f>
        <v>624.49426100816061</v>
      </c>
      <c r="U27" s="18" cm="1">
        <f t="array" ref="U27">SUMPRODUCT(('Old CCC projections data'!$F$1:$BN$1=$B27)*('Old CCC projections data'!$A$2:$A$271=U$2)*('Old CCC projections data'!$D$2:$D$271=U$3)*('Old CCC projections data'!$F$2:$BN$271))*Model!$B$47</f>
        <v>104.08237683469343</v>
      </c>
      <c r="V27" s="18" cm="1">
        <f t="array" ref="V27">SUMPRODUCT(('Old CCC projections data'!$F$1:$BN$1=$B27)*('Old CCC projections data'!$A$2:$A$271=V$2)*('Old CCC projections data'!$D$2:$D$271=V$3)*('Old CCC projections data'!$F$2:$BN$271))*Model!$B$47</f>
        <v>243.65508413502639</v>
      </c>
      <c r="W27" s="18" cm="1">
        <f t="array" ref="W27">SUMPRODUCT(('Old CCC projections data'!$F$1:$BN$1=$B27)*('Old CCC projections data'!$A$2:$A$271=W$2)*('Old CCC projections data'!$D$2:$D$271=W$3)*('Old CCC projections data'!$F$2:$BN$271))*Model!$B$47</f>
        <v>1.1871345029239767E-2</v>
      </c>
      <c r="X27" s="18" cm="1">
        <f t="array" ref="X27">SUMPRODUCT(('Old CCC projections data'!$F$1:$BN$1=$B27)*('Old CCC projections data'!$A$2:$A$271=X$2)*('Old CCC projections data'!$D$2:$D$271=X$3)*('Old CCC projections data'!$F$2:$BN$271))*Model!$B$47</f>
        <v>208.16475366938687</v>
      </c>
      <c r="Y27" s="18" cm="1">
        <f t="array" ref="Y27">SUMPRODUCT(('Old CCC projections data'!$F$1:$BN$1=$B27)*('Old CCC projections data'!$A$2:$A$271=Y$2)*('Old CCC projections data'!$D$2:$D$271=Y$3)*('Old CCC projections data'!$F$2:$BN$271))*Model!$B$47</f>
        <v>312.2471305040803</v>
      </c>
      <c r="Z27" s="18" cm="1">
        <f t="array" ref="Z27">SUMPRODUCT(('Old CCC projections data'!$F$1:$BN$1=$B27)*('Old CCC projections data'!$A$2:$A$271=Z$2)*('Old CCC projections data'!$D$2:$D$271=Z$3)*('Old CCC projections data'!$F$2:$BN$271))*Model!$B$47</f>
        <v>416.32950733877374</v>
      </c>
      <c r="AA27" s="18" cm="1">
        <f t="array" ref="AA27">SUMPRODUCT(('Old CCC projections data'!$F$1:$BN$1=$B27)*('Old CCC projections data'!$A$2:$A$271=AA$2)*('Old CCC projections data'!$D$2:$D$271=AA$3)*('Old CCC projections data'!$F$2:$BN$271))*Model!$B$47</f>
        <v>520.41188417346723</v>
      </c>
      <c r="AB27" s="18" cm="1">
        <f t="array" ref="AB27">SUMPRODUCT(('Old CCC projections data'!$F$1:$BN$1=$B27)*('Old CCC projections data'!$A$2:$A$271=AB$2)*('Old CCC projections data'!$D$2:$D$271=AB$3)*('Old CCC projections data'!$F$2:$BN$271))*Model!$B$47</f>
        <v>624.49426100816061</v>
      </c>
      <c r="AC27" s="18" cm="1">
        <f t="array" ref="AC27">SUMPRODUCT(('Old CCC projections data'!$F$1:$BN$1=$B27)*('Old CCC projections data'!$A$2:$A$271=AC$2)*('Old CCC projections data'!$D$2:$D$271=AC$3)*('Old CCC projections data'!$F$2:$BN$271))*Model!$B$47</f>
        <v>104.08237683469343</v>
      </c>
      <c r="AD27" s="18" cm="1">
        <f t="array" ref="AD27">SUMPRODUCT(('Old CCC projections data'!$F$1:$BN$1=$B27)*('Old CCC projections data'!$A$2:$A$271=AD$2)*('Old CCC projections data'!$D$2:$D$271=AD$3)*('Old CCC projections data'!$F$2:$BN$271))*Model!$B$47</f>
        <v>114.49061451816274</v>
      </c>
      <c r="AE27" s="18" cm="1">
        <f t="array" ref="AE27">SUMPRODUCT(('Old CCC projections data'!$F$1:$BN$1=$B27)*('Old CCC projections data'!$A$2:$A$271=AE$2)*('Old CCC projections data'!$D$2:$D$271=AE$3)*('Old CCC projections data'!$F$2:$BN$271))*Model!$B$47</f>
        <v>243.65508413502639</v>
      </c>
      <c r="AF27" s="18" cm="1">
        <f t="array" ref="AF27">SUMPRODUCT(('Old CCC projections data'!$F$1:$BN$1=$B27)*('Old CCC projections data'!$A$2:$A$271=AF$2)*('Old CCC projections data'!$D$2:$D$271=AF$3)*('Old CCC projections data'!$F$2:$BN$271))*Model!$B$47</f>
        <v>1.1871345029239767E-2</v>
      </c>
      <c r="AG27" s="18" cm="1">
        <f t="array" ref="AG27">SUMPRODUCT(('Old CCC projections data'!$F$1:$BN$1=$B27)*('Old CCC projections data'!$A$2:$A$271=AG$2)*('Old CCC projections data'!$D$2:$D$271=AG$3)*('Old CCC projections data'!$F$2:$BN$271))*Model!$B$47</f>
        <v>208.16475366938687</v>
      </c>
      <c r="AH27" s="18" cm="1">
        <f t="array" ref="AH27">SUMPRODUCT(('Old CCC projections data'!$F$1:$BN$1=$B27)*('Old CCC projections data'!$A$2:$A$271=AH$2)*('Old CCC projections data'!$D$2:$D$271=AH$3)*('Old CCC projections data'!$F$2:$BN$271))*Model!$B$47</f>
        <v>312.2471305040803</v>
      </c>
      <c r="AI27" s="18" cm="1">
        <f t="array" ref="AI27">SUMPRODUCT(('Old CCC projections data'!$F$1:$BN$1=$B27)*('Old CCC projections data'!$A$2:$A$271=AI$2)*('Old CCC projections data'!$D$2:$D$271=AI$3)*('Old CCC projections data'!$F$2:$BN$271))*Model!$B$47</f>
        <v>416.32950733877374</v>
      </c>
      <c r="AJ27" s="18" cm="1">
        <f t="array" ref="AJ27">SUMPRODUCT(('Old CCC projections data'!$F$1:$BN$1=$B27)*('Old CCC projections data'!$A$2:$A$271=AJ$2)*('Old CCC projections data'!$D$2:$D$271=AJ$3)*('Old CCC projections data'!$F$2:$BN$271))*Model!$B$47</f>
        <v>520.41188417346723</v>
      </c>
      <c r="AK27" s="18" cm="1">
        <f t="array" ref="AK27">SUMPRODUCT(('Old CCC projections data'!$F$1:$BN$1=$B27)*('Old CCC projections data'!$A$2:$A$271=AK$2)*('Old CCC projections data'!$D$2:$D$271=AK$3)*('Old CCC projections data'!$F$2:$BN$271))*Model!$B$47</f>
        <v>562.04483490734469</v>
      </c>
      <c r="AL27" s="18" cm="1">
        <f t="array" ref="AL27">SUMPRODUCT(('Old CCC projections data'!$F$1:$BN$1=$B27)*('Old CCC projections data'!$A$2:$A$271=AL$2)*('Old CCC projections data'!$D$2:$D$271=AL$3)*('Old CCC projections data'!$F$2:$BN$271))*Model!$B$47</f>
        <v>624.49426100816061</v>
      </c>
      <c r="AM27" s="18" cm="1">
        <f t="array" ref="AM27">SUMPRODUCT(('Old CCC projections data'!$F$1:$BN$1=$B27)*('Old CCC projections data'!$A$2:$A$271=AM$2)*('Old CCC projections data'!$D$2:$D$271=AM$3)*('Old CCC projections data'!$F$2:$BN$271))*Model!$B$47</f>
        <v>104.08237683469343</v>
      </c>
      <c r="AN27" s="18" cm="1">
        <f t="array" ref="AN27">SUMPRODUCT(('Old CCC projections data'!$F$1:$BN$1=$B27)*('Old CCC projections data'!$A$2:$A$271=AN$2)*('Old CCC projections data'!$D$2:$D$271=AN$3)*('Old CCC projections data'!$F$2:$BN$271))*Model!$B$47</f>
        <v>243.65508413502639</v>
      </c>
      <c r="AO27" s="18" cm="1">
        <f t="array" ref="AO27">SUMPRODUCT(('Old CCC projections data'!$F$1:$BN$1=$B27)*('Old CCC projections data'!$A$2:$A$271=AO$2)*('Old CCC projections data'!$D$2:$D$271=AO$3)*('Old CCC projections data'!$F$2:$BN$271))*Model!$B$47</f>
        <v>1.1871345029239767E-2</v>
      </c>
      <c r="AP27" s="18" cm="1">
        <f t="array" ref="AP27">SUMPRODUCT(('Old CCC projections data'!$F$1:$BN$1=$B27)*('Old CCC projections data'!$A$2:$A$271=AP$2)*('Old CCC projections data'!$D$2:$D$271=AP$3)*('Old CCC projections data'!$F$2:$BN$271))*Model!$B$47</f>
        <v>208.16475366938687</v>
      </c>
      <c r="AQ27" s="18" cm="1">
        <f t="array" ref="AQ27">SUMPRODUCT(('Old CCC projections data'!$F$1:$BN$1=$B27)*('Old CCC projections data'!$A$2:$A$271=AQ$2)*('Old CCC projections data'!$D$2:$D$271=AQ$3)*('Old CCC projections data'!$F$2:$BN$271))*Model!$B$47</f>
        <v>312.2471305040803</v>
      </c>
      <c r="AR27" s="18" cm="1">
        <f t="array" ref="AR27">SUMPRODUCT(('Old CCC projections data'!$F$1:$BN$1=$B27)*('Old CCC projections data'!$A$2:$A$271=AR$2)*('Old CCC projections data'!$D$2:$D$271=AR$3)*('Old CCC projections data'!$F$2:$BN$271))*Model!$B$47</f>
        <v>416.32950733877374</v>
      </c>
      <c r="AS27" s="18" cm="1">
        <f t="array" ref="AS27">SUMPRODUCT(('Old CCC projections data'!$F$1:$BN$1=$B27)*('Old CCC projections data'!$A$2:$A$271=AS$2)*('Old CCC projections data'!$D$2:$D$271=AS$3)*('Old CCC projections data'!$F$2:$BN$271))*Model!$B$47</f>
        <v>520.41188417346723</v>
      </c>
      <c r="AT27" s="18" cm="1">
        <f t="array" ref="AT27">SUMPRODUCT(('Old CCC projections data'!$F$1:$BN$1=$B27)*('Old CCC projections data'!$A$2:$A$271=AT$2)*('Old CCC projections data'!$D$2:$D$271=AT$3)*('Old CCC projections data'!$F$2:$BN$271))*Model!$B$47</f>
        <v>624.49426100816061</v>
      </c>
      <c r="AU27" s="18" cm="1">
        <f t="array" ref="AU27">SUMPRODUCT(('Old CCC projections data'!$F$1:$BN$1=$B27)*('Old CCC projections data'!$A$2:$A$271=AU$2)*('Old CCC projections data'!$D$2:$D$271=AU$3)*('Old CCC projections data'!$F$2:$BN$271))*Model!$B$47</f>
        <v>104.08237683469343</v>
      </c>
      <c r="AV27" s="18" cm="1">
        <f t="array" ref="AV27">SUMPRODUCT(('Old CCC projections data'!$F$1:$BN$1=$B27)*('Old CCC projections data'!$A$2:$A$271=AV$2)*('Old CCC projections data'!$D$2:$D$271=AV$3)*('Old CCC projections data'!$F$2:$BN$271))*Model!$B$47</f>
        <v>114.49061451816274</v>
      </c>
      <c r="AW27" s="18" cm="1">
        <f t="array" ref="AW27">SUMPRODUCT(('Old CCC projections data'!$F$1:$BN$1=$B27)*('Old CCC projections data'!$A$2:$A$271=AW$2)*('Old CCC projections data'!$D$2:$D$271=AW$3)*('Old CCC projections data'!$F$2:$BN$271))*Model!$B$47</f>
        <v>243.65508413502639</v>
      </c>
      <c r="AX27" s="18" cm="1">
        <f t="array" ref="AX27">SUMPRODUCT(('Old CCC projections data'!$F$1:$BN$1=$B27)*('Old CCC projections data'!$A$2:$A$271=AX$2)*('Old CCC projections data'!$D$2:$D$271=AX$3)*('Old CCC projections data'!$F$2:$BN$271))*Model!$B$47</f>
        <v>1.1871345029239767E-2</v>
      </c>
      <c r="AY27" s="18">
        <v>50</v>
      </c>
      <c r="AZ27" s="18">
        <v>35</v>
      </c>
      <c r="BA27" s="18">
        <v>70</v>
      </c>
      <c r="BB27" s="18"/>
      <c r="BC27" s="20" cm="1">
        <f t="array" ref="BC27">SUMPRODUCT(('Old CCC projections data'!$F$1:$BN$1=$B27)*('Old CCC projections data'!$A$2:$A$271=BC$2)*('Old CCC projections data'!$D$2:$D$271=BC$3)*('Old CCC projections data'!$F$2:$BN$271))</f>
        <v>29656.68630548074</v>
      </c>
      <c r="BD27" s="20" cm="1">
        <f t="array" ref="BD27">SUMPRODUCT(('Old CCC projections data'!$F$1:$BN$1=$B27)*('Old CCC projections data'!$A$2:$A$271=BD$2)*('Old CCC projections data'!$D$2:$D$271=BD$3)*('Old CCC projections data'!$F$2:$BN$271))</f>
        <v>30039.267644417927</v>
      </c>
      <c r="BE27" s="20"/>
      <c r="BF27" s="20"/>
      <c r="BG27" s="20" cm="1">
        <f t="array" ref="BG27">SUMPRODUCT(('Old CCC projections data'!$F$1:$BN$1=$B27)*('Old CCC projections data'!$A$2:$A$271=BG$2)*('Old CCC projections data'!$D$2:$D$271=BG$3)*('Old CCC projections data'!$F$2:$BN$271))</f>
        <v>15319.053840433871</v>
      </c>
      <c r="BH27" s="20" cm="1">
        <f t="array" ref="BH27">SUMPRODUCT(('Old CCC projections data'!$F$1:$BN$1=$B27)*('Old CCC projections data'!$A$2:$A$271=BH$2)*('Old CCC projections data'!$D$2:$D$271=BH$3)*('Old CCC projections data'!$F$2:$BN$271))</f>
        <v>14220.398835839931</v>
      </c>
      <c r="BI27" s="20" cm="1">
        <f t="array" ref="BI27">SUMPRODUCT(('Old CCC projections data'!$F$1:$BN$1=$B27)*('Old CCC projections data'!$A$2:$A$271=BI$2)*('Old CCC projections data'!$D$2:$D$271=BI$3)*('Old CCC projections data'!$F$2:$BN$271))</f>
        <v>12890.677655791927</v>
      </c>
      <c r="BJ27" s="20" cm="1">
        <f t="array" ref="BJ27">SUMPRODUCT(('Old CCC projections data'!$F$1:$BN$1=$B27)*('Old CCC projections data'!$A$2:$A$271=BJ$2)*('Old CCC projections data'!$D$2:$D$271=BJ$3)*('Old CCC projections data'!$F$2:$BN$271))</f>
        <v>12530.443427230426</v>
      </c>
      <c r="BK27" s="20" cm="1">
        <f t="array" ref="BK27">SUMPRODUCT(('Old CCC projections data'!$F$1:$BN$1=$B27)*('Old CCC projections data'!$A$2:$A$271=BK$2)*('Old CCC projections data'!$D$2:$D$271=BK$3)*('Old CCC projections data'!$F$2:$BN$271))</f>
        <v>12194.629153327802</v>
      </c>
      <c r="BL27" s="20" cm="1">
        <f t="array" ref="BL27">SUMPRODUCT(('Old CCC projections data'!$F$1:$BN$1=$B27)*('Old CCC projections data'!$A$2:$A$271=BL$2)*('Old CCC projections data'!$D$2:$D$271=BL$3)*('Old CCC projections data'!$F$2:$BN$271))</f>
        <v>17948.002254739178</v>
      </c>
      <c r="BM27" s="20" cm="1">
        <f t="array" ref="BM27">SUMPRODUCT(('Old CCC projections data'!$F$1:$BN$1=$B27)*('Old CCC projections data'!$A$2:$A$271=BM$2)*('Old CCC projections data'!$D$2:$D$271=BM$3)*('Old CCC projections data'!$F$2:$BN$271))</f>
        <v>14961.00926081207</v>
      </c>
      <c r="BN27" s="20" cm="1">
        <f t="array" ref="BN27">SUMPRODUCT(('Old CCC projections data'!$F$1:$BN$1=$B27)*('Old CCC projections data'!$A$2:$A$271=BN$2)*('Old CCC projections data'!$D$2:$D$271=BN$3)*('Old CCC projections data'!$F$2:$BN$271))</f>
        <v>20178.380919926673</v>
      </c>
      <c r="BO27" s="20" cm="1">
        <f t="array" ref="BO27">SUMPRODUCT(('Old CCC projections data'!$F$1:$BN$1=$B27)*('Old CCC projections data'!$A$2:$A$271=BO$2)*('Old CCC projections data'!$D$2:$D$271=BO$3)*('Old CCC projections data'!$F$2:$BN$271))</f>
        <v>18469.539707904896</v>
      </c>
      <c r="BP27" s="20" cm="1">
        <f t="array" ref="BP27">SUMPRODUCT(('Old CCC projections data'!$F$1:$BN$1=$B27)*('Old CCC projections data'!$A$2:$A$271=BP$2)*('Old CCC projections data'!$D$2:$D$271=BP$3)*('Old CCC projections data'!$F$2:$BN$271))</f>
        <v>16596.880860396945</v>
      </c>
      <c r="BQ27" s="20" cm="1">
        <f t="array" ref="BQ27">SUMPRODUCT(('Old CCC projections data'!$F$1:$BN$1=$B27)*('Old CCC projections data'!$A$2:$A$271=BQ$2)*('Old CCC projections data'!$D$2:$D$271=BQ$3)*('Old CCC projections data'!$F$2:$BN$271))</f>
        <v>15286.660612909685</v>
      </c>
      <c r="BR27" s="20" cm="1">
        <f t="array" ref="BR27">SUMPRODUCT(('Old CCC projections data'!$F$1:$BN$1=$B27)*('Old CCC projections data'!$A$2:$A$271=BR$2)*('Old CCC projections data'!$D$2:$D$271=BR$3)*('Old CCC projections data'!$F$2:$BN$271))</f>
        <v>14397.518206087558</v>
      </c>
      <c r="BS27" s="20" cm="1">
        <f t="array" ref="BS27">SUMPRODUCT(('Old CCC projections data'!$F$1:$BN$1=$B27)*('Old CCC projections data'!$A$2:$A$271=BS$2)*('Old CCC projections data'!$D$2:$D$271=BS$3)*('Old CCC projections data'!$F$2:$BN$271))</f>
        <v>13997.801508278608</v>
      </c>
      <c r="BT27" s="20" cm="1">
        <f t="array" ref="BT27">SUMPRODUCT(('Old CCC projections data'!$F$1:$BN$1=$B27)*('Old CCC projections data'!$A$2:$A$271=BT$2)*('Old CCC projections data'!$D$2:$D$271=BT$3)*('Old CCC projections data'!$F$2:$BN$271))</f>
        <v>21100.829134573978</v>
      </c>
      <c r="BU27" s="20" cm="1">
        <f t="array" ref="BU27">SUMPRODUCT(('Old CCC projections data'!$F$1:$BN$1=$B27)*('Old CCC projections data'!$A$2:$A$271=BU$2)*('Old CCC projections data'!$D$2:$D$271=BU$3)*('Old CCC projections data'!$F$2:$BN$271))</f>
        <v>17820.321666247473</v>
      </c>
      <c r="BV27" s="20" cm="1">
        <f t="array" ref="BV27">SUMPRODUCT(('Old CCC projections data'!$F$1:$BN$1=$B27)*('Old CCC projections data'!$A$2:$A$271=BV$2)*('Old CCC projections data'!$D$2:$D$271=BV$3)*('Old CCC projections data'!$F$2:$BN$271))</f>
        <v>22246.771102855968</v>
      </c>
      <c r="BW27" s="20" cm="1">
        <f t="array" ref="BW27">SUMPRODUCT(('Old CCC projections data'!$F$1:$BN$1=$B27)*('Old CCC projections data'!$A$2:$A$271=BW$2)*('Old CCC projections data'!$D$2:$D$271=BW$3)*('Old CCC projections data'!$F$2:$BN$271))</f>
        <v>13697.301205127134</v>
      </c>
      <c r="BX27" s="20" cm="1">
        <f t="array" ref="BX27">SUMPRODUCT(('Old CCC projections data'!$F$1:$BN$1=$B27)*('Old CCC projections data'!$A$2:$A$271=BX$2)*('Old CCC projections data'!$D$2:$D$271=BX$3)*('Old CCC projections data'!$F$2:$BN$271))</f>
        <v>12366.807671038652</v>
      </c>
      <c r="BY27" s="20" cm="1">
        <f t="array" ref="BY27">SUMPRODUCT(('Old CCC projections data'!$F$1:$BN$1=$B27)*('Old CCC projections data'!$A$2:$A$271=BY$2)*('Old CCC projections data'!$D$2:$D$271=BY$3)*('Old CCC projections data'!$F$2:$BN$271))</f>
        <v>11698.766111113964</v>
      </c>
      <c r="BZ27" s="20" cm="1">
        <f t="array" ref="BZ27">SUMPRODUCT(('Old CCC projections data'!$F$1:$BN$1=$B27)*('Old CCC projections data'!$A$2:$A$271=BZ$2)*('Old CCC projections data'!$D$2:$D$271=BZ$3)*('Old CCC projections data'!$F$2:$BN$271))</f>
        <v>11585.069409049533</v>
      </c>
      <c r="CA27" s="20" cm="1">
        <f t="array" ref="CA27">SUMPRODUCT(('Old CCC projections data'!$F$1:$BN$1=$B27)*('Old CCC projections data'!$A$2:$A$271=CA$2)*('Old CCC projections data'!$D$2:$D$271=CA$3)*('Old CCC projections data'!$F$2:$BN$271))</f>
        <v>11501.026515187261</v>
      </c>
      <c r="CB27" s="20" cm="1">
        <f t="array" ref="CB27">SUMPRODUCT(('Old CCC projections data'!$F$1:$BN$1=$B27)*('Old CCC projections data'!$A$2:$A$271=CB$2)*('Old CCC projections data'!$D$2:$D$271=CB$3)*('Old CCC projections data'!$F$2:$BN$271))</f>
        <v>15524.127413097571</v>
      </c>
      <c r="CC27" s="20" cm="1">
        <f t="array" ref="CC27">SUMPRODUCT(('Old CCC projections data'!$F$1:$BN$1=$B27)*('Old CCC projections data'!$A$2:$A$271=CC$2)*('Old CCC projections data'!$D$2:$D$271=CC$3)*('Old CCC projections data'!$F$2:$BN$271))</f>
        <v>15309.47198250021</v>
      </c>
      <c r="CD27" s="20" cm="1">
        <f t="array" ref="CD27">SUMPRODUCT(('Old CCC projections data'!$F$1:$BN$1=$B27)*('Old CCC projections data'!$A$2:$A$271=CD$2)*('Old CCC projections data'!$D$2:$D$271=CD$3)*('Old CCC projections data'!$F$2:$BN$271))</f>
        <v>13331.325880299839</v>
      </c>
      <c r="CE27" s="20" cm="1">
        <f t="array" ref="CE27">SUMPRODUCT(('Old CCC projections data'!$F$1:$BN$1=$B27)*('Old CCC projections data'!$A$2:$A$271=CE$2)*('Old CCC projections data'!$D$2:$D$271=CE$3)*('Old CCC projections data'!$F$2:$BN$271))</f>
        <v>17582.567710956682</v>
      </c>
      <c r="CF27" s="20" cm="1">
        <f t="array" ref="CF27">SUMPRODUCT(('Old CCC projections data'!$F$1:$BN$1=$B27)*('Old CCC projections data'!$A$2:$A$271=CF$2)*('Old CCC projections data'!$D$2:$D$271=CF$3)*('Old CCC projections data'!$F$2:$BN$271))</f>
        <v>20655.48759455113</v>
      </c>
      <c r="CG27" s="20" cm="1">
        <f t="array" ref="CG27">SUMPRODUCT(('Old CCC projections data'!$F$1:$BN$1=$B27)*('Old CCC projections data'!$A$2:$A$271=CG$2)*('Old CCC projections data'!$D$2:$D$271=CG$3)*('Old CCC projections data'!$F$2:$BN$271))</f>
        <v>18898.873564051049</v>
      </c>
      <c r="CH27" s="20" cm="1">
        <f t="array" ref="CH27">SUMPRODUCT(('Old CCC projections data'!$F$1:$BN$1=$B27)*('Old CCC projections data'!$A$2:$A$271=CH$2)*('Old CCC projections data'!$D$2:$D$271=CH$3)*('Old CCC projections data'!$F$2:$BN$271))</f>
        <v>17767.401154520092</v>
      </c>
      <c r="CI27" s="20" cm="1">
        <f t="array" ref="CI27">SUMPRODUCT(('Old CCC projections data'!$F$1:$BN$1=$B27)*('Old CCC projections data'!$A$2:$A$271=CI$2)*('Old CCC projections data'!$D$2:$D$271=CI$3)*('Old CCC projections data'!$F$2:$BN$271))</f>
        <v>17380.446763537118</v>
      </c>
      <c r="CJ27" s="20" cm="1">
        <f t="array" ref="CJ27">SUMPRODUCT(('Old CCC projections data'!$F$1:$BN$1=$B27)*('Old CCC projections data'!$A$2:$A$271=CJ$2)*('Old CCC projections data'!$D$2:$D$271=CJ$3)*('Old CCC projections data'!$F$2:$BN$271))</f>
        <v>17322.130144013281</v>
      </c>
      <c r="CK27" s="20" cm="1">
        <f t="array" ref="CK27">SUMPRODUCT(('Old CCC projections data'!$F$1:$BN$1=$B27)*('Old CCC projections data'!$A$2:$A$271=CK$2)*('Old CCC projections data'!$D$2:$D$271=CK$3)*('Old CCC projections data'!$F$2:$BN$271))</f>
        <v>17050.16060407308</v>
      </c>
      <c r="CL27" s="20" cm="1">
        <f t="array" ref="CL27">SUMPRODUCT(('Old CCC projections data'!$F$1:$BN$1=$B27)*('Old CCC projections data'!$A$2:$A$271=CL$2)*('Old CCC projections data'!$D$2:$D$271=CL$3)*('Old CCC projections data'!$F$2:$BN$271))</f>
        <v>22924.169244995646</v>
      </c>
      <c r="CM27" s="20" cm="1">
        <f t="array" ref="CM27">SUMPRODUCT(('Old CCC projections data'!$F$1:$BN$1=$B27)*('Old CCC projections data'!$A$2:$A$271=CM$2)*('Old CCC projections data'!$D$2:$D$271=CM$3)*('Old CCC projections data'!$F$2:$BN$271))</f>
        <v>19903.060232147138</v>
      </c>
      <c r="CN27" s="20" cm="1">
        <f t="array" ref="CN27">SUMPRODUCT(('Old CCC projections data'!$F$1:$BN$1=$B27)*('Old CCC projections data'!$A$2:$A$271=CN$2)*('Old CCC projections data'!$D$2:$D$271=CN$3)*('Old CCC projections data'!$F$2:$BN$271))</f>
        <v>24694.20479934875</v>
      </c>
      <c r="CO27" s="20" cm="1">
        <f t="array" ref="CO27">SUMPRODUCT(('Old CCC projections data'!$F$1:$BN$1=$B27)*('Old CCC projections data'!$A$2:$A$271=CO$2)*('Old CCC projections data'!$D$2:$D$271=CO$3)*('Old CCC projections data'!$F$2:$BN$271))</f>
        <v>11599.232933005058</v>
      </c>
      <c r="CP27" s="20" cm="1">
        <f t="array" ref="CP27">SUMPRODUCT(('Old CCC projections data'!$F$1:$BN$1=$B27)*('Old CCC projections data'!$A$2:$A$271=CP$2)*('Old CCC projections data'!$D$2:$D$271=CP$3)*('Old CCC projections data'!$F$2:$BN$271))</f>
        <v>10480.462666959444</v>
      </c>
      <c r="CQ27" s="20" cm="1">
        <f t="array" ref="CQ27">SUMPRODUCT(('Old CCC projections data'!$F$1:$BN$1=$B27)*('Old CCC projections data'!$A$2:$A$271=CQ$2)*('Old CCC projections data'!$D$2:$D$271=CQ$3)*('Old CCC projections data'!$F$2:$BN$271))</f>
        <v>9143.7625450860542</v>
      </c>
      <c r="CR27" s="20" cm="1">
        <f t="array" ref="CR27">SUMPRODUCT(('Old CCC projections data'!$F$1:$BN$1=$B27)*('Old CCC projections data'!$A$2:$A$271=CR$2)*('Old CCC projections data'!$D$2:$D$271=CR$3)*('Old CCC projections data'!$F$2:$BN$271))</f>
        <v>8740.2299490300866</v>
      </c>
      <c r="CS27" s="20" cm="1">
        <f t="array" ref="CS27">SUMPRODUCT(('Old CCC projections data'!$F$1:$BN$1=$B27)*('Old CCC projections data'!$A$2:$A$271=CS$2)*('Old CCC projections data'!$D$2:$D$271=CS$3)*('Old CCC projections data'!$F$2:$BN$271))</f>
        <v>8407.5895572730115</v>
      </c>
      <c r="CT27" s="20" cm="1">
        <f t="array" ref="CT27">SUMPRODUCT(('Old CCC projections data'!$F$1:$BN$1=$B27)*('Old CCC projections data'!$A$2:$A$271=CT$2)*('Old CCC projections data'!$D$2:$D$271=CT$3)*('Old CCC projections data'!$F$2:$BN$271))</f>
        <v>14175.570081049314</v>
      </c>
      <c r="CU27" s="20" cm="1">
        <f t="array" ref="CU27">SUMPRODUCT(('Old CCC projections data'!$F$1:$BN$1=$B27)*('Old CCC projections data'!$A$2:$A$271=CU$2)*('Old CCC projections data'!$D$2:$D$271=CU$3)*('Old CCC projections data'!$F$2:$BN$271))</f>
        <v>13946.350625408024</v>
      </c>
      <c r="CV27" s="20" cm="1">
        <f t="array" ref="CV27">SUMPRODUCT(('Old CCC projections data'!$F$1:$BN$1=$B27)*('Old CCC projections data'!$A$2:$A$271=CV$2)*('Old CCC projections data'!$D$2:$D$271=CV$3)*('Old CCC projections data'!$F$2:$BN$271))</f>
        <v>11245.421858858976</v>
      </c>
      <c r="CW27" s="20" cm="1">
        <f t="array" ref="CW27">SUMPRODUCT(('Old CCC projections data'!$F$1:$BN$1=$B27)*('Old CCC projections data'!$A$2:$A$271=CW$2)*('Old CCC projections data'!$D$2:$D$271=CW$3)*('Old CCC projections data'!$F$2:$BN$271))</f>
        <v>16051.964037189926</v>
      </c>
      <c r="CX27" s="20">
        <f t="shared" si="19"/>
        <v>5217.3716591146022</v>
      </c>
      <c r="CY27" s="20" t="str">
        <f t="shared" si="29"/>
        <v>Demo path - C price $100 3%</v>
      </c>
      <c r="CZ27" s="3">
        <f t="shared" si="30"/>
        <v>2045</v>
      </c>
      <c r="DA27" s="18">
        <f t="shared" si="31"/>
        <v>0</v>
      </c>
      <c r="DB27" s="18">
        <f ca="1">(H30+IF($DB$3&gt;0,NPV($DB$2,H31:OFFSET(H30,$DB$3,0)),0))/($DB$3+1)</f>
        <v>124.07304369975715</v>
      </c>
      <c r="DC27" s="18">
        <f t="shared" ca="1" si="20"/>
        <v>24.07304369975715</v>
      </c>
      <c r="DD27" s="18">
        <f t="shared" si="32"/>
        <v>100</v>
      </c>
      <c r="DE27" s="20">
        <f t="shared" si="21"/>
        <v>17677.489690197111</v>
      </c>
      <c r="DF27" s="20" cm="1">
        <f t="array" ref="DF27">SUMPRODUCT(($BG$2:$BM$2=CY27)*($B$5:$B$35=CZ27)*($BG$5:$BM$35))</f>
        <v>12757.916614048741</v>
      </c>
      <c r="DG27" s="20">
        <f t="shared" si="16"/>
        <v>4919.5730761483701</v>
      </c>
      <c r="DH27" s="20" cm="1">
        <f t="array" ref="DH27">IF(CZ27=2023,SUMPRODUCT(($B$5:$B$35=CZ27-1)*($BN$5:$BN$35))-SUMPRODUCT(($BG$2:$BM$2=CY27)*($B$5:$B$35=CZ27-1)*($BG$5:$BM$35)),DG26)</f>
        <v>4830.84307406056</v>
      </c>
      <c r="DI27" s="18">
        <f t="shared" ca="1" si="17"/>
        <v>124.07304369975715</v>
      </c>
      <c r="DJ27" s="89">
        <f t="shared" si="22"/>
        <v>8.5009770325807725</v>
      </c>
      <c r="DK27" s="89">
        <f t="shared" si="23"/>
        <v>8.482776280909567</v>
      </c>
      <c r="DL27" s="89">
        <f t="shared" ca="1" si="24"/>
        <v>4.8208704542708807</v>
      </c>
      <c r="DM27" s="20">
        <f t="shared" ca="1" si="25"/>
        <v>2940.6799078368826</v>
      </c>
      <c r="DN27" s="20">
        <f t="shared" ca="1" si="26"/>
        <v>3706.9188525286204</v>
      </c>
      <c r="DO27" s="20">
        <f t="shared" ca="1" si="27"/>
        <v>3323.7993801827515</v>
      </c>
      <c r="DP27" s="113"/>
      <c r="DQ27" s="2"/>
      <c r="DR27" s="3"/>
      <c r="DS27" t="s">
        <v>268</v>
      </c>
      <c r="DT27">
        <v>2</v>
      </c>
      <c r="DU27">
        <v>960077163.16666174</v>
      </c>
      <c r="DV27">
        <v>480038581.58333087</v>
      </c>
      <c r="DW27">
        <v>5232.8856591993344</v>
      </c>
      <c r="DX27">
        <v>7.6302868296549824E-169</v>
      </c>
    </row>
    <row r="28" spans="1:131" x14ac:dyDescent="0.25">
      <c r="A28">
        <v>0.5</v>
      </c>
      <c r="B28">
        <f t="shared" si="28"/>
        <v>2043</v>
      </c>
      <c r="C28" s="190">
        <f>IF(C27*(1+A28*Model!$B$19*IF(Model!$B$28=0,1,((Model!$B$28-B28)/(Model!$B$28-$B$9))))&gt;Model!$B$44,C27*(1+A28*Model!$B$19*IF(Model!$B$28=0,1,((Model!$B$28-B28)/(Model!$B$28-$B$9)))),Model!$B$44)</f>
        <v>59.84104612706971</v>
      </c>
      <c r="D28" s="18" cm="1">
        <f t="array" ref="D28">SUMPRODUCT(('Old CCC projections data'!$F$1:$BN$1=$B28)*('Old CCC projections data'!$A$2:$A$271=D$2)*('Old CCC projections data'!$D$2:$D$271=D$3)*('Old CCC projections data'!$F$2:$BN$271))*Model!$B$47</f>
        <v>41.549707602339183</v>
      </c>
      <c r="E28" s="18" cm="1">
        <f t="array" ref="E28">SUMPRODUCT(('Old CCC projections data'!$F$1:$BN$1=$B28)*('Old CCC projections data'!$A$2:$A$271=E$2)*('Old CCC projections data'!$D$2:$D$271=E$3)*('Old CCC projections data'!$F$2:$BN$271))*Model!$B$47</f>
        <v>1.1871345029239767E-2</v>
      </c>
      <c r="F28" s="18"/>
      <c r="G28" s="18"/>
      <c r="H28" s="18" cm="1">
        <f t="array" ref="H28">SUMPRODUCT(('Old CCC projections data'!$F$1:$BN$1=$B28)*('Old CCC projections data'!$A$2:$A$271=H$2)*('Old CCC projections data'!$D$2:$D$271=H$3)*('Old CCC projections data'!$F$2:$BN$271))*Model!$B$47</f>
        <v>214.40969627946848</v>
      </c>
      <c r="I28" s="18" cm="1">
        <f t="array" ref="I28">SUMPRODUCT(('Old CCC projections data'!$F$1:$BN$1=$B28)*('Old CCC projections data'!$A$2:$A$271=I$2)*('Old CCC projections data'!$D$2:$D$271=I$3)*('Old CCC projections data'!$F$2:$BN$271))*Model!$B$47</f>
        <v>321.61454441920273</v>
      </c>
      <c r="J28" s="18" cm="1">
        <f t="array" ref="J28">SUMPRODUCT(('Old CCC projections data'!$F$1:$BN$1=$B28)*('Old CCC projections data'!$A$2:$A$271=J$2)*('Old CCC projections data'!$D$2:$D$271=J$3)*('Old CCC projections data'!$F$2:$BN$271))*Model!$B$47</f>
        <v>428.81939255893695</v>
      </c>
      <c r="K28" s="18" cm="1">
        <f t="array" ref="K28">SUMPRODUCT(('Old CCC projections data'!$F$1:$BN$1=$B28)*('Old CCC projections data'!$A$2:$A$271=K$2)*('Old CCC projections data'!$D$2:$D$271=K$3)*('Old CCC projections data'!$F$2:$BN$271))*Model!$B$47</f>
        <v>536.02424069867129</v>
      </c>
      <c r="L28" s="18" cm="1">
        <f t="array" ref="L28">SUMPRODUCT(('Old CCC projections data'!$F$1:$BN$1=$B28)*('Old CCC projections data'!$A$2:$A$271=L$2)*('Old CCC projections data'!$D$2:$D$271=L$3)*('Old CCC projections data'!$F$2:$BN$271))*Model!$B$47</f>
        <v>643.22908883840546</v>
      </c>
      <c r="M28" s="18" cm="1">
        <f t="array" ref="M28">SUMPRODUCT(('Old CCC projections data'!$F$1:$BN$1=$B28)*('Old CCC projections data'!$A$2:$A$271=M$2)*('Old CCC projections data'!$D$2:$D$271=M$3)*('Old CCC projections data'!$F$2:$BN$271))*Model!$B$47</f>
        <v>107.20484813973424</v>
      </c>
      <c r="N28" s="189" cm="1">
        <f t="array" ref="N28">SUMPRODUCT(('Old CCC projections data'!$F$1:$BN$1=$B28)*('Old CCC projections data'!$A$2:$A$271=N$2)*('Old CCC projections data'!$D$2:$D$271=N$3)*('Old CCC projections data'!$F$2:$BN$271))*Model!$B$47</f>
        <v>250.96473665907718</v>
      </c>
      <c r="O28" s="18" cm="1">
        <f t="array" ref="O28">SUMPRODUCT(('Old CCC projections data'!$F$1:$BN$1=$B28)*('Old CCC projections data'!$A$2:$A$271=O$2)*('Old CCC projections data'!$D$2:$D$271=O$3)*('Old CCC projections data'!$F$2:$BN$271))*Model!$B$47</f>
        <v>1.1871345029239767E-2</v>
      </c>
      <c r="P28" s="18" cm="1">
        <f t="array" ref="P28">SUMPRODUCT(('Old CCC projections data'!$F$1:$BN$1=$B28)*('Old CCC projections data'!$A$2:$A$271=P$2)*('Old CCC projections data'!$D$2:$D$271=P$3)*('Old CCC projections data'!$F$2:$BN$271))*Model!$B$47</f>
        <v>214.40969627946848</v>
      </c>
      <c r="Q28" s="18" cm="1">
        <f t="array" ref="Q28">SUMPRODUCT(('Old CCC projections data'!$F$1:$BN$1=$B28)*('Old CCC projections data'!$A$2:$A$271=Q$2)*('Old CCC projections data'!$D$2:$D$271=Q$3)*('Old CCC projections data'!$F$2:$BN$271))*Model!$B$47</f>
        <v>321.61454441920273</v>
      </c>
      <c r="R28" s="18" cm="1">
        <f t="array" ref="R28">SUMPRODUCT(('Old CCC projections data'!$F$1:$BN$1=$B28)*('Old CCC projections data'!$A$2:$A$271=R$2)*('Old CCC projections data'!$D$2:$D$271=R$3)*('Old CCC projections data'!$F$2:$BN$271))*Model!$B$47</f>
        <v>428.81939255893695</v>
      </c>
      <c r="S28" s="18" cm="1">
        <f t="array" ref="S28">SUMPRODUCT(('Old CCC projections data'!$F$1:$BN$1=$B28)*('Old CCC projections data'!$A$2:$A$271=S$2)*('Old CCC projections data'!$D$2:$D$271=S$3)*('Old CCC projections data'!$F$2:$BN$271))*Model!$B$47</f>
        <v>536.02424069867129</v>
      </c>
      <c r="T28" s="18" cm="1">
        <f t="array" ref="T28">SUMPRODUCT(('Old CCC projections data'!$F$1:$BN$1=$B28)*('Old CCC projections data'!$A$2:$A$271=T$2)*('Old CCC projections data'!$D$2:$D$271=T$3)*('Old CCC projections data'!$F$2:$BN$271))*Model!$B$47</f>
        <v>643.22908883840546</v>
      </c>
      <c r="U28" s="18" cm="1">
        <f t="array" ref="U28">SUMPRODUCT(('Old CCC projections data'!$F$1:$BN$1=$B28)*('Old CCC projections data'!$A$2:$A$271=U$2)*('Old CCC projections data'!$D$2:$D$271=U$3)*('Old CCC projections data'!$F$2:$BN$271))*Model!$B$47</f>
        <v>107.20484813973424</v>
      </c>
      <c r="V28" s="18" cm="1">
        <f t="array" ref="V28">SUMPRODUCT(('Old CCC projections data'!$F$1:$BN$1=$B28)*('Old CCC projections data'!$A$2:$A$271=V$2)*('Old CCC projections data'!$D$2:$D$271=V$3)*('Old CCC projections data'!$F$2:$BN$271))*Model!$B$47</f>
        <v>250.96473665907718</v>
      </c>
      <c r="W28" s="18" cm="1">
        <f t="array" ref="W28">SUMPRODUCT(('Old CCC projections data'!$F$1:$BN$1=$B28)*('Old CCC projections data'!$A$2:$A$271=W$2)*('Old CCC projections data'!$D$2:$D$271=W$3)*('Old CCC projections data'!$F$2:$BN$271))*Model!$B$47</f>
        <v>1.1871345029239767E-2</v>
      </c>
      <c r="X28" s="18" cm="1">
        <f t="array" ref="X28">SUMPRODUCT(('Old CCC projections data'!$F$1:$BN$1=$B28)*('Old CCC projections data'!$A$2:$A$271=X$2)*('Old CCC projections data'!$D$2:$D$271=X$3)*('Old CCC projections data'!$F$2:$BN$271))*Model!$B$47</f>
        <v>214.40969627946848</v>
      </c>
      <c r="Y28" s="18" cm="1">
        <f t="array" ref="Y28">SUMPRODUCT(('Old CCC projections data'!$F$1:$BN$1=$B28)*('Old CCC projections data'!$A$2:$A$271=Y$2)*('Old CCC projections data'!$D$2:$D$271=Y$3)*('Old CCC projections data'!$F$2:$BN$271))*Model!$B$47</f>
        <v>321.61454441920273</v>
      </c>
      <c r="Z28" s="18" cm="1">
        <f t="array" ref="Z28">SUMPRODUCT(('Old CCC projections data'!$F$1:$BN$1=$B28)*('Old CCC projections data'!$A$2:$A$271=Z$2)*('Old CCC projections data'!$D$2:$D$271=Z$3)*('Old CCC projections data'!$F$2:$BN$271))*Model!$B$47</f>
        <v>428.81939255893695</v>
      </c>
      <c r="AA28" s="18" cm="1">
        <f t="array" ref="AA28">SUMPRODUCT(('Old CCC projections data'!$F$1:$BN$1=$B28)*('Old CCC projections data'!$A$2:$A$271=AA$2)*('Old CCC projections data'!$D$2:$D$271=AA$3)*('Old CCC projections data'!$F$2:$BN$271))*Model!$B$47</f>
        <v>536.02424069867129</v>
      </c>
      <c r="AB28" s="18" cm="1">
        <f t="array" ref="AB28">SUMPRODUCT(('Old CCC projections data'!$F$1:$BN$1=$B28)*('Old CCC projections data'!$A$2:$A$271=AB$2)*('Old CCC projections data'!$D$2:$D$271=AB$3)*('Old CCC projections data'!$F$2:$BN$271))*Model!$B$47</f>
        <v>643.22908883840546</v>
      </c>
      <c r="AC28" s="18" cm="1">
        <f t="array" ref="AC28">SUMPRODUCT(('Old CCC projections data'!$F$1:$BN$1=$B28)*('Old CCC projections data'!$A$2:$A$271=AC$2)*('Old CCC projections data'!$D$2:$D$271=AC$3)*('Old CCC projections data'!$F$2:$BN$271))*Model!$B$47</f>
        <v>107.20484813973424</v>
      </c>
      <c r="AD28" s="18" cm="1">
        <f t="array" ref="AD28">SUMPRODUCT(('Old CCC projections data'!$F$1:$BN$1=$B28)*('Old CCC projections data'!$A$2:$A$271=AD$2)*('Old CCC projections data'!$D$2:$D$271=AD$3)*('Old CCC projections data'!$F$2:$BN$271))*Model!$B$47</f>
        <v>117.92533295370764</v>
      </c>
      <c r="AE28" s="18" cm="1">
        <f t="array" ref="AE28">SUMPRODUCT(('Old CCC projections data'!$F$1:$BN$1=$B28)*('Old CCC projections data'!$A$2:$A$271=AE$2)*('Old CCC projections data'!$D$2:$D$271=AE$3)*('Old CCC projections data'!$F$2:$BN$271))*Model!$B$47</f>
        <v>250.96473665907718</v>
      </c>
      <c r="AF28" s="18" cm="1">
        <f t="array" ref="AF28">SUMPRODUCT(('Old CCC projections data'!$F$1:$BN$1=$B28)*('Old CCC projections data'!$A$2:$A$271=AF$2)*('Old CCC projections data'!$D$2:$D$271=AF$3)*('Old CCC projections data'!$F$2:$BN$271))*Model!$B$47</f>
        <v>1.1871345029239767E-2</v>
      </c>
      <c r="AG28" s="18" cm="1">
        <f t="array" ref="AG28">SUMPRODUCT(('Old CCC projections data'!$F$1:$BN$1=$B28)*('Old CCC projections data'!$A$2:$A$271=AG$2)*('Old CCC projections data'!$D$2:$D$271=AG$3)*('Old CCC projections data'!$F$2:$BN$271))*Model!$B$47</f>
        <v>214.40969627946848</v>
      </c>
      <c r="AH28" s="18" cm="1">
        <f t="array" ref="AH28">SUMPRODUCT(('Old CCC projections data'!$F$1:$BN$1=$B28)*('Old CCC projections data'!$A$2:$A$271=AH$2)*('Old CCC projections data'!$D$2:$D$271=AH$3)*('Old CCC projections data'!$F$2:$BN$271))*Model!$B$47</f>
        <v>321.61454441920273</v>
      </c>
      <c r="AI28" s="18" cm="1">
        <f t="array" ref="AI28">SUMPRODUCT(('Old CCC projections data'!$F$1:$BN$1=$B28)*('Old CCC projections data'!$A$2:$A$271=AI$2)*('Old CCC projections data'!$D$2:$D$271=AI$3)*('Old CCC projections data'!$F$2:$BN$271))*Model!$B$47</f>
        <v>428.81939255893695</v>
      </c>
      <c r="AJ28" s="18" cm="1">
        <f t="array" ref="AJ28">SUMPRODUCT(('Old CCC projections data'!$F$1:$BN$1=$B28)*('Old CCC projections data'!$A$2:$A$271=AJ$2)*('Old CCC projections data'!$D$2:$D$271=AJ$3)*('Old CCC projections data'!$F$2:$BN$271))*Model!$B$47</f>
        <v>536.02424069867129</v>
      </c>
      <c r="AK28" s="18" cm="1">
        <f t="array" ref="AK28">SUMPRODUCT(('Old CCC projections data'!$F$1:$BN$1=$B28)*('Old CCC projections data'!$A$2:$A$271=AK$2)*('Old CCC projections data'!$D$2:$D$271=AK$3)*('Old CCC projections data'!$F$2:$BN$271))*Model!$B$47</f>
        <v>578.906179954565</v>
      </c>
      <c r="AL28" s="18" cm="1">
        <f t="array" ref="AL28">SUMPRODUCT(('Old CCC projections data'!$F$1:$BN$1=$B28)*('Old CCC projections data'!$A$2:$A$271=AL$2)*('Old CCC projections data'!$D$2:$D$271=AL$3)*('Old CCC projections data'!$F$2:$BN$271))*Model!$B$47</f>
        <v>643.22908883840546</v>
      </c>
      <c r="AM28" s="18" cm="1">
        <f t="array" ref="AM28">SUMPRODUCT(('Old CCC projections data'!$F$1:$BN$1=$B28)*('Old CCC projections data'!$A$2:$A$271=AM$2)*('Old CCC projections data'!$D$2:$D$271=AM$3)*('Old CCC projections data'!$F$2:$BN$271))*Model!$B$47</f>
        <v>107.20484813973424</v>
      </c>
      <c r="AN28" s="18" cm="1">
        <f t="array" ref="AN28">SUMPRODUCT(('Old CCC projections data'!$F$1:$BN$1=$B28)*('Old CCC projections data'!$A$2:$A$271=AN$2)*('Old CCC projections data'!$D$2:$D$271=AN$3)*('Old CCC projections data'!$F$2:$BN$271))*Model!$B$47</f>
        <v>250.96473665907718</v>
      </c>
      <c r="AO28" s="18" cm="1">
        <f t="array" ref="AO28">SUMPRODUCT(('Old CCC projections data'!$F$1:$BN$1=$B28)*('Old CCC projections data'!$A$2:$A$271=AO$2)*('Old CCC projections data'!$D$2:$D$271=AO$3)*('Old CCC projections data'!$F$2:$BN$271))*Model!$B$47</f>
        <v>1.1871345029239767E-2</v>
      </c>
      <c r="AP28" s="18" cm="1">
        <f t="array" ref="AP28">SUMPRODUCT(('Old CCC projections data'!$F$1:$BN$1=$B28)*('Old CCC projections data'!$A$2:$A$271=AP$2)*('Old CCC projections data'!$D$2:$D$271=AP$3)*('Old CCC projections data'!$F$2:$BN$271))*Model!$B$47</f>
        <v>214.40969627946848</v>
      </c>
      <c r="AQ28" s="18" cm="1">
        <f t="array" ref="AQ28">SUMPRODUCT(('Old CCC projections data'!$F$1:$BN$1=$B28)*('Old CCC projections data'!$A$2:$A$271=AQ$2)*('Old CCC projections data'!$D$2:$D$271=AQ$3)*('Old CCC projections data'!$F$2:$BN$271))*Model!$B$47</f>
        <v>321.61454441920273</v>
      </c>
      <c r="AR28" s="18" cm="1">
        <f t="array" ref="AR28">SUMPRODUCT(('Old CCC projections data'!$F$1:$BN$1=$B28)*('Old CCC projections data'!$A$2:$A$271=AR$2)*('Old CCC projections data'!$D$2:$D$271=AR$3)*('Old CCC projections data'!$F$2:$BN$271))*Model!$B$47</f>
        <v>428.81939255893695</v>
      </c>
      <c r="AS28" s="18" cm="1">
        <f t="array" ref="AS28">SUMPRODUCT(('Old CCC projections data'!$F$1:$BN$1=$B28)*('Old CCC projections data'!$A$2:$A$271=AS$2)*('Old CCC projections data'!$D$2:$D$271=AS$3)*('Old CCC projections data'!$F$2:$BN$271))*Model!$B$47</f>
        <v>536.02424069867129</v>
      </c>
      <c r="AT28" s="18" cm="1">
        <f t="array" ref="AT28">SUMPRODUCT(('Old CCC projections data'!$F$1:$BN$1=$B28)*('Old CCC projections data'!$A$2:$A$271=AT$2)*('Old CCC projections data'!$D$2:$D$271=AT$3)*('Old CCC projections data'!$F$2:$BN$271))*Model!$B$47</f>
        <v>643.22908883840546</v>
      </c>
      <c r="AU28" s="18" cm="1">
        <f t="array" ref="AU28">SUMPRODUCT(('Old CCC projections data'!$F$1:$BN$1=$B28)*('Old CCC projections data'!$A$2:$A$271=AU$2)*('Old CCC projections data'!$D$2:$D$271=AU$3)*('Old CCC projections data'!$F$2:$BN$271))*Model!$B$47</f>
        <v>107.20484813973424</v>
      </c>
      <c r="AV28" s="18" cm="1">
        <f t="array" ref="AV28">SUMPRODUCT(('Old CCC projections data'!$F$1:$BN$1=$B28)*('Old CCC projections data'!$A$2:$A$271=AV$2)*('Old CCC projections data'!$D$2:$D$271=AV$3)*('Old CCC projections data'!$F$2:$BN$271))*Model!$B$47</f>
        <v>117.92533295370764</v>
      </c>
      <c r="AW28" s="18" cm="1">
        <f t="array" ref="AW28">SUMPRODUCT(('Old CCC projections data'!$F$1:$BN$1=$B28)*('Old CCC projections data'!$A$2:$A$271=AW$2)*('Old CCC projections data'!$D$2:$D$271=AW$3)*('Old CCC projections data'!$F$2:$BN$271))*Model!$B$47</f>
        <v>250.96473665907718</v>
      </c>
      <c r="AX28" s="18" cm="1">
        <f t="array" ref="AX28">SUMPRODUCT(('Old CCC projections data'!$F$1:$BN$1=$B28)*('Old CCC projections data'!$A$2:$A$271=AX$2)*('Old CCC projections data'!$D$2:$D$271=AX$3)*('Old CCC projections data'!$F$2:$BN$271))*Model!$B$47</f>
        <v>1.1871345029239767E-2</v>
      </c>
      <c r="AY28" s="18">
        <v>50</v>
      </c>
      <c r="AZ28" s="18">
        <v>35</v>
      </c>
      <c r="BA28" s="18">
        <v>70</v>
      </c>
      <c r="BB28" s="18"/>
      <c r="BC28" s="20" cm="1">
        <f t="array" ref="BC28">SUMPRODUCT(('Old CCC projections data'!$F$1:$BN$1=$B28)*('Old CCC projections data'!$A$2:$A$271=BC$2)*('Old CCC projections data'!$D$2:$D$271=BC$3)*('Old CCC projections data'!$F$2:$BN$271))</f>
        <v>28995.164604489208</v>
      </c>
      <c r="BD28" s="20" cm="1">
        <f t="array" ref="BD28">SUMPRODUCT(('Old CCC projections data'!$F$1:$BN$1=$B28)*('Old CCC projections data'!$A$2:$A$271=BD$2)*('Old CCC projections data'!$D$2:$D$271=BD$3)*('Old CCC projections data'!$F$2:$BN$271))</f>
        <v>29471.142153678396</v>
      </c>
      <c r="BE28" s="20"/>
      <c r="BF28" s="20"/>
      <c r="BG28" s="20" cm="1">
        <f t="array" ref="BG28">SUMPRODUCT(('Old CCC projections data'!$F$1:$BN$1=$B28)*('Old CCC projections data'!$A$2:$A$271=BG$2)*('Old CCC projections data'!$D$2:$D$271=BG$3)*('Old CCC projections data'!$F$2:$BN$271))</f>
        <v>14496.860675792695</v>
      </c>
      <c r="BH28" s="20" cm="1">
        <f t="array" ref="BH28">SUMPRODUCT(('Old CCC projections data'!$F$1:$BN$1=$B28)*('Old CCC projections data'!$A$2:$A$271=BH$2)*('Old CCC projections data'!$D$2:$D$271=BH$3)*('Old CCC projections data'!$F$2:$BN$271))</f>
        <v>13424.78057080116</v>
      </c>
      <c r="BI28" s="20" cm="1">
        <f t="array" ref="BI28">SUMPRODUCT(('Old CCC projections data'!$F$1:$BN$1=$B28)*('Old CCC projections data'!$A$2:$A$271=BI$2)*('Old CCC projections data'!$D$2:$D$271=BI$3)*('Old CCC projections data'!$F$2:$BN$271))</f>
        <v>12133.163152619427</v>
      </c>
      <c r="BJ28" s="20" cm="1">
        <f t="array" ref="BJ28">SUMPRODUCT(('Old CCC projections data'!$F$1:$BN$1=$B28)*('Old CCC projections data'!$A$2:$A$271=BJ$2)*('Old CCC projections data'!$D$2:$D$271=BJ$3)*('Old CCC projections data'!$F$2:$BN$271))</f>
        <v>11478.411584545081</v>
      </c>
      <c r="BK28" s="20" cm="1">
        <f t="array" ref="BK28">SUMPRODUCT(('Old CCC projections data'!$F$1:$BN$1=$B28)*('Old CCC projections data'!$A$2:$A$271=BK$2)*('Old CCC projections data'!$D$2:$D$271=BK$3)*('Old CCC projections data'!$F$2:$BN$271))</f>
        <v>11241.1982581969</v>
      </c>
      <c r="BL28" s="20" cm="1">
        <f t="array" ref="BL28">SUMPRODUCT(('Old CCC projections data'!$F$1:$BN$1=$B28)*('Old CCC projections data'!$A$2:$A$271=BL$2)*('Old CCC projections data'!$D$2:$D$271=BL$3)*('Old CCC projections data'!$F$2:$BN$271))</f>
        <v>17033.411812301281</v>
      </c>
      <c r="BM28" s="20" cm="1">
        <f t="array" ref="BM28">SUMPRODUCT(('Old CCC projections data'!$F$1:$BN$1=$B28)*('Old CCC projections data'!$A$2:$A$271=BM$2)*('Old CCC projections data'!$D$2:$D$271=BM$3)*('Old CCC projections data'!$F$2:$BN$271))</f>
        <v>14069.097389729674</v>
      </c>
      <c r="BN28" s="20" cm="1">
        <f t="array" ref="BN28">SUMPRODUCT(('Old CCC projections data'!$F$1:$BN$1=$B28)*('Old CCC projections data'!$A$2:$A$271=BN$2)*('Old CCC projections data'!$D$2:$D$271=BN$3)*('Old CCC projections data'!$F$2:$BN$271))</f>
        <v>19320.318365199299</v>
      </c>
      <c r="BO28" s="20" cm="1">
        <f t="array" ref="BO28">SUMPRODUCT(('Old CCC projections data'!$F$1:$BN$1=$B28)*('Old CCC projections data'!$A$2:$A$271=BO$2)*('Old CCC projections data'!$D$2:$D$271=BO$3)*('Old CCC projections data'!$F$2:$BN$271))</f>
        <v>17479.483340325907</v>
      </c>
      <c r="BP28" s="20" cm="1">
        <f t="array" ref="BP28">SUMPRODUCT(('Old CCC projections data'!$F$1:$BN$1=$B28)*('Old CCC projections data'!$A$2:$A$271=BP$2)*('Old CCC projections data'!$D$2:$D$271=BP$3)*('Old CCC projections data'!$F$2:$BN$271))</f>
        <v>15551.914209030367</v>
      </c>
      <c r="BQ28" s="20" cm="1">
        <f t="array" ref="BQ28">SUMPRODUCT(('Old CCC projections data'!$F$1:$BN$1=$B28)*('Old CCC projections data'!$A$2:$A$271=BQ$2)*('Old CCC projections data'!$D$2:$D$271=BQ$3)*('Old CCC projections data'!$F$2:$BN$271))</f>
        <v>14424.443851982525</v>
      </c>
      <c r="BR28" s="20" cm="1">
        <f t="array" ref="BR28">SUMPRODUCT(('Old CCC projections data'!$F$1:$BN$1=$B28)*('Old CCC projections data'!$A$2:$A$271=BR$2)*('Old CCC projections data'!$D$2:$D$271=BR$3)*('Old CCC projections data'!$F$2:$BN$271))</f>
        <v>13658.491560023946</v>
      </c>
      <c r="BS28" s="20" cm="1">
        <f t="array" ref="BS28">SUMPRODUCT(('Old CCC projections data'!$F$1:$BN$1=$B28)*('Old CCC projections data'!$A$2:$A$271=BS$2)*('Old CCC projections data'!$D$2:$D$271=BS$3)*('Old CCC projections data'!$F$2:$BN$271))</f>
        <v>13260.251566600729</v>
      </c>
      <c r="BT28" s="20" cm="1">
        <f t="array" ref="BT28">SUMPRODUCT(('Old CCC projections data'!$F$1:$BN$1=$B28)*('Old CCC projections data'!$A$2:$A$271=BT$2)*('Old CCC projections data'!$D$2:$D$271=BT$3)*('Old CCC projections data'!$F$2:$BN$271))</f>
        <v>20114.128673955398</v>
      </c>
      <c r="BU28" s="20" cm="1">
        <f t="array" ref="BU28">SUMPRODUCT(('Old CCC projections data'!$F$1:$BN$1=$B28)*('Old CCC projections data'!$A$2:$A$271=BU$2)*('Old CCC projections data'!$D$2:$D$271=BU$3)*('Old CCC projections data'!$F$2:$BN$271))</f>
        <v>16863.395453723828</v>
      </c>
      <c r="BV28" s="20" cm="1">
        <f t="array" ref="BV28">SUMPRODUCT(('Old CCC projections data'!$F$1:$BN$1=$B28)*('Old CCC projections data'!$A$2:$A$271=BV$2)*('Old CCC projections data'!$D$2:$D$271=BV$3)*('Old CCC projections data'!$F$2:$BN$271))</f>
        <v>21474.63128236834</v>
      </c>
      <c r="BW28" s="20" cm="1">
        <f t="array" ref="BW28">SUMPRODUCT(('Old CCC projections data'!$F$1:$BN$1=$B28)*('Old CCC projections data'!$A$2:$A$271=BW$2)*('Old CCC projections data'!$D$2:$D$271=BW$3)*('Old CCC projections data'!$F$2:$BN$271))</f>
        <v>12868.782607812716</v>
      </c>
      <c r="BX28" s="20" cm="1">
        <f t="array" ref="BX28">SUMPRODUCT(('Old CCC projections data'!$F$1:$BN$1=$B28)*('Old CCC projections data'!$A$2:$A$271=BX$2)*('Old CCC projections data'!$D$2:$D$271=BX$3)*('Old CCC projections data'!$F$2:$BN$271))</f>
        <v>11402.369122135073</v>
      </c>
      <c r="BY28" s="20" cm="1">
        <f t="array" ref="BY28">SUMPRODUCT(('Old CCC projections data'!$F$1:$BN$1=$B28)*('Old CCC projections data'!$A$2:$A$271=BY$2)*('Old CCC projections data'!$D$2:$D$271=BY$3)*('Old CCC projections data'!$F$2:$BN$271))</f>
        <v>11119.549552323615</v>
      </c>
      <c r="BZ28" s="20" cm="1">
        <f t="array" ref="BZ28">SUMPRODUCT(('Old CCC projections data'!$F$1:$BN$1=$B28)*('Old CCC projections data'!$A$2:$A$271=BZ$2)*('Old CCC projections data'!$D$2:$D$271=BZ$3)*('Old CCC projections data'!$F$2:$BN$271))</f>
        <v>10983.391662533684</v>
      </c>
      <c r="CA28" s="20" cm="1">
        <f t="array" ref="CA28">SUMPRODUCT(('Old CCC projections data'!$F$1:$BN$1=$B28)*('Old CCC projections data'!$A$2:$A$271=CA$2)*('Old CCC projections data'!$D$2:$D$271=CA$3)*('Old CCC projections data'!$F$2:$BN$271))</f>
        <v>10870.458556128522</v>
      </c>
      <c r="CB28" s="20" cm="1">
        <f t="array" ref="CB28">SUMPRODUCT(('Old CCC projections data'!$F$1:$BN$1=$B28)*('Old CCC projections data'!$A$2:$A$271=CB$2)*('Old CCC projections data'!$D$2:$D$271=CB$3)*('Old CCC projections data'!$F$2:$BN$271))</f>
        <v>14609.450829271593</v>
      </c>
      <c r="CC28" s="20" cm="1">
        <f t="array" ref="CC28">SUMPRODUCT(('Old CCC projections data'!$F$1:$BN$1=$B28)*('Old CCC projections data'!$A$2:$A$271=CC$2)*('Old CCC projections data'!$D$2:$D$271=CC$3)*('Old CCC projections data'!$F$2:$BN$271))</f>
        <v>14406.706370585269</v>
      </c>
      <c r="CD28" s="20" cm="1">
        <f t="array" ref="CD28">SUMPRODUCT(('Old CCC projections data'!$F$1:$BN$1=$B28)*('Old CCC projections data'!$A$2:$A$271=CD$2)*('Old CCC projections data'!$D$2:$D$271=CD$3)*('Old CCC projections data'!$F$2:$BN$271))</f>
        <v>12378.888925990481</v>
      </c>
      <c r="CE28" s="20" cm="1">
        <f t="array" ref="CE28">SUMPRODUCT(('Old CCC projections data'!$F$1:$BN$1=$B28)*('Old CCC projections data'!$A$2:$A$271=CE$2)*('Old CCC projections data'!$D$2:$D$271=CE$3)*('Old CCC projections data'!$F$2:$BN$271))</f>
        <v>16715.565121629948</v>
      </c>
      <c r="CF28" s="20" cm="1">
        <f t="array" ref="CF28">SUMPRODUCT(('Old CCC projections data'!$F$1:$BN$1=$B28)*('Old CCC projections data'!$A$2:$A$271=CF$2)*('Old CCC projections data'!$D$2:$D$271=CF$3)*('Old CCC projections data'!$F$2:$BN$271))</f>
        <v>19566.124336723038</v>
      </c>
      <c r="CG28" s="20" cm="1">
        <f t="array" ref="CG28">SUMPRODUCT(('Old CCC projections data'!$F$1:$BN$1=$B28)*('Old CCC projections data'!$A$2:$A$271=CG$2)*('Old CCC projections data'!$D$2:$D$271=CG$3)*('Old CCC projections data'!$F$2:$BN$271))</f>
        <v>17891.192442884545</v>
      </c>
      <c r="CH28" s="20" cm="1">
        <f t="array" ref="CH28">SUMPRODUCT(('Old CCC projections data'!$F$1:$BN$1=$B28)*('Old CCC projections data'!$A$2:$A$271=CH$2)*('Old CCC projections data'!$D$2:$D$271=CH$3)*('Old CCC projections data'!$F$2:$BN$271))</f>
        <v>16761.292569178291</v>
      </c>
      <c r="CI28" s="20" cm="1">
        <f t="array" ref="CI28">SUMPRODUCT(('Old CCC projections data'!$F$1:$BN$1=$B28)*('Old CCC projections data'!$A$2:$A$271=CI$2)*('Old CCC projections data'!$D$2:$D$271=CI$3)*('Old CCC projections data'!$F$2:$BN$271))</f>
        <v>16494.718859234679</v>
      </c>
      <c r="CJ28" s="20" cm="1">
        <f t="array" ref="CJ28">SUMPRODUCT(('Old CCC projections data'!$F$1:$BN$1=$B28)*('Old CCC projections data'!$A$2:$A$271=CJ$2)*('Old CCC projections data'!$D$2:$D$271=CJ$3)*('Old CCC projections data'!$F$2:$BN$271))</f>
        <v>16235.70810655186</v>
      </c>
      <c r="CK28" s="20" cm="1">
        <f t="array" ref="CK28">SUMPRODUCT(('Old CCC projections data'!$F$1:$BN$1=$B28)*('Old CCC projections data'!$A$2:$A$271=CK$2)*('Old CCC projections data'!$D$2:$D$271=CK$3)*('Old CCC projections data'!$F$2:$BN$271))</f>
        <v>16163.419569886359</v>
      </c>
      <c r="CL28" s="20" cm="1">
        <f t="array" ref="CL28">SUMPRODUCT(('Old CCC projections data'!$F$1:$BN$1=$B28)*('Old CCC projections data'!$A$2:$A$271=CL$2)*('Old CCC projections data'!$D$2:$D$271=CL$3)*('Old CCC projections data'!$F$2:$BN$271))</f>
        <v>21998.417818506008</v>
      </c>
      <c r="CM28" s="20" cm="1">
        <f t="array" ref="CM28">SUMPRODUCT(('Old CCC projections data'!$F$1:$BN$1=$B28)*('Old CCC projections data'!$A$2:$A$271=CM$2)*('Old CCC projections data'!$D$2:$D$271=CM$3)*('Old CCC projections data'!$F$2:$BN$271))</f>
        <v>18903.073905677033</v>
      </c>
      <c r="CN28" s="20" cm="1">
        <f t="array" ref="CN28">SUMPRODUCT(('Old CCC projections data'!$F$1:$BN$1=$B28)*('Old CCC projections data'!$A$2:$A$271=CN$2)*('Old CCC projections data'!$D$2:$D$271=CN$3)*('Old CCC projections data'!$F$2:$BN$271))</f>
        <v>23828.206238662977</v>
      </c>
      <c r="CO28" s="20" cm="1">
        <f t="array" ref="CO28">SUMPRODUCT(('Old CCC projections data'!$F$1:$BN$1=$B28)*('Old CCC projections data'!$A$2:$A$271=CO$2)*('Old CCC projections data'!$D$2:$D$271=CO$3)*('Old CCC projections data'!$F$2:$BN$271))</f>
        <v>10862.659955104777</v>
      </c>
      <c r="CP28" s="20" cm="1">
        <f t="array" ref="CP28">SUMPRODUCT(('Old CCC projections data'!$F$1:$BN$1=$B28)*('Old CCC projections data'!$A$2:$A$271=CP$2)*('Old CCC projections data'!$D$2:$D$271=CP$3)*('Old CCC projections data'!$F$2:$BN$271))</f>
        <v>9866.2870082766076</v>
      </c>
      <c r="CQ28" s="20" cm="1">
        <f t="array" ref="CQ28">SUMPRODUCT(('Old CCC projections data'!$F$1:$BN$1=$B28)*('Old CCC projections data'!$A$2:$A$271=CQ$2)*('Old CCC projections data'!$D$2:$D$271=CQ$3)*('Old CCC projections data'!$F$2:$BN$271))</f>
        <v>8555.0427458158374</v>
      </c>
      <c r="CR28" s="20" cm="1">
        <f t="array" ref="CR28">SUMPRODUCT(('Old CCC projections data'!$F$1:$BN$1=$B28)*('Old CCC projections data'!$A$2:$A$271=CR$2)*('Old CCC projections data'!$D$2:$D$271=CR$3)*('Old CCC projections data'!$F$2:$BN$271))</f>
        <v>7850.6849778061123</v>
      </c>
      <c r="CS28" s="20" cm="1">
        <f t="array" ref="CS28">SUMPRODUCT(('Old CCC projections data'!$F$1:$BN$1=$B28)*('Old CCC projections data'!$A$2:$A$271=CS$2)*('Old CCC projections data'!$D$2:$D$271=CS$3)*('Old CCC projections data'!$F$2:$BN$271))</f>
        <v>7656.4835984550509</v>
      </c>
      <c r="CT28" s="20" cm="1">
        <f t="array" ref="CT28">SUMPRODUCT(('Old CCC projections data'!$F$1:$BN$1=$B28)*('Old CCC projections data'!$A$2:$A$271=CT$2)*('Old CCC projections data'!$D$2:$D$271=CT$3)*('Old CCC projections data'!$F$2:$BN$271))</f>
        <v>13363.207043225124</v>
      </c>
      <c r="CU28" s="20" cm="1">
        <f t="array" ref="CU28">SUMPRODUCT(('Old CCC projections data'!$F$1:$BN$1=$B28)*('Old CCC projections data'!$A$2:$A$271=CU$2)*('Old CCC projections data'!$D$2:$D$271=CU$3)*('Old CCC projections data'!$F$2:$BN$271))</f>
        <v>13150.11184906464</v>
      </c>
      <c r="CV28" s="20" cm="1">
        <f t="array" ref="CV28">SUMPRODUCT(('Old CCC projections data'!$F$1:$BN$1=$B28)*('Old CCC projections data'!$A$2:$A$271=CV$2)*('Old CCC projections data'!$D$2:$D$271=CV$3)*('Old CCC projections data'!$F$2:$BN$271))</f>
        <v>10469.216751598444</v>
      </c>
      <c r="CW28" s="20" cm="1">
        <f t="array" ref="CW28">SUMPRODUCT(('Old CCC projections data'!$F$1:$BN$1=$B28)*('Old CCC projections data'!$A$2:$A$271=CW$2)*('Old CCC projections data'!$D$2:$D$271=CW$3)*('Old CCC projections data'!$F$2:$BN$271))</f>
        <v>15270.127883389156</v>
      </c>
      <c r="CX28" s="20">
        <f t="shared" si="19"/>
        <v>5251.220975469625</v>
      </c>
      <c r="CY28" s="20" t="str">
        <f t="shared" si="29"/>
        <v>Demo path - C price $100 3%</v>
      </c>
      <c r="CZ28" s="3">
        <f t="shared" si="30"/>
        <v>2046</v>
      </c>
      <c r="DA28" s="18">
        <f t="shared" si="31"/>
        <v>0</v>
      </c>
      <c r="DB28" s="18">
        <f ca="1">(H31+IF($DB$3&gt;0,NPV($DB$2,H32:OFFSET(H31,$DB$3,0)),0))/($DB$3+1)</f>
        <v>106.49602917562488</v>
      </c>
      <c r="DC28" s="18">
        <f t="shared" ca="1" si="20"/>
        <v>6.4960291756248836</v>
      </c>
      <c r="DD28" s="18">
        <f t="shared" si="32"/>
        <v>100</v>
      </c>
      <c r="DE28" s="20">
        <f t="shared" si="21"/>
        <v>16949.211978015726</v>
      </c>
      <c r="DF28" s="20" cm="1">
        <f t="array" ref="DF28">SUMPRODUCT(($BG$2:$BM$2=CY28)*($B$5:$B$35=CZ28)*($BG$5:$BM$35))</f>
        <v>12001.767946489204</v>
      </c>
      <c r="DG28" s="20">
        <f t="shared" si="16"/>
        <v>4947.4440315265219</v>
      </c>
      <c r="DH28" s="20" cm="1">
        <f t="array" ref="DH28">IF(CZ28=2023,SUMPRODUCT(($B$5:$B$35=CZ28-1)*($BN$5:$BN$35))-SUMPRODUCT(($BG$2:$BM$2=CY28)*($B$5:$B$35=CZ28-1)*($BG$5:$BM$35)),DG27)</f>
        <v>4919.5730761483701</v>
      </c>
      <c r="DI28" s="18">
        <f t="shared" ca="1" si="17"/>
        <v>106.49602917562488</v>
      </c>
      <c r="DJ28" s="89">
        <f t="shared" si="22"/>
        <v>8.506626364937043</v>
      </c>
      <c r="DK28" s="89">
        <f t="shared" si="23"/>
        <v>8.5009770325807725</v>
      </c>
      <c r="DL28" s="89">
        <f t="shared" ca="1" si="24"/>
        <v>4.6681076997184698</v>
      </c>
      <c r="DM28" s="20">
        <f t="shared" ca="1" si="25"/>
        <v>2918.4364530101998</v>
      </c>
      <c r="DN28" s="20">
        <f t="shared" ca="1" si="26"/>
        <v>3410.7778610286755</v>
      </c>
      <c r="DO28" s="20">
        <f t="shared" ca="1" si="27"/>
        <v>3164.6071570194376</v>
      </c>
      <c r="DP28" s="113"/>
      <c r="DQ28" s="2"/>
      <c r="DR28" s="3"/>
      <c r="DS28" t="s">
        <v>269</v>
      </c>
      <c r="DT28">
        <v>193</v>
      </c>
      <c r="DU28">
        <v>17704848.200286973</v>
      </c>
      <c r="DV28">
        <v>91734.964768326288</v>
      </c>
    </row>
    <row r="29" spans="1:131" ht="15.75" thickBot="1" x14ac:dyDescent="0.3">
      <c r="A29">
        <v>0.5</v>
      </c>
      <c r="B29">
        <f t="shared" si="28"/>
        <v>2044</v>
      </c>
      <c r="C29" s="190">
        <f>IF(C28*(1+A29*Model!$B$19*IF(Model!$B$28=0,1,((Model!$B$28-B29)/(Model!$B$28-$B$9))))&gt;Model!$B$44,C28*(1+A29*Model!$B$19*IF(Model!$B$28=0,1,((Model!$B$28-B29)/(Model!$B$28-$B$9)))),Model!$B$44)</f>
        <v>58.374940496956505</v>
      </c>
      <c r="D29" s="18" cm="1">
        <f t="array" ref="D29">SUMPRODUCT(('Old CCC projections data'!$F$1:$BN$1=$B29)*('Old CCC projections data'!$A$2:$A$271=D$2)*('Old CCC projections data'!$D$2:$D$271=D$3)*('Old CCC projections data'!$F$2:$BN$271))*Model!$B$47</f>
        <v>41.549707602339183</v>
      </c>
      <c r="E29" s="18" cm="1">
        <f t="array" ref="E29">SUMPRODUCT(('Old CCC projections data'!$F$1:$BN$1=$B29)*('Old CCC projections data'!$A$2:$A$271=E$2)*('Old CCC projections data'!$D$2:$D$271=E$3)*('Old CCC projections data'!$F$2:$BN$271))*Model!$B$47</f>
        <v>1.1871345029239767E-2</v>
      </c>
      <c r="F29" s="18"/>
      <c r="G29" s="18"/>
      <c r="H29" s="18" cm="1">
        <f t="array" ref="H29">SUMPRODUCT(('Old CCC projections data'!$F$1:$BN$1=$B29)*('Old CCC projections data'!$A$2:$A$271=H$2)*('Old CCC projections data'!$D$2:$D$271=H$3)*('Old CCC projections data'!$F$2:$BN$271))*Model!$B$47</f>
        <v>220.84198716785252</v>
      </c>
      <c r="I29" s="18" cm="1">
        <f t="array" ref="I29">SUMPRODUCT(('Old CCC projections data'!$F$1:$BN$1=$B29)*('Old CCC projections data'!$A$2:$A$271=I$2)*('Old CCC projections data'!$D$2:$D$271=I$3)*('Old CCC projections data'!$F$2:$BN$271))*Model!$B$47</f>
        <v>331.2629807517788</v>
      </c>
      <c r="J29" s="18" cm="1">
        <f t="array" ref="J29">SUMPRODUCT(('Old CCC projections data'!$F$1:$BN$1=$B29)*('Old CCC projections data'!$A$2:$A$271=J$2)*('Old CCC projections data'!$D$2:$D$271=J$3)*('Old CCC projections data'!$F$2:$BN$271))*Model!$B$47</f>
        <v>441.68397433570505</v>
      </c>
      <c r="K29" s="18" cm="1">
        <f t="array" ref="K29">SUMPRODUCT(('Old CCC projections data'!$F$1:$BN$1=$B29)*('Old CCC projections data'!$A$2:$A$271=K$2)*('Old CCC projections data'!$D$2:$D$271=K$3)*('Old CCC projections data'!$F$2:$BN$271))*Model!$B$47</f>
        <v>552.10496791963146</v>
      </c>
      <c r="L29" s="18" cm="1">
        <f t="array" ref="L29">SUMPRODUCT(('Old CCC projections data'!$F$1:$BN$1=$B29)*('Old CCC projections data'!$A$2:$A$271=L$2)*('Old CCC projections data'!$D$2:$D$271=L$3)*('Old CCC projections data'!$F$2:$BN$271))*Model!$B$47</f>
        <v>662.5259615035576</v>
      </c>
      <c r="M29" s="18" cm="1">
        <f t="array" ref="M29">SUMPRODUCT(('Old CCC projections data'!$F$1:$BN$1=$B29)*('Old CCC projections data'!$A$2:$A$271=M$2)*('Old CCC projections data'!$D$2:$D$271=M$3)*('Old CCC projections data'!$F$2:$BN$271))*Model!$B$47</f>
        <v>110.42099358392626</v>
      </c>
      <c r="N29" s="189" cm="1">
        <f t="array" ref="N29">SUMPRODUCT(('Old CCC projections data'!$F$1:$BN$1=$B29)*('Old CCC projections data'!$A$2:$A$271=N$2)*('Old CCC projections data'!$D$2:$D$271=N$3)*('Old CCC projections data'!$F$2:$BN$271))*Model!$B$47</f>
        <v>258.49367875884951</v>
      </c>
      <c r="O29" s="18" cm="1">
        <f t="array" ref="O29">SUMPRODUCT(('Old CCC projections data'!$F$1:$BN$1=$B29)*('Old CCC projections data'!$A$2:$A$271=O$2)*('Old CCC projections data'!$D$2:$D$271=O$3)*('Old CCC projections data'!$F$2:$BN$271))*Model!$B$47</f>
        <v>1.1871345029239767E-2</v>
      </c>
      <c r="P29" s="18" cm="1">
        <f t="array" ref="P29">SUMPRODUCT(('Old CCC projections data'!$F$1:$BN$1=$B29)*('Old CCC projections data'!$A$2:$A$271=P$2)*('Old CCC projections data'!$D$2:$D$271=P$3)*('Old CCC projections data'!$F$2:$BN$271))*Model!$B$47</f>
        <v>220.84198716785252</v>
      </c>
      <c r="Q29" s="18" cm="1">
        <f t="array" ref="Q29">SUMPRODUCT(('Old CCC projections data'!$F$1:$BN$1=$B29)*('Old CCC projections data'!$A$2:$A$271=Q$2)*('Old CCC projections data'!$D$2:$D$271=Q$3)*('Old CCC projections data'!$F$2:$BN$271))*Model!$B$47</f>
        <v>331.2629807517788</v>
      </c>
      <c r="R29" s="18" cm="1">
        <f t="array" ref="R29">SUMPRODUCT(('Old CCC projections data'!$F$1:$BN$1=$B29)*('Old CCC projections data'!$A$2:$A$271=R$2)*('Old CCC projections data'!$D$2:$D$271=R$3)*('Old CCC projections data'!$F$2:$BN$271))*Model!$B$47</f>
        <v>441.68397433570505</v>
      </c>
      <c r="S29" s="18" cm="1">
        <f t="array" ref="S29">SUMPRODUCT(('Old CCC projections data'!$F$1:$BN$1=$B29)*('Old CCC projections data'!$A$2:$A$271=S$2)*('Old CCC projections data'!$D$2:$D$271=S$3)*('Old CCC projections data'!$F$2:$BN$271))*Model!$B$47</f>
        <v>552.10496791963146</v>
      </c>
      <c r="T29" s="18" cm="1">
        <f t="array" ref="T29">SUMPRODUCT(('Old CCC projections data'!$F$1:$BN$1=$B29)*('Old CCC projections data'!$A$2:$A$271=T$2)*('Old CCC projections data'!$D$2:$D$271=T$3)*('Old CCC projections data'!$F$2:$BN$271))*Model!$B$47</f>
        <v>662.5259615035576</v>
      </c>
      <c r="U29" s="18" cm="1">
        <f t="array" ref="U29">SUMPRODUCT(('Old CCC projections data'!$F$1:$BN$1=$B29)*('Old CCC projections data'!$A$2:$A$271=U$2)*('Old CCC projections data'!$D$2:$D$271=U$3)*('Old CCC projections data'!$F$2:$BN$271))*Model!$B$47</f>
        <v>110.42099358392626</v>
      </c>
      <c r="V29" s="18" cm="1">
        <f t="array" ref="V29">SUMPRODUCT(('Old CCC projections data'!$F$1:$BN$1=$B29)*('Old CCC projections data'!$A$2:$A$271=V$2)*('Old CCC projections data'!$D$2:$D$271=V$3)*('Old CCC projections data'!$F$2:$BN$271))*Model!$B$47</f>
        <v>258.49367875884951</v>
      </c>
      <c r="W29" s="18" cm="1">
        <f t="array" ref="W29">SUMPRODUCT(('Old CCC projections data'!$F$1:$BN$1=$B29)*('Old CCC projections data'!$A$2:$A$271=W$2)*('Old CCC projections data'!$D$2:$D$271=W$3)*('Old CCC projections data'!$F$2:$BN$271))*Model!$B$47</f>
        <v>1.1871345029239767E-2</v>
      </c>
      <c r="X29" s="18" cm="1">
        <f t="array" ref="X29">SUMPRODUCT(('Old CCC projections data'!$F$1:$BN$1=$B29)*('Old CCC projections data'!$A$2:$A$271=X$2)*('Old CCC projections data'!$D$2:$D$271=X$3)*('Old CCC projections data'!$F$2:$BN$271))*Model!$B$47</f>
        <v>220.84198716785252</v>
      </c>
      <c r="Y29" s="18" cm="1">
        <f t="array" ref="Y29">SUMPRODUCT(('Old CCC projections data'!$F$1:$BN$1=$B29)*('Old CCC projections data'!$A$2:$A$271=Y$2)*('Old CCC projections data'!$D$2:$D$271=Y$3)*('Old CCC projections data'!$F$2:$BN$271))*Model!$B$47</f>
        <v>331.2629807517788</v>
      </c>
      <c r="Z29" s="18" cm="1">
        <f t="array" ref="Z29">SUMPRODUCT(('Old CCC projections data'!$F$1:$BN$1=$B29)*('Old CCC projections data'!$A$2:$A$271=Z$2)*('Old CCC projections data'!$D$2:$D$271=Z$3)*('Old CCC projections data'!$F$2:$BN$271))*Model!$B$47</f>
        <v>441.68397433570505</v>
      </c>
      <c r="AA29" s="18" cm="1">
        <f t="array" ref="AA29">SUMPRODUCT(('Old CCC projections data'!$F$1:$BN$1=$B29)*('Old CCC projections data'!$A$2:$A$271=AA$2)*('Old CCC projections data'!$D$2:$D$271=AA$3)*('Old CCC projections data'!$F$2:$BN$271))*Model!$B$47</f>
        <v>552.10496791963146</v>
      </c>
      <c r="AB29" s="18" cm="1">
        <f t="array" ref="AB29">SUMPRODUCT(('Old CCC projections data'!$F$1:$BN$1=$B29)*('Old CCC projections data'!$A$2:$A$271=AB$2)*('Old CCC projections data'!$D$2:$D$271=AB$3)*('Old CCC projections data'!$F$2:$BN$271))*Model!$B$47</f>
        <v>662.5259615035576</v>
      </c>
      <c r="AC29" s="18" cm="1">
        <f t="array" ref="AC29">SUMPRODUCT(('Old CCC projections data'!$F$1:$BN$1=$B29)*('Old CCC projections data'!$A$2:$A$271=AC$2)*('Old CCC projections data'!$D$2:$D$271=AC$3)*('Old CCC projections data'!$F$2:$BN$271))*Model!$B$47</f>
        <v>110.42099358392626</v>
      </c>
      <c r="AD29" s="18" cm="1">
        <f t="array" ref="AD29">SUMPRODUCT(('Old CCC projections data'!$F$1:$BN$1=$B29)*('Old CCC projections data'!$A$2:$A$271=AD$2)*('Old CCC projections data'!$D$2:$D$271=AD$3)*('Old CCC projections data'!$F$2:$BN$271))*Model!$B$47</f>
        <v>121.46309294231887</v>
      </c>
      <c r="AE29" s="18" cm="1">
        <f t="array" ref="AE29">SUMPRODUCT(('Old CCC projections data'!$F$1:$BN$1=$B29)*('Old CCC projections data'!$A$2:$A$271=AE$2)*('Old CCC projections data'!$D$2:$D$271=AE$3)*('Old CCC projections data'!$F$2:$BN$271))*Model!$B$47</f>
        <v>258.49367875884951</v>
      </c>
      <c r="AF29" s="18" cm="1">
        <f t="array" ref="AF29">SUMPRODUCT(('Old CCC projections data'!$F$1:$BN$1=$B29)*('Old CCC projections data'!$A$2:$A$271=AF$2)*('Old CCC projections data'!$D$2:$D$271=AF$3)*('Old CCC projections data'!$F$2:$BN$271))*Model!$B$47</f>
        <v>1.1871345029239767E-2</v>
      </c>
      <c r="AG29" s="18" cm="1">
        <f t="array" ref="AG29">SUMPRODUCT(('Old CCC projections data'!$F$1:$BN$1=$B29)*('Old CCC projections data'!$A$2:$A$271=AG$2)*('Old CCC projections data'!$D$2:$D$271=AG$3)*('Old CCC projections data'!$F$2:$BN$271))*Model!$B$47</f>
        <v>220.84198716785252</v>
      </c>
      <c r="AH29" s="18" cm="1">
        <f t="array" ref="AH29">SUMPRODUCT(('Old CCC projections data'!$F$1:$BN$1=$B29)*('Old CCC projections data'!$A$2:$A$271=AH$2)*('Old CCC projections data'!$D$2:$D$271=AH$3)*('Old CCC projections data'!$F$2:$BN$271))*Model!$B$47</f>
        <v>331.2629807517788</v>
      </c>
      <c r="AI29" s="18" cm="1">
        <f t="array" ref="AI29">SUMPRODUCT(('Old CCC projections data'!$F$1:$BN$1=$B29)*('Old CCC projections data'!$A$2:$A$271=AI$2)*('Old CCC projections data'!$D$2:$D$271=AI$3)*('Old CCC projections data'!$F$2:$BN$271))*Model!$B$47</f>
        <v>441.68397433570505</v>
      </c>
      <c r="AJ29" s="18" cm="1">
        <f t="array" ref="AJ29">SUMPRODUCT(('Old CCC projections data'!$F$1:$BN$1=$B29)*('Old CCC projections data'!$A$2:$A$271=AJ$2)*('Old CCC projections data'!$D$2:$D$271=AJ$3)*('Old CCC projections data'!$F$2:$BN$271))*Model!$B$47</f>
        <v>552.10496791963146</v>
      </c>
      <c r="AK29" s="18" cm="1">
        <f t="array" ref="AK29">SUMPRODUCT(('Old CCC projections data'!$F$1:$BN$1=$B29)*('Old CCC projections data'!$A$2:$A$271=AK$2)*('Old CCC projections data'!$D$2:$D$271=AK$3)*('Old CCC projections data'!$F$2:$BN$271))*Model!$B$47</f>
        <v>596.27336535320194</v>
      </c>
      <c r="AL29" s="18" cm="1">
        <f t="array" ref="AL29">SUMPRODUCT(('Old CCC projections data'!$F$1:$BN$1=$B29)*('Old CCC projections data'!$A$2:$A$271=AL$2)*('Old CCC projections data'!$D$2:$D$271=AL$3)*('Old CCC projections data'!$F$2:$BN$271))*Model!$B$47</f>
        <v>662.5259615035576</v>
      </c>
      <c r="AM29" s="18" cm="1">
        <f t="array" ref="AM29">SUMPRODUCT(('Old CCC projections data'!$F$1:$BN$1=$B29)*('Old CCC projections data'!$A$2:$A$271=AM$2)*('Old CCC projections data'!$D$2:$D$271=AM$3)*('Old CCC projections data'!$F$2:$BN$271))*Model!$B$47</f>
        <v>110.42099358392626</v>
      </c>
      <c r="AN29" s="18" cm="1">
        <f t="array" ref="AN29">SUMPRODUCT(('Old CCC projections data'!$F$1:$BN$1=$B29)*('Old CCC projections data'!$A$2:$A$271=AN$2)*('Old CCC projections data'!$D$2:$D$271=AN$3)*('Old CCC projections data'!$F$2:$BN$271))*Model!$B$47</f>
        <v>258.49367875884951</v>
      </c>
      <c r="AO29" s="18" cm="1">
        <f t="array" ref="AO29">SUMPRODUCT(('Old CCC projections data'!$F$1:$BN$1=$B29)*('Old CCC projections data'!$A$2:$A$271=AO$2)*('Old CCC projections data'!$D$2:$D$271=AO$3)*('Old CCC projections data'!$F$2:$BN$271))*Model!$B$47</f>
        <v>1.1871345029239767E-2</v>
      </c>
      <c r="AP29" s="18" cm="1">
        <f t="array" ref="AP29">SUMPRODUCT(('Old CCC projections data'!$F$1:$BN$1=$B29)*('Old CCC projections data'!$A$2:$A$271=AP$2)*('Old CCC projections data'!$D$2:$D$271=AP$3)*('Old CCC projections data'!$F$2:$BN$271))*Model!$B$47</f>
        <v>220.84198716785252</v>
      </c>
      <c r="AQ29" s="18" cm="1">
        <f t="array" ref="AQ29">SUMPRODUCT(('Old CCC projections data'!$F$1:$BN$1=$B29)*('Old CCC projections data'!$A$2:$A$271=AQ$2)*('Old CCC projections data'!$D$2:$D$271=AQ$3)*('Old CCC projections data'!$F$2:$BN$271))*Model!$B$47</f>
        <v>331.2629807517788</v>
      </c>
      <c r="AR29" s="18" cm="1">
        <f t="array" ref="AR29">SUMPRODUCT(('Old CCC projections data'!$F$1:$BN$1=$B29)*('Old CCC projections data'!$A$2:$A$271=AR$2)*('Old CCC projections data'!$D$2:$D$271=AR$3)*('Old CCC projections data'!$F$2:$BN$271))*Model!$B$47</f>
        <v>441.68397433570505</v>
      </c>
      <c r="AS29" s="18" cm="1">
        <f t="array" ref="AS29">SUMPRODUCT(('Old CCC projections data'!$F$1:$BN$1=$B29)*('Old CCC projections data'!$A$2:$A$271=AS$2)*('Old CCC projections data'!$D$2:$D$271=AS$3)*('Old CCC projections data'!$F$2:$BN$271))*Model!$B$47</f>
        <v>552.10496791963146</v>
      </c>
      <c r="AT29" s="18" cm="1">
        <f t="array" ref="AT29">SUMPRODUCT(('Old CCC projections data'!$F$1:$BN$1=$B29)*('Old CCC projections data'!$A$2:$A$271=AT$2)*('Old CCC projections data'!$D$2:$D$271=AT$3)*('Old CCC projections data'!$F$2:$BN$271))*Model!$B$47</f>
        <v>662.5259615035576</v>
      </c>
      <c r="AU29" s="18" cm="1">
        <f t="array" ref="AU29">SUMPRODUCT(('Old CCC projections data'!$F$1:$BN$1=$B29)*('Old CCC projections data'!$A$2:$A$271=AU$2)*('Old CCC projections data'!$D$2:$D$271=AU$3)*('Old CCC projections data'!$F$2:$BN$271))*Model!$B$47</f>
        <v>110.42099358392626</v>
      </c>
      <c r="AV29" s="18" cm="1">
        <f t="array" ref="AV29">SUMPRODUCT(('Old CCC projections data'!$F$1:$BN$1=$B29)*('Old CCC projections data'!$A$2:$A$271=AV$2)*('Old CCC projections data'!$D$2:$D$271=AV$3)*('Old CCC projections data'!$F$2:$BN$271))*Model!$B$47</f>
        <v>121.46309294231887</v>
      </c>
      <c r="AW29" s="18" cm="1">
        <f t="array" ref="AW29">SUMPRODUCT(('Old CCC projections data'!$F$1:$BN$1=$B29)*('Old CCC projections data'!$A$2:$A$271=AW$2)*('Old CCC projections data'!$D$2:$D$271=AW$3)*('Old CCC projections data'!$F$2:$BN$271))*Model!$B$47</f>
        <v>258.49367875884951</v>
      </c>
      <c r="AX29" s="18" cm="1">
        <f t="array" ref="AX29">SUMPRODUCT(('Old CCC projections data'!$F$1:$BN$1=$B29)*('Old CCC projections data'!$A$2:$A$271=AX$2)*('Old CCC projections data'!$D$2:$D$271=AX$3)*('Old CCC projections data'!$F$2:$BN$271))*Model!$B$47</f>
        <v>1.1871345029239767E-2</v>
      </c>
      <c r="AY29" s="18">
        <v>50</v>
      </c>
      <c r="AZ29" s="18">
        <v>35</v>
      </c>
      <c r="BA29" s="18">
        <v>70</v>
      </c>
      <c r="BB29" s="18"/>
      <c r="BC29" s="20" cm="1">
        <f t="array" ref="BC29">SUMPRODUCT(('Old CCC projections data'!$F$1:$BN$1=$B29)*('Old CCC projections data'!$A$2:$A$271=BC$2)*('Old CCC projections data'!$D$2:$D$271=BC$3)*('Old CCC projections data'!$F$2:$BN$271))</f>
        <v>28409.632385723533</v>
      </c>
      <c r="BD29" s="20" cm="1">
        <f t="array" ref="BD29">SUMPRODUCT(('Old CCC projections data'!$F$1:$BN$1=$B29)*('Old CCC projections data'!$A$2:$A$271=BD$2)*('Old CCC projections data'!$D$2:$D$271=BD$3)*('Old CCC projections data'!$F$2:$BN$271))</f>
        <v>28841.465785084409</v>
      </c>
      <c r="BE29" s="20"/>
      <c r="BF29" s="20"/>
      <c r="BG29" s="20" cm="1">
        <f t="array" ref="BG29">SUMPRODUCT(('Old CCC projections data'!$F$1:$BN$1=$B29)*('Old CCC projections data'!$A$2:$A$271=BG$2)*('Old CCC projections data'!$D$2:$D$271=BG$3)*('Old CCC projections data'!$F$2:$BN$271))</f>
        <v>13641.882633335566</v>
      </c>
      <c r="BH29" s="20" cm="1">
        <f t="array" ref="BH29">SUMPRODUCT(('Old CCC projections data'!$F$1:$BN$1=$B29)*('Old CCC projections data'!$A$2:$A$271=BH$2)*('Old CCC projections data'!$D$2:$D$271=BH$3)*('Old CCC projections data'!$F$2:$BN$271))</f>
        <v>12617.583621999218</v>
      </c>
      <c r="BI29" s="20" cm="1">
        <f t="array" ref="BI29">SUMPRODUCT(('Old CCC projections data'!$F$1:$BN$1=$B29)*('Old CCC projections data'!$A$2:$A$271=BI$2)*('Old CCC projections data'!$D$2:$D$271=BI$3)*('Old CCC projections data'!$F$2:$BN$271))</f>
        <v>11413.460778896255</v>
      </c>
      <c r="BJ29" s="20" cm="1">
        <f t="array" ref="BJ29">SUMPRODUCT(('Old CCC projections data'!$F$1:$BN$1=$B29)*('Old CCC projections data'!$A$2:$A$271=BJ$2)*('Old CCC projections data'!$D$2:$D$271=BJ$3)*('Old CCC projections data'!$F$2:$BN$271))</f>
        <v>10808.062351538551</v>
      </c>
      <c r="BK29" s="20" cm="1">
        <f t="array" ref="BK29">SUMPRODUCT(('Old CCC projections data'!$F$1:$BN$1=$B29)*('Old CCC projections data'!$A$2:$A$271=BK$2)*('Old CCC projections data'!$D$2:$D$271=BK$3)*('Old CCC projections data'!$F$2:$BN$271))</f>
        <v>10536.796484580542</v>
      </c>
      <c r="BL29" s="20" cm="1">
        <f t="array" ref="BL29">SUMPRODUCT(('Old CCC projections data'!$F$1:$BN$1=$B29)*('Old CCC projections data'!$A$2:$A$271=BL$2)*('Old CCC projections data'!$D$2:$D$271=BL$3)*('Old CCC projections data'!$F$2:$BN$271))</f>
        <v>16135.623423670379</v>
      </c>
      <c r="BM29" s="20" cm="1">
        <f t="array" ref="BM29">SUMPRODUCT(('Old CCC projections data'!$F$1:$BN$1=$B29)*('Old CCC projections data'!$A$2:$A$271=BM$2)*('Old CCC projections data'!$D$2:$D$271=BM$3)*('Old CCC projections data'!$F$2:$BN$271))</f>
        <v>13198.630879034556</v>
      </c>
      <c r="BN29" s="20" cm="1">
        <f t="array" ref="BN29">SUMPRODUCT(('Old CCC projections data'!$F$1:$BN$1=$B29)*('Old CCC projections data'!$A$2:$A$271=BN$2)*('Old CCC projections data'!$D$2:$D$271=BN$3)*('Old CCC projections data'!$F$2:$BN$271))</f>
        <v>18472.725707396126</v>
      </c>
      <c r="BO29" s="20" cm="1">
        <f t="array" ref="BO29">SUMPRODUCT(('Old CCC projections data'!$F$1:$BN$1=$B29)*('Old CCC projections data'!$A$2:$A$271=BO$2)*('Old CCC projections data'!$D$2:$D$271=BO$3)*('Old CCC projections data'!$F$2:$BN$271))</f>
        <v>16511.825748097512</v>
      </c>
      <c r="BP29" s="20" cm="1">
        <f t="array" ref="BP29">SUMPRODUCT(('Old CCC projections data'!$F$1:$BN$1=$B29)*('Old CCC projections data'!$A$2:$A$271=BP$2)*('Old CCC projections data'!$D$2:$D$271=BP$3)*('Old CCC projections data'!$F$2:$BN$271))</f>
        <v>14685.773107850404</v>
      </c>
      <c r="BQ29" s="20" cm="1">
        <f t="array" ref="BQ29">SUMPRODUCT(('Old CCC projections data'!$F$1:$BN$1=$B29)*('Old CCC projections data'!$A$2:$A$271=BQ$2)*('Old CCC projections data'!$D$2:$D$271=BQ$3)*('Old CCC projections data'!$F$2:$BN$271))</f>
        <v>13547.896386208566</v>
      </c>
      <c r="BR29" s="20" cm="1">
        <f t="array" ref="BR29">SUMPRODUCT(('Old CCC projections data'!$F$1:$BN$1=$B29)*('Old CCC projections data'!$A$2:$A$271=BR$2)*('Old CCC projections data'!$D$2:$D$271=BR$3)*('Old CCC projections data'!$F$2:$BN$271))</f>
        <v>12889.511063162665</v>
      </c>
      <c r="BS29" s="20" cm="1">
        <f t="array" ref="BS29">SUMPRODUCT(('Old CCC projections data'!$F$1:$BN$1=$B29)*('Old CCC projections data'!$A$2:$A$271=BS$2)*('Old CCC projections data'!$D$2:$D$271=BS$3)*('Old CCC projections data'!$F$2:$BN$271))</f>
        <v>12499.115791885439</v>
      </c>
      <c r="BT29" s="20" cm="1">
        <f t="array" ref="BT29">SUMPRODUCT(('Old CCC projections data'!$F$1:$BN$1=$B29)*('Old CCC projections data'!$A$2:$A$271=BT$2)*('Old CCC projections data'!$D$2:$D$271=BT$3)*('Old CCC projections data'!$F$2:$BN$271))</f>
        <v>19161.134077018072</v>
      </c>
      <c r="BU29" s="20" cm="1">
        <f t="array" ref="BU29">SUMPRODUCT(('Old CCC projections data'!$F$1:$BN$1=$B29)*('Old CCC projections data'!$A$2:$A$271=BU$2)*('Old CCC projections data'!$D$2:$D$271=BU$3)*('Old CCC projections data'!$F$2:$BN$271))</f>
        <v>15864.021085983602</v>
      </c>
      <c r="BV29" s="20" cm="1">
        <f t="array" ref="BV29">SUMPRODUCT(('Old CCC projections data'!$F$1:$BN$1=$B29)*('Old CCC projections data'!$A$2:$A$271=BV$2)*('Old CCC projections data'!$D$2:$D$271=BV$3)*('Old CCC projections data'!$F$2:$BN$271))</f>
        <v>20678.872268384515</v>
      </c>
      <c r="BW29" s="20" cm="1">
        <f t="array" ref="BW29">SUMPRODUCT(('Old CCC projections data'!$F$1:$BN$1=$B29)*('Old CCC projections data'!$A$2:$A$271=BW$2)*('Old CCC projections data'!$D$2:$D$271=BW$3)*('Old CCC projections data'!$F$2:$BN$271))</f>
        <v>11925.955607293905</v>
      </c>
      <c r="BX29" s="20" cm="1">
        <f t="array" ref="BX29">SUMPRODUCT(('Old CCC projections data'!$F$1:$BN$1=$B29)*('Old CCC projections data'!$A$2:$A$271=BX$2)*('Old CCC projections data'!$D$2:$D$271=BX$3)*('Old CCC projections data'!$F$2:$BN$271))</f>
        <v>10623.056282293903</v>
      </c>
      <c r="BY29" s="20" cm="1">
        <f t="array" ref="BY29">SUMPRODUCT(('Old CCC projections data'!$F$1:$BN$1=$B29)*('Old CCC projections data'!$A$2:$A$271=BY$2)*('Old CCC projections data'!$D$2:$D$271=BY$3)*('Old CCC projections data'!$F$2:$BN$271))</f>
        <v>10487.620658718568</v>
      </c>
      <c r="BZ29" s="20" cm="1">
        <f t="array" ref="BZ29">SUMPRODUCT(('Old CCC projections data'!$F$1:$BN$1=$B29)*('Old CCC projections data'!$A$2:$A$271=BZ$2)*('Old CCC projections data'!$D$2:$D$271=BZ$3)*('Old CCC projections data'!$F$2:$BN$271))</f>
        <v>10364.185262960907</v>
      </c>
      <c r="CA29" s="20" cm="1">
        <f t="array" ref="CA29">SUMPRODUCT(('Old CCC projections data'!$F$1:$BN$1=$B29)*('Old CCC projections data'!$A$2:$A$271=CA$2)*('Old CCC projections data'!$D$2:$D$271=CA$3)*('Old CCC projections data'!$F$2:$BN$271))</f>
        <v>10292.016273877349</v>
      </c>
      <c r="CB29" s="20" cm="1">
        <f t="array" ref="CB29">SUMPRODUCT(('Old CCC projections data'!$F$1:$BN$1=$B29)*('Old CCC projections data'!$A$2:$A$271=CB$2)*('Old CCC projections data'!$D$2:$D$271=CB$3)*('Old CCC projections data'!$F$2:$BN$271))</f>
        <v>13775.803242713717</v>
      </c>
      <c r="CC29" s="20" cm="1">
        <f t="array" ref="CC29">SUMPRODUCT(('Old CCC projections data'!$F$1:$BN$1=$B29)*('Old CCC projections data'!$A$2:$A$271=CC$2)*('Old CCC projections data'!$D$2:$D$271=CC$3)*('Old CCC projections data'!$F$2:$BN$271))</f>
        <v>13513.903556583</v>
      </c>
      <c r="CD29" s="20" cm="1">
        <f t="array" ref="CD29">SUMPRODUCT(('Old CCC projections data'!$F$1:$BN$1=$B29)*('Old CCC projections data'!$A$2:$A$271=CD$2)*('Old CCC projections data'!$D$2:$D$271=CD$3)*('Old CCC projections data'!$F$2:$BN$271))</f>
        <v>11461.328647247459</v>
      </c>
      <c r="CE29" s="20" cm="1">
        <f t="array" ref="CE29">SUMPRODUCT(('Old CCC projections data'!$F$1:$BN$1=$B29)*('Old CCC projections data'!$A$2:$A$271=CE$2)*('Old CCC projections data'!$D$2:$D$271=CE$3)*('Old CCC projections data'!$F$2:$BN$271))</f>
        <v>15889.247639719175</v>
      </c>
      <c r="CF29" s="20" cm="1">
        <f t="array" ref="CF29">SUMPRODUCT(('Old CCC projections data'!$F$1:$BN$1=$B29)*('Old CCC projections data'!$A$2:$A$271=CF$2)*('Old CCC projections data'!$D$2:$D$271=CF$3)*('Old CCC projections data'!$F$2:$BN$271))</f>
        <v>18518.132478908185</v>
      </c>
      <c r="CG29" s="20" cm="1">
        <f t="array" ref="CG29">SUMPRODUCT(('Old CCC projections data'!$F$1:$BN$1=$B29)*('Old CCC projections data'!$A$2:$A$271=CG$2)*('Old CCC projections data'!$D$2:$D$271=CG$3)*('Old CCC projections data'!$F$2:$BN$271))</f>
        <v>16958.420523669134</v>
      </c>
      <c r="CH29" s="20" cm="1">
        <f t="array" ref="CH29">SUMPRODUCT(('Old CCC projections data'!$F$1:$BN$1=$B29)*('Old CCC projections data'!$A$2:$A$271=CH$2)*('Old CCC projections data'!$D$2:$D$271=CH$3)*('Old CCC projections data'!$F$2:$BN$271))</f>
        <v>15909.262707736876</v>
      </c>
      <c r="CI29" s="20" cm="1">
        <f t="array" ref="CI29">SUMPRODUCT(('Old CCC projections data'!$F$1:$BN$1=$B29)*('Old CCC projections data'!$A$2:$A$271=CI$2)*('Old CCC projections data'!$D$2:$D$271=CI$3)*('Old CCC projections data'!$F$2:$BN$271))</f>
        <v>15504.20566633437</v>
      </c>
      <c r="CJ29" s="20" cm="1">
        <f t="array" ref="CJ29">SUMPRODUCT(('Old CCC projections data'!$F$1:$BN$1=$B29)*('Old CCC projections data'!$A$2:$A$271=CJ$2)*('Old CCC projections data'!$D$2:$D$271=CJ$3)*('Old CCC projections data'!$F$2:$BN$271))</f>
        <v>15438.215038596316</v>
      </c>
      <c r="CK29" s="20" cm="1">
        <f t="array" ref="CK29">SUMPRODUCT(('Old CCC projections data'!$F$1:$BN$1=$B29)*('Old CCC projections data'!$A$2:$A$271=CK$2)*('Old CCC projections data'!$D$2:$D$271=CK$3)*('Old CCC projections data'!$F$2:$BN$271))</f>
        <v>15379.411822585173</v>
      </c>
      <c r="CL29" s="20" cm="1">
        <f t="array" ref="CL29">SUMPRODUCT(('Old CCC projections data'!$F$1:$BN$1=$B29)*('Old CCC projections data'!$A$2:$A$271=CL$2)*('Old CCC projections data'!$D$2:$D$271=CL$3)*('Old CCC projections data'!$F$2:$BN$271))</f>
        <v>21035.995103830606</v>
      </c>
      <c r="CM29" s="20" cm="1">
        <f t="array" ref="CM29">SUMPRODUCT(('Old CCC projections data'!$F$1:$BN$1=$B29)*('Old CCC projections data'!$A$2:$A$271=CM$2)*('Old CCC projections data'!$D$2:$D$271=CM$3)*('Old CCC projections data'!$F$2:$BN$271))</f>
        <v>18005.491696103887</v>
      </c>
      <c r="CN29" s="20" cm="1">
        <f t="array" ref="CN29">SUMPRODUCT(('Old CCC projections data'!$F$1:$BN$1=$B29)*('Old CCC projections data'!$A$2:$A$271=CN$2)*('Old CCC projections data'!$D$2:$D$271=CN$3)*('Old CCC projections data'!$F$2:$BN$271))</f>
        <v>22944.620024552507</v>
      </c>
      <c r="CO29" s="20" cm="1">
        <f t="array" ref="CO29">SUMPRODUCT(('Old CCC projections data'!$F$1:$BN$1=$B29)*('Old CCC projections data'!$A$2:$A$271=CO$2)*('Old CCC projections data'!$D$2:$D$271=CO$3)*('Old CCC projections data'!$F$2:$BN$271))</f>
        <v>10128.108130791694</v>
      </c>
      <c r="CP29" s="20" cm="1">
        <f t="array" ref="CP29">SUMPRODUCT(('Old CCC projections data'!$F$1:$BN$1=$B29)*('Old CCC projections data'!$A$2:$A$271=CP$2)*('Old CCC projections data'!$D$2:$D$271=CP$3)*('Old CCC projections data'!$F$2:$BN$271))</f>
        <v>9160.4463350336737</v>
      </c>
      <c r="CQ29" s="20" cm="1">
        <f t="array" ref="CQ29">SUMPRODUCT(('Old CCC projections data'!$F$1:$BN$1=$B29)*('Old CCC projections data'!$A$2:$A$271=CQ$2)*('Old CCC projections data'!$D$2:$D$271=CQ$3)*('Old CCC projections data'!$F$2:$BN$271))</f>
        <v>7862.9763785902915</v>
      </c>
      <c r="CR29" s="20" cm="1">
        <f t="array" ref="CR29">SUMPRODUCT(('Old CCC projections data'!$F$1:$BN$1=$B29)*('Old CCC projections data'!$A$2:$A$271=CR$2)*('Old CCC projections data'!$D$2:$D$271=CR$3)*('Old CCC projections data'!$F$2:$BN$271))</f>
        <v>7315.9903408060891</v>
      </c>
      <c r="CS29" s="20" cm="1">
        <f t="array" ref="CS29">SUMPRODUCT(('Old CCC projections data'!$F$1:$BN$1=$B29)*('Old CCC projections data'!$A$2:$A$271=CS$2)*('Old CCC projections data'!$D$2:$D$271=CS$3)*('Old CCC projections data'!$F$2:$BN$271))</f>
        <v>7125.5560379200351</v>
      </c>
      <c r="CT29" s="20" cm="1">
        <f t="array" ref="CT29">SUMPRODUCT(('Old CCC projections data'!$F$1:$BN$1=$B29)*('Old CCC projections data'!$A$2:$A$271=CT$2)*('Old CCC projections data'!$D$2:$D$271=CT$3)*('Old CCC projections data'!$F$2:$BN$271))</f>
        <v>12543.463067760007</v>
      </c>
      <c r="CU29" s="20" cm="1">
        <f t="array" ref="CU29">SUMPRODUCT(('Old CCC projections data'!$F$1:$BN$1=$B29)*('Old CCC projections data'!$A$2:$A$271=CU$2)*('Old CCC projections data'!$D$2:$D$271=CU$3)*('Old CCC projections data'!$F$2:$BN$271))</f>
        <v>12290.753783254651</v>
      </c>
      <c r="CV29" s="20" cm="1">
        <f t="array" ref="CV29">SUMPRODUCT(('Old CCC projections data'!$F$1:$BN$1=$B29)*('Old CCC projections data'!$A$2:$A$271=CV$2)*('Old CCC projections data'!$D$2:$D$271=CV$3)*('Old CCC projections data'!$F$2:$BN$271))</f>
        <v>9756.9311366664224</v>
      </c>
      <c r="CW29" s="20" cm="1">
        <f t="array" ref="CW29">SUMPRODUCT(('Old CCC projections data'!$F$1:$BN$1=$B29)*('Old CCC projections data'!$A$2:$A$271=CW$2)*('Old CCC projections data'!$D$2:$D$271=CW$3)*('Old CCC projections data'!$F$2:$BN$271))</f>
        <v>14538.426019575232</v>
      </c>
      <c r="CX29" s="20">
        <f t="shared" si="19"/>
        <v>5274.0948283615708</v>
      </c>
      <c r="CY29" s="20" t="str">
        <f t="shared" si="29"/>
        <v>Demo path - C price $100 3%</v>
      </c>
      <c r="CZ29" s="3">
        <f t="shared" si="30"/>
        <v>2047</v>
      </c>
      <c r="DA29" s="18">
        <f t="shared" si="31"/>
        <v>0</v>
      </c>
      <c r="DB29" s="18">
        <f ca="1">(H32+IF($DB$3&gt;0,NPV($DB$2,H33:OFFSET(H32,$DB$3,0)),0))/($DB$3+1)</f>
        <v>87.752728040714914</v>
      </c>
      <c r="DC29" s="18">
        <f t="shared" ca="1" si="20"/>
        <v>-12.247271959285086</v>
      </c>
      <c r="DD29" s="18">
        <f t="shared" si="32"/>
        <v>100</v>
      </c>
      <c r="DE29" s="20">
        <f t="shared" si="21"/>
        <v>16245.780919206421</v>
      </c>
      <c r="DF29" s="20" cm="1">
        <f t="array" ref="DF29">SUMPRODUCT(($BG$2:$BM$2=CY29)*($B$5:$B$35=CZ29)*($BG$5:$BM$35))</f>
        <v>11276.664336107337</v>
      </c>
      <c r="DG29" s="20">
        <f t="shared" si="16"/>
        <v>4969.1165830990849</v>
      </c>
      <c r="DH29" s="20" cm="1">
        <f t="array" ref="DH29">IF(CZ29=2023,SUMPRODUCT(($B$5:$B$35=CZ29-1)*($BN$5:$BN$35))-SUMPRODUCT(($BG$2:$BM$2=CY29)*($B$5:$B$35=CZ29-1)*($BG$5:$BM$35)),DG28)</f>
        <v>4947.4440315265219</v>
      </c>
      <c r="DI29" s="18">
        <f t="shared" ca="1" si="17"/>
        <v>87.752728040714914</v>
      </c>
      <c r="DJ29" s="89">
        <f t="shared" si="22"/>
        <v>8.5109973534118328</v>
      </c>
      <c r="DK29" s="89">
        <f t="shared" si="23"/>
        <v>8.506626364937043</v>
      </c>
      <c r="DL29" s="89">
        <f t="shared" ca="1" si="24"/>
        <v>4.4745229506458051</v>
      </c>
      <c r="DM29" s="20">
        <f t="shared" ca="1" si="25"/>
        <v>2870.4757813371784</v>
      </c>
      <c r="DN29" s="20">
        <f t="shared" ca="1" si="26"/>
        <v>3072.0825048738743</v>
      </c>
      <c r="DO29" s="20">
        <f t="shared" ca="1" si="27"/>
        <v>2971.2791431055266</v>
      </c>
      <c r="DP29" s="113"/>
      <c r="DQ29" s="2"/>
      <c r="DR29" s="3"/>
      <c r="DS29" s="14" t="s">
        <v>121</v>
      </c>
      <c r="DT29" s="14">
        <v>195</v>
      </c>
      <c r="DU29" s="14">
        <v>977782011.36694872</v>
      </c>
      <c r="DV29" s="14"/>
      <c r="DW29" s="14"/>
      <c r="DX29" s="14"/>
    </row>
    <row r="30" spans="1:131" ht="15.75" thickBot="1" x14ac:dyDescent="0.3">
      <c r="A30">
        <v>0.5</v>
      </c>
      <c r="B30">
        <f t="shared" si="28"/>
        <v>2045</v>
      </c>
      <c r="C30" s="190">
        <f>IF(C29*(1+A30*Model!$B$19*IF(Model!$B$28=0,1,((Model!$B$28-B30)/(Model!$B$28-$B$9))))&gt;Model!$B$44,C29*(1+A30*Model!$B$19*IF(Model!$B$28=0,1,((Model!$B$28-B30)/(Model!$B$28-$B$9)))),Model!$B$44)</f>
        <v>56.944754454781069</v>
      </c>
      <c r="D30" s="18" cm="1">
        <f t="array" ref="D30">SUMPRODUCT(('Old CCC projections data'!$F$1:$BN$1=$B30)*('Old CCC projections data'!$A$2:$A$271=D$2)*('Old CCC projections data'!$D$2:$D$271=D$3)*('Old CCC projections data'!$F$2:$BN$271))*Model!$B$47</f>
        <v>41.549707602339183</v>
      </c>
      <c r="E30" s="18" cm="1">
        <f t="array" ref="E30">SUMPRODUCT(('Old CCC projections data'!$F$1:$BN$1=$B30)*('Old CCC projections data'!$A$2:$A$271=E$2)*('Old CCC projections data'!$D$2:$D$271=E$3)*('Old CCC projections data'!$F$2:$BN$271))*Model!$B$47</f>
        <v>1.1871345029239767E-2</v>
      </c>
      <c r="F30" s="18"/>
      <c r="G30" s="18"/>
      <c r="H30" s="18" cm="1">
        <f t="array" ref="H30">SUMPRODUCT(('Old CCC projections data'!$F$1:$BN$1=$B30)*('Old CCC projections data'!$A$2:$A$271=H$2)*('Old CCC projections data'!$D$2:$D$271=H$3)*('Old CCC projections data'!$F$2:$BN$271))*Model!$B$47</f>
        <v>227.46724678288808</v>
      </c>
      <c r="I30" s="18" cm="1">
        <f t="array" ref="I30">SUMPRODUCT(('Old CCC projections data'!$F$1:$BN$1=$B30)*('Old CCC projections data'!$A$2:$A$271=I$2)*('Old CCC projections data'!$D$2:$D$271=I$3)*('Old CCC projections data'!$F$2:$BN$271))*Model!$B$47</f>
        <v>341.20087017433218</v>
      </c>
      <c r="J30" s="18" cm="1">
        <f t="array" ref="J30">SUMPRODUCT(('Old CCC projections data'!$F$1:$BN$1=$B30)*('Old CCC projections data'!$A$2:$A$271=J$2)*('Old CCC projections data'!$D$2:$D$271=J$3)*('Old CCC projections data'!$F$2:$BN$271))*Model!$B$47</f>
        <v>454.93449356577617</v>
      </c>
      <c r="K30" s="18" cm="1">
        <f t="array" ref="K30">SUMPRODUCT(('Old CCC projections data'!$F$1:$BN$1=$B30)*('Old CCC projections data'!$A$2:$A$271=K$2)*('Old CCC projections data'!$D$2:$D$271=K$3)*('Old CCC projections data'!$F$2:$BN$271))*Model!$B$47</f>
        <v>568.66811695722038</v>
      </c>
      <c r="L30" s="18" cm="1">
        <f t="array" ref="L30">SUMPRODUCT(('Old CCC projections data'!$F$1:$BN$1=$B30)*('Old CCC projections data'!$A$2:$A$271=L$2)*('Old CCC projections data'!$D$2:$D$271=L$3)*('Old CCC projections data'!$F$2:$BN$271))*Model!$B$47</f>
        <v>682.40174034866436</v>
      </c>
      <c r="M30" s="18" cm="1">
        <f t="array" ref="M30">SUMPRODUCT(('Old CCC projections data'!$F$1:$BN$1=$B30)*('Old CCC projections data'!$A$2:$A$271=M$2)*('Old CCC projections data'!$D$2:$D$271=M$3)*('Old CCC projections data'!$F$2:$BN$271))*Model!$B$47</f>
        <v>113.73362339144404</v>
      </c>
      <c r="N30" s="189" cm="1">
        <f t="array" ref="N30">SUMPRODUCT(('Old CCC projections data'!$F$1:$BN$1=$B30)*('Old CCC projections data'!$A$2:$A$271=N$2)*('Old CCC projections data'!$D$2:$D$271=N$3)*('Old CCC projections data'!$F$2:$BN$271))*Model!$B$47</f>
        <v>266.24848912161502</v>
      </c>
      <c r="O30" s="18" cm="1">
        <f t="array" ref="O30">SUMPRODUCT(('Old CCC projections data'!$F$1:$BN$1=$B30)*('Old CCC projections data'!$A$2:$A$271=O$2)*('Old CCC projections data'!$D$2:$D$271=O$3)*('Old CCC projections data'!$F$2:$BN$271))*Model!$B$47</f>
        <v>1.1871345029239767E-2</v>
      </c>
      <c r="P30" s="18" cm="1">
        <f t="array" ref="P30">SUMPRODUCT(('Old CCC projections data'!$F$1:$BN$1=$B30)*('Old CCC projections data'!$A$2:$A$271=P$2)*('Old CCC projections data'!$D$2:$D$271=P$3)*('Old CCC projections data'!$F$2:$BN$271))*Model!$B$47</f>
        <v>227.46724678288808</v>
      </c>
      <c r="Q30" s="18" cm="1">
        <f t="array" ref="Q30">SUMPRODUCT(('Old CCC projections data'!$F$1:$BN$1=$B30)*('Old CCC projections data'!$A$2:$A$271=Q$2)*('Old CCC projections data'!$D$2:$D$271=Q$3)*('Old CCC projections data'!$F$2:$BN$271))*Model!$B$47</f>
        <v>341.20087017433218</v>
      </c>
      <c r="R30" s="18" cm="1">
        <f t="array" ref="R30">SUMPRODUCT(('Old CCC projections data'!$F$1:$BN$1=$B30)*('Old CCC projections data'!$A$2:$A$271=R$2)*('Old CCC projections data'!$D$2:$D$271=R$3)*('Old CCC projections data'!$F$2:$BN$271))*Model!$B$47</f>
        <v>454.93449356577617</v>
      </c>
      <c r="S30" s="18" cm="1">
        <f t="array" ref="S30">SUMPRODUCT(('Old CCC projections data'!$F$1:$BN$1=$B30)*('Old CCC projections data'!$A$2:$A$271=S$2)*('Old CCC projections data'!$D$2:$D$271=S$3)*('Old CCC projections data'!$F$2:$BN$271))*Model!$B$47</f>
        <v>568.66811695722038</v>
      </c>
      <c r="T30" s="18" cm="1">
        <f t="array" ref="T30">SUMPRODUCT(('Old CCC projections data'!$F$1:$BN$1=$B30)*('Old CCC projections data'!$A$2:$A$271=T$2)*('Old CCC projections data'!$D$2:$D$271=T$3)*('Old CCC projections data'!$F$2:$BN$271))*Model!$B$47</f>
        <v>682.40174034866436</v>
      </c>
      <c r="U30" s="18" cm="1">
        <f t="array" ref="U30">SUMPRODUCT(('Old CCC projections data'!$F$1:$BN$1=$B30)*('Old CCC projections data'!$A$2:$A$271=U$2)*('Old CCC projections data'!$D$2:$D$271=U$3)*('Old CCC projections data'!$F$2:$BN$271))*Model!$B$47</f>
        <v>113.73362339144404</v>
      </c>
      <c r="V30" s="18" cm="1">
        <f t="array" ref="V30">SUMPRODUCT(('Old CCC projections data'!$F$1:$BN$1=$B30)*('Old CCC projections data'!$A$2:$A$271=V$2)*('Old CCC projections data'!$D$2:$D$271=V$3)*('Old CCC projections data'!$F$2:$BN$271))*Model!$B$47</f>
        <v>266.24848912161502</v>
      </c>
      <c r="W30" s="18" cm="1">
        <f t="array" ref="W30">SUMPRODUCT(('Old CCC projections data'!$F$1:$BN$1=$B30)*('Old CCC projections data'!$A$2:$A$271=W$2)*('Old CCC projections data'!$D$2:$D$271=W$3)*('Old CCC projections data'!$F$2:$BN$271))*Model!$B$47</f>
        <v>1.1871345029239767E-2</v>
      </c>
      <c r="X30" s="18" cm="1">
        <f t="array" ref="X30">SUMPRODUCT(('Old CCC projections data'!$F$1:$BN$1=$B30)*('Old CCC projections data'!$A$2:$A$271=X$2)*('Old CCC projections data'!$D$2:$D$271=X$3)*('Old CCC projections data'!$F$2:$BN$271))*Model!$B$47</f>
        <v>227.46724678288808</v>
      </c>
      <c r="Y30" s="18" cm="1">
        <f t="array" ref="Y30">SUMPRODUCT(('Old CCC projections data'!$F$1:$BN$1=$B30)*('Old CCC projections data'!$A$2:$A$271=Y$2)*('Old CCC projections data'!$D$2:$D$271=Y$3)*('Old CCC projections data'!$F$2:$BN$271))*Model!$B$47</f>
        <v>341.20087017433218</v>
      </c>
      <c r="Z30" s="18" cm="1">
        <f t="array" ref="Z30">SUMPRODUCT(('Old CCC projections data'!$F$1:$BN$1=$B30)*('Old CCC projections data'!$A$2:$A$271=Z$2)*('Old CCC projections data'!$D$2:$D$271=Z$3)*('Old CCC projections data'!$F$2:$BN$271))*Model!$B$47</f>
        <v>454.93449356577617</v>
      </c>
      <c r="AA30" s="18" cm="1">
        <f t="array" ref="AA30">SUMPRODUCT(('Old CCC projections data'!$F$1:$BN$1=$B30)*('Old CCC projections data'!$A$2:$A$271=AA$2)*('Old CCC projections data'!$D$2:$D$271=AA$3)*('Old CCC projections data'!$F$2:$BN$271))*Model!$B$47</f>
        <v>568.66811695722038</v>
      </c>
      <c r="AB30" s="18" cm="1">
        <f t="array" ref="AB30">SUMPRODUCT(('Old CCC projections data'!$F$1:$BN$1=$B30)*('Old CCC projections data'!$A$2:$A$271=AB$2)*('Old CCC projections data'!$D$2:$D$271=AB$3)*('Old CCC projections data'!$F$2:$BN$271))*Model!$B$47</f>
        <v>682.40174034866436</v>
      </c>
      <c r="AC30" s="18" cm="1">
        <f t="array" ref="AC30">SUMPRODUCT(('Old CCC projections data'!$F$1:$BN$1=$B30)*('Old CCC projections data'!$A$2:$A$271=AC$2)*('Old CCC projections data'!$D$2:$D$271=AC$3)*('Old CCC projections data'!$F$2:$BN$271))*Model!$B$47</f>
        <v>113.73362339144404</v>
      </c>
      <c r="AD30" s="18" cm="1">
        <f t="array" ref="AD30">SUMPRODUCT(('Old CCC projections data'!$F$1:$BN$1=$B30)*('Old CCC projections data'!$A$2:$A$271=AD$2)*('Old CCC projections data'!$D$2:$D$271=AD$3)*('Old CCC projections data'!$F$2:$BN$271))*Model!$B$47</f>
        <v>125.10698573058843</v>
      </c>
      <c r="AE30" s="18" cm="1">
        <f t="array" ref="AE30">SUMPRODUCT(('Old CCC projections data'!$F$1:$BN$1=$B30)*('Old CCC projections data'!$A$2:$A$271=AE$2)*('Old CCC projections data'!$D$2:$D$271=AE$3)*('Old CCC projections data'!$F$2:$BN$271))*Model!$B$47</f>
        <v>266.24848912161502</v>
      </c>
      <c r="AF30" s="18" cm="1">
        <f t="array" ref="AF30">SUMPRODUCT(('Old CCC projections data'!$F$1:$BN$1=$B30)*('Old CCC projections data'!$A$2:$A$271=AF$2)*('Old CCC projections data'!$D$2:$D$271=AF$3)*('Old CCC projections data'!$F$2:$BN$271))*Model!$B$47</f>
        <v>1.1871345029239767E-2</v>
      </c>
      <c r="AG30" s="18" cm="1">
        <f t="array" ref="AG30">SUMPRODUCT(('Old CCC projections data'!$F$1:$BN$1=$B30)*('Old CCC projections data'!$A$2:$A$271=AG$2)*('Old CCC projections data'!$D$2:$D$271=AG$3)*('Old CCC projections data'!$F$2:$BN$271))*Model!$B$47</f>
        <v>227.46724678288808</v>
      </c>
      <c r="AH30" s="18" cm="1">
        <f t="array" ref="AH30">SUMPRODUCT(('Old CCC projections data'!$F$1:$BN$1=$B30)*('Old CCC projections data'!$A$2:$A$271=AH$2)*('Old CCC projections data'!$D$2:$D$271=AH$3)*('Old CCC projections data'!$F$2:$BN$271))*Model!$B$47</f>
        <v>341.20087017433218</v>
      </c>
      <c r="AI30" s="18" cm="1">
        <f t="array" ref="AI30">SUMPRODUCT(('Old CCC projections data'!$F$1:$BN$1=$B30)*('Old CCC projections data'!$A$2:$A$271=AI$2)*('Old CCC projections data'!$D$2:$D$271=AI$3)*('Old CCC projections data'!$F$2:$BN$271))*Model!$B$47</f>
        <v>454.93449356577617</v>
      </c>
      <c r="AJ30" s="18" cm="1">
        <f t="array" ref="AJ30">SUMPRODUCT(('Old CCC projections data'!$F$1:$BN$1=$B30)*('Old CCC projections data'!$A$2:$A$271=AJ$2)*('Old CCC projections data'!$D$2:$D$271=AJ$3)*('Old CCC projections data'!$F$2:$BN$271))*Model!$B$47</f>
        <v>568.66811695722038</v>
      </c>
      <c r="AK30" s="18" cm="1">
        <f t="array" ref="AK30">SUMPRODUCT(('Old CCC projections data'!$F$1:$BN$1=$B30)*('Old CCC projections data'!$A$2:$A$271=AK$2)*('Old CCC projections data'!$D$2:$D$271=AK$3)*('Old CCC projections data'!$F$2:$BN$271))*Model!$B$47</f>
        <v>614.16156631379806</v>
      </c>
      <c r="AL30" s="18" cm="1">
        <f t="array" ref="AL30">SUMPRODUCT(('Old CCC projections data'!$F$1:$BN$1=$B30)*('Old CCC projections data'!$A$2:$A$271=AL$2)*('Old CCC projections data'!$D$2:$D$271=AL$3)*('Old CCC projections data'!$F$2:$BN$271))*Model!$B$47</f>
        <v>682.40174034866436</v>
      </c>
      <c r="AM30" s="18" cm="1">
        <f t="array" ref="AM30">SUMPRODUCT(('Old CCC projections data'!$F$1:$BN$1=$B30)*('Old CCC projections data'!$A$2:$A$271=AM$2)*('Old CCC projections data'!$D$2:$D$271=AM$3)*('Old CCC projections data'!$F$2:$BN$271))*Model!$B$47</f>
        <v>113.73362339144404</v>
      </c>
      <c r="AN30" s="18" cm="1">
        <f t="array" ref="AN30">SUMPRODUCT(('Old CCC projections data'!$F$1:$BN$1=$B30)*('Old CCC projections data'!$A$2:$A$271=AN$2)*('Old CCC projections data'!$D$2:$D$271=AN$3)*('Old CCC projections data'!$F$2:$BN$271))*Model!$B$47</f>
        <v>266.24848912161502</v>
      </c>
      <c r="AO30" s="18" cm="1">
        <f t="array" ref="AO30">SUMPRODUCT(('Old CCC projections data'!$F$1:$BN$1=$B30)*('Old CCC projections data'!$A$2:$A$271=AO$2)*('Old CCC projections data'!$D$2:$D$271=AO$3)*('Old CCC projections data'!$F$2:$BN$271))*Model!$B$47</f>
        <v>1.1871345029239767E-2</v>
      </c>
      <c r="AP30" s="18" cm="1">
        <f t="array" ref="AP30">SUMPRODUCT(('Old CCC projections data'!$F$1:$BN$1=$B30)*('Old CCC projections data'!$A$2:$A$271=AP$2)*('Old CCC projections data'!$D$2:$D$271=AP$3)*('Old CCC projections data'!$F$2:$BN$271))*Model!$B$47</f>
        <v>227.46724678288808</v>
      </c>
      <c r="AQ30" s="18" cm="1">
        <f t="array" ref="AQ30">SUMPRODUCT(('Old CCC projections data'!$F$1:$BN$1=$B30)*('Old CCC projections data'!$A$2:$A$271=AQ$2)*('Old CCC projections data'!$D$2:$D$271=AQ$3)*('Old CCC projections data'!$F$2:$BN$271))*Model!$B$47</f>
        <v>341.20087017433218</v>
      </c>
      <c r="AR30" s="18" cm="1">
        <f t="array" ref="AR30">SUMPRODUCT(('Old CCC projections data'!$F$1:$BN$1=$B30)*('Old CCC projections data'!$A$2:$A$271=AR$2)*('Old CCC projections data'!$D$2:$D$271=AR$3)*('Old CCC projections data'!$F$2:$BN$271))*Model!$B$47</f>
        <v>454.93449356577617</v>
      </c>
      <c r="AS30" s="18" cm="1">
        <f t="array" ref="AS30">SUMPRODUCT(('Old CCC projections data'!$F$1:$BN$1=$B30)*('Old CCC projections data'!$A$2:$A$271=AS$2)*('Old CCC projections data'!$D$2:$D$271=AS$3)*('Old CCC projections data'!$F$2:$BN$271))*Model!$B$47</f>
        <v>568.66811695722038</v>
      </c>
      <c r="AT30" s="18" cm="1">
        <f t="array" ref="AT30">SUMPRODUCT(('Old CCC projections data'!$F$1:$BN$1=$B30)*('Old CCC projections data'!$A$2:$A$271=AT$2)*('Old CCC projections data'!$D$2:$D$271=AT$3)*('Old CCC projections data'!$F$2:$BN$271))*Model!$B$47</f>
        <v>682.40174034866436</v>
      </c>
      <c r="AU30" s="18" cm="1">
        <f t="array" ref="AU30">SUMPRODUCT(('Old CCC projections data'!$F$1:$BN$1=$B30)*('Old CCC projections data'!$A$2:$A$271=AU$2)*('Old CCC projections data'!$D$2:$D$271=AU$3)*('Old CCC projections data'!$F$2:$BN$271))*Model!$B$47</f>
        <v>113.73362339144404</v>
      </c>
      <c r="AV30" s="18" cm="1">
        <f t="array" ref="AV30">SUMPRODUCT(('Old CCC projections data'!$F$1:$BN$1=$B30)*('Old CCC projections data'!$A$2:$A$271=AV$2)*('Old CCC projections data'!$D$2:$D$271=AV$3)*('Old CCC projections data'!$F$2:$BN$271))*Model!$B$47</f>
        <v>125.10698573058843</v>
      </c>
      <c r="AW30" s="18" cm="1">
        <f t="array" ref="AW30">SUMPRODUCT(('Old CCC projections data'!$F$1:$BN$1=$B30)*('Old CCC projections data'!$A$2:$A$271=AW$2)*('Old CCC projections data'!$D$2:$D$271=AW$3)*('Old CCC projections data'!$F$2:$BN$271))*Model!$B$47</f>
        <v>266.24848912161502</v>
      </c>
      <c r="AX30" s="18" cm="1">
        <f t="array" ref="AX30">SUMPRODUCT(('Old CCC projections data'!$F$1:$BN$1=$B30)*('Old CCC projections data'!$A$2:$A$271=AX$2)*('Old CCC projections data'!$D$2:$D$271=AX$3)*('Old CCC projections data'!$F$2:$BN$271))*Model!$B$47</f>
        <v>1.1871345029239767E-2</v>
      </c>
      <c r="AY30" s="18">
        <v>50</v>
      </c>
      <c r="AZ30" s="18">
        <v>35</v>
      </c>
      <c r="BA30" s="18">
        <v>70</v>
      </c>
      <c r="BB30" s="18"/>
      <c r="BC30" s="20" cm="1">
        <f t="array" ref="BC30">SUMPRODUCT(('Old CCC projections data'!$F$1:$BN$1=$B30)*('Old CCC projections data'!$A$2:$A$271=BC$2)*('Old CCC projections data'!$D$2:$D$271=BC$3)*('Old CCC projections data'!$F$2:$BN$271))</f>
        <v>27756.136834920737</v>
      </c>
      <c r="BD30" s="20" cm="1">
        <f t="array" ref="BD30">SUMPRODUCT(('Old CCC projections data'!$F$1:$BN$1=$B30)*('Old CCC projections data'!$A$2:$A$271=BD$2)*('Old CCC projections data'!$D$2:$D$271=BD$3)*('Old CCC projections data'!$F$2:$BN$271))</f>
        <v>28215.784941402893</v>
      </c>
      <c r="BE30" s="20"/>
      <c r="BF30" s="20"/>
      <c r="BG30" s="20" cm="1">
        <f t="array" ref="BG30">SUMPRODUCT(('Old CCC projections data'!$F$1:$BN$1=$B30)*('Old CCC projections data'!$A$2:$A$271=BG$2)*('Old CCC projections data'!$D$2:$D$271=BG$3)*('Old CCC projections data'!$F$2:$BN$271))</f>
        <v>12757.916614048741</v>
      </c>
      <c r="BH30" s="20" cm="1">
        <f t="array" ref="BH30">SUMPRODUCT(('Old CCC projections data'!$F$1:$BN$1=$B30)*('Old CCC projections data'!$A$2:$A$271=BH$2)*('Old CCC projections data'!$D$2:$D$271=BH$3)*('Old CCC projections data'!$F$2:$BN$271))</f>
        <v>11786.55965267783</v>
      </c>
      <c r="BI30" s="20" cm="1">
        <f t="array" ref="BI30">SUMPRODUCT(('Old CCC projections data'!$F$1:$BN$1=$B30)*('Old CCC projections data'!$A$2:$A$271=BI$2)*('Old CCC projections data'!$D$2:$D$271=BI$3)*('Old CCC projections data'!$F$2:$BN$271))</f>
        <v>10784.500382592327</v>
      </c>
      <c r="BJ30" s="20" cm="1">
        <f t="array" ref="BJ30">SUMPRODUCT(('Old CCC projections data'!$F$1:$BN$1=$B30)*('Old CCC projections data'!$A$2:$A$271=BJ$2)*('Old CCC projections data'!$D$2:$D$271=BJ$3)*('Old CCC projections data'!$F$2:$BN$271))</f>
        <v>10185.256700571568</v>
      </c>
      <c r="BK30" s="20" cm="1">
        <f t="array" ref="BK30">SUMPRODUCT(('Old CCC projections data'!$F$1:$BN$1=$B30)*('Old CCC projections data'!$A$2:$A$271=BK$2)*('Old CCC projections data'!$D$2:$D$271=BK$3)*('Old CCC projections data'!$F$2:$BN$271))</f>
        <v>9982.7614196315099</v>
      </c>
      <c r="BL30" s="20" cm="1">
        <f t="array" ref="BL30">SUMPRODUCT(('Old CCC projections data'!$F$1:$BN$1=$B30)*('Old CCC projections data'!$A$2:$A$271=BL$2)*('Old CCC projections data'!$D$2:$D$271=BL$3)*('Old CCC projections data'!$F$2:$BN$271))</f>
        <v>15201.525490239124</v>
      </c>
      <c r="BM30" s="20" cm="1">
        <f t="array" ref="BM30">SUMPRODUCT(('Old CCC projections data'!$F$1:$BN$1=$B30)*('Old CCC projections data'!$A$2:$A$271=BM$2)*('Old CCC projections data'!$D$2:$D$271=BM$3)*('Old CCC projections data'!$F$2:$BN$271))</f>
        <v>12355.810020873127</v>
      </c>
      <c r="BN30" s="20" cm="1">
        <f t="array" ref="BN30">SUMPRODUCT(('Old CCC projections data'!$F$1:$BN$1=$B30)*('Old CCC projections data'!$A$2:$A$271=BN$2)*('Old CCC projections data'!$D$2:$D$271=BN$3)*('Old CCC projections data'!$F$2:$BN$271))</f>
        <v>17677.489690197111</v>
      </c>
      <c r="BO30" s="20" cm="1">
        <f t="array" ref="BO30">SUMPRODUCT(('Old CCC projections data'!$F$1:$BN$1=$B30)*('Old CCC projections data'!$A$2:$A$271=BO$2)*('Old CCC projections data'!$D$2:$D$271=BO$3)*('Old CCC projections data'!$F$2:$BN$271))</f>
        <v>15558.004177627656</v>
      </c>
      <c r="BP30" s="20" cm="1">
        <f t="array" ref="BP30">SUMPRODUCT(('Old CCC projections data'!$F$1:$BN$1=$B30)*('Old CCC projections data'!$A$2:$A$271=BP$2)*('Old CCC projections data'!$D$2:$D$271=BP$3)*('Old CCC projections data'!$F$2:$BN$271))</f>
        <v>13838.408447793652</v>
      </c>
      <c r="BQ30" s="20" cm="1">
        <f t="array" ref="BQ30">SUMPRODUCT(('Old CCC projections data'!$F$1:$BN$1=$B30)*('Old CCC projections data'!$A$2:$A$271=BQ$2)*('Old CCC projections data'!$D$2:$D$271=BQ$3)*('Old CCC projections data'!$F$2:$BN$271))</f>
        <v>12691.160971170182</v>
      </c>
      <c r="BR30" s="20" cm="1">
        <f t="array" ref="BR30">SUMPRODUCT(('Old CCC projections data'!$F$1:$BN$1=$B30)*('Old CCC projections data'!$A$2:$A$271=BR$2)*('Old CCC projections data'!$D$2:$D$271=BR$3)*('Old CCC projections data'!$F$2:$BN$271))</f>
        <v>12128.479014394294</v>
      </c>
      <c r="BS30" s="20" cm="1">
        <f t="array" ref="BS30">SUMPRODUCT(('Old CCC projections data'!$F$1:$BN$1=$B30)*('Old CCC projections data'!$A$2:$A$271=BS$2)*('Old CCC projections data'!$D$2:$D$271=BS$3)*('Old CCC projections data'!$F$2:$BN$271))</f>
        <v>11745.297695856198</v>
      </c>
      <c r="BT30" s="20" cm="1">
        <f t="array" ref="BT30">SUMPRODUCT(('Old CCC projections data'!$F$1:$BN$1=$B30)*('Old CCC projections data'!$A$2:$A$271=BT$2)*('Old CCC projections data'!$D$2:$D$271=BT$3)*('Old CCC projections data'!$F$2:$BN$271))</f>
        <v>18195.614514106695</v>
      </c>
      <c r="BU30" s="20" cm="1">
        <f t="array" ref="BU30">SUMPRODUCT(('Old CCC projections data'!$F$1:$BN$1=$B30)*('Old CCC projections data'!$A$2:$A$271=BU$2)*('Old CCC projections data'!$D$2:$D$271=BU$3)*('Old CCC projections data'!$F$2:$BN$271))</f>
        <v>14883.883974549481</v>
      </c>
      <c r="BV30" s="20" cm="1">
        <f t="array" ref="BV30">SUMPRODUCT(('Old CCC projections data'!$F$1:$BN$1=$B30)*('Old CCC projections data'!$A$2:$A$271=BV$2)*('Old CCC projections data'!$D$2:$D$271=BV$3)*('Old CCC projections data'!$F$2:$BN$271))</f>
        <v>19898.615288212575</v>
      </c>
      <c r="BW30" s="20" cm="1">
        <f t="array" ref="BW30">SUMPRODUCT(('Old CCC projections data'!$F$1:$BN$1=$B30)*('Old CCC projections data'!$A$2:$A$271=BW$2)*('Old CCC projections data'!$D$2:$D$271=BW$3)*('Old CCC projections data'!$F$2:$BN$271))</f>
        <v>11047.684084836987</v>
      </c>
      <c r="BX30" s="20" cm="1">
        <f t="array" ref="BX30">SUMPRODUCT(('Old CCC projections data'!$F$1:$BN$1=$B30)*('Old CCC projections data'!$A$2:$A$271=BX$2)*('Old CCC projections data'!$D$2:$D$271=BX$3)*('Old CCC projections data'!$F$2:$BN$271))</f>
        <v>10044.476729981925</v>
      </c>
      <c r="BY30" s="20" cm="1">
        <f t="array" ref="BY30">SUMPRODUCT(('Old CCC projections data'!$F$1:$BN$1=$B30)*('Old CCC projections data'!$A$2:$A$271=BY$2)*('Old CCC projections data'!$D$2:$D$271=BY$3)*('Old CCC projections data'!$F$2:$BN$271))</f>
        <v>9881.3717666723242</v>
      </c>
      <c r="BZ30" s="20" cm="1">
        <f t="array" ref="BZ30">SUMPRODUCT(('Old CCC projections data'!$F$1:$BN$1=$B30)*('Old CCC projections data'!$A$2:$A$271=BZ$2)*('Old CCC projections data'!$D$2:$D$271=BZ$3)*('Old CCC projections data'!$F$2:$BN$271))</f>
        <v>9814.8950224497203</v>
      </c>
      <c r="CA30" s="20" cm="1">
        <f t="array" ref="CA30">SUMPRODUCT(('Old CCC projections data'!$F$1:$BN$1=$B30)*('Old CCC projections data'!$A$2:$A$271=CA$2)*('Old CCC projections data'!$D$2:$D$271=CA$3)*('Old CCC projections data'!$F$2:$BN$271))</f>
        <v>9737.1210216444724</v>
      </c>
      <c r="CB30" s="20" cm="1">
        <f t="array" ref="CB30">SUMPRODUCT(('Old CCC projections data'!$F$1:$BN$1=$B30)*('Old CCC projections data'!$A$2:$A$271=CB$2)*('Old CCC projections data'!$D$2:$D$271=CB$3)*('Old CCC projections data'!$F$2:$BN$271))</f>
        <v>12874.009279453714</v>
      </c>
      <c r="CC30" s="20" cm="1">
        <f t="array" ref="CC30">SUMPRODUCT(('Old CCC projections data'!$F$1:$BN$1=$B30)*('Old CCC projections data'!$A$2:$A$271=CC$2)*('Old CCC projections data'!$D$2:$D$271=CC$3)*('Old CCC projections data'!$F$2:$BN$271))</f>
        <v>12617.445800025949</v>
      </c>
      <c r="CD30" s="20" cm="1">
        <f t="array" ref="CD30">SUMPRODUCT(('Old CCC projections data'!$F$1:$BN$1=$B30)*('Old CCC projections data'!$A$2:$A$271=CD$2)*('Old CCC projections data'!$D$2:$D$271=CD$3)*('Old CCC projections data'!$F$2:$BN$271))</f>
        <v>10365.619273767046</v>
      </c>
      <c r="CE30" s="20" cm="1">
        <f t="array" ref="CE30">SUMPRODUCT(('Old CCC projections data'!$F$1:$BN$1=$B30)*('Old CCC projections data'!$A$2:$A$271=CE$2)*('Old CCC projections data'!$D$2:$D$271=CE$3)*('Old CCC projections data'!$F$2:$BN$271))</f>
        <v>15135.645457315833</v>
      </c>
      <c r="CF30" s="20" cm="1">
        <f t="array" ref="CF30">SUMPRODUCT(('Old CCC projections data'!$F$1:$BN$1=$B30)*('Old CCC projections data'!$A$2:$A$271=CF$2)*('Old CCC projections data'!$D$2:$D$271=CF$3)*('Old CCC projections data'!$F$2:$BN$271))</f>
        <v>17586.645453516525</v>
      </c>
      <c r="CG30" s="20" cm="1">
        <f t="array" ref="CG30">SUMPRODUCT(('Old CCC projections data'!$F$1:$BN$1=$B30)*('Old CCC projections data'!$A$2:$A$271=CG$2)*('Old CCC projections data'!$D$2:$D$271=CG$3)*('Old CCC projections data'!$F$2:$BN$271))</f>
        <v>16166.540597147869</v>
      </c>
      <c r="CH30" s="20" cm="1">
        <f t="array" ref="CH30">SUMPRODUCT(('Old CCC projections data'!$F$1:$BN$1=$B30)*('Old CCC projections data'!$A$2:$A$271=CH$2)*('Old CCC projections data'!$D$2:$D$271=CH$3)*('Old CCC projections data'!$F$2:$BN$271))</f>
        <v>15161.424336126924</v>
      </c>
      <c r="CI30" s="20" cm="1">
        <f t="array" ref="CI30">SUMPRODUCT(('Old CCC projections data'!$F$1:$BN$1=$B30)*('Old CCC projections data'!$A$2:$A$271=CI$2)*('Old CCC projections data'!$D$2:$D$271=CI$3)*('Old CCC projections data'!$F$2:$BN$271))</f>
        <v>14777.595266447055</v>
      </c>
      <c r="CJ30" s="20" cm="1">
        <f t="array" ref="CJ30">SUMPRODUCT(('Old CCC projections data'!$F$1:$BN$1=$B30)*('Old CCC projections data'!$A$2:$A$271=CJ$2)*('Old CCC projections data'!$D$2:$D$271=CJ$3)*('Old CCC projections data'!$F$2:$BN$271))</f>
        <v>14758.707664533711</v>
      </c>
      <c r="CK30" s="20" cm="1">
        <f t="array" ref="CK30">SUMPRODUCT(('Old CCC projections data'!$F$1:$BN$1=$B30)*('Old CCC projections data'!$A$2:$A$271=CK$2)*('Old CCC projections data'!$D$2:$D$271=CK$3)*('Old CCC projections data'!$F$2:$BN$271))</f>
        <v>14702.235414411191</v>
      </c>
      <c r="CL30" s="20" cm="1">
        <f t="array" ref="CL30">SUMPRODUCT(('Old CCC projections data'!$F$1:$BN$1=$B30)*('Old CCC projections data'!$A$2:$A$271=CL$2)*('Old CCC projections data'!$D$2:$D$271=CL$3)*('Old CCC projections data'!$F$2:$BN$271))</f>
        <v>20092.191487349279</v>
      </c>
      <c r="CM30" s="20" cm="1">
        <f t="array" ref="CM30">SUMPRODUCT(('Old CCC projections data'!$F$1:$BN$1=$B30)*('Old CCC projections data'!$A$2:$A$271=CM$2)*('Old CCC projections data'!$D$2:$D$271=CM$3)*('Old CCC projections data'!$F$2:$BN$271))</f>
        <v>17074.327678152069</v>
      </c>
      <c r="CN30" s="20" cm="1">
        <f t="array" ref="CN30">SUMPRODUCT(('Old CCC projections data'!$F$1:$BN$1=$B30)*('Old CCC projections data'!$A$2:$A$271=CN$2)*('Old CCC projections data'!$D$2:$D$271=CN$3)*('Old CCC projections data'!$F$2:$BN$271))</f>
        <v>22158.782390027507</v>
      </c>
      <c r="CO30" s="20" cm="1">
        <f t="array" ref="CO30">SUMPRODUCT(('Old CCC projections data'!$F$1:$BN$1=$B30)*('Old CCC projections data'!$A$2:$A$271=CO$2)*('Old CCC projections data'!$D$2:$D$271=CO$3)*('Old CCC projections data'!$F$2:$BN$271))</f>
        <v>9337.4072824432005</v>
      </c>
      <c r="CP30" s="20" cm="1">
        <f t="array" ref="CP30">SUMPRODUCT(('Old CCC projections data'!$F$1:$BN$1=$B30)*('Old CCC projections data'!$A$2:$A$271=CP$2)*('Old CCC projections data'!$D$2:$D$271=CP$3)*('Old CCC projections data'!$F$2:$BN$271))</f>
        <v>8392.5381663698281</v>
      </c>
      <c r="CQ30" s="20" cm="1">
        <f t="array" ref="CQ30">SUMPRODUCT(('Old CCC projections data'!$F$1:$BN$1=$B30)*('Old CCC projections data'!$A$2:$A$271=CQ$2)*('Old CCC projections data'!$D$2:$D$271=CQ$3)*('Old CCC projections data'!$F$2:$BN$271))</f>
        <v>7294.5373721074138</v>
      </c>
      <c r="CR30" s="20" cm="1">
        <f t="array" ref="CR30">SUMPRODUCT(('Old CCC projections data'!$F$1:$BN$1=$B30)*('Old CCC projections data'!$A$2:$A$271=CR$2)*('Old CCC projections data'!$D$2:$D$271=CR$3)*('Old CCC projections data'!$F$2:$BN$271))</f>
        <v>6799.3948872780402</v>
      </c>
      <c r="CS30" s="20" cm="1">
        <f t="array" ref="CS30">SUMPRODUCT(('Old CCC projections data'!$F$1:$BN$1=$B30)*('Old CCC projections data'!$A$2:$A$271=CS$2)*('Old CCC projections data'!$D$2:$D$271=CS$3)*('Old CCC projections data'!$F$2:$BN$271))</f>
        <v>6608.3344365050252</v>
      </c>
      <c r="CT30" s="20" cm="1">
        <f t="array" ref="CT30">SUMPRODUCT(('Old CCC projections data'!$F$1:$BN$1=$B30)*('Old CCC projections data'!$A$2:$A$271=CT$2)*('Old CCC projections data'!$D$2:$D$271=CT$3)*('Old CCC projections data'!$F$2:$BN$271))</f>
        <v>11736.241677056019</v>
      </c>
      <c r="CU30" s="20" cm="1">
        <f t="array" ref="CU30">SUMPRODUCT(('Old CCC projections data'!$F$1:$BN$1=$B30)*('Old CCC projections data'!$A$2:$A$271=CU$2)*('Old CCC projections data'!$D$2:$D$271=CU$3)*('Old CCC projections data'!$F$2:$BN$271))</f>
        <v>11464.582501849911</v>
      </c>
      <c r="CV30" s="20" cm="1">
        <f t="array" ref="CV30">SUMPRODUCT(('Old CCC projections data'!$F$1:$BN$1=$B30)*('Old CCC projections data'!$A$2:$A$271=CV$2)*('Old CCC projections data'!$D$2:$D$271=CV$3)*('Old CCC projections data'!$F$2:$BN$271))</f>
        <v>9034.7204710647929</v>
      </c>
      <c r="CW30" s="20" cm="1">
        <f t="array" ref="CW30">SUMPRODUCT(('Old CCC projections data'!$F$1:$BN$1=$B30)*('Old CCC projections data'!$A$2:$A$271=CW$2)*('Old CCC projections data'!$D$2:$D$271=CW$3)*('Old CCC projections data'!$F$2:$BN$271))</f>
        <v>13858.633851652316</v>
      </c>
      <c r="CX30" s="20">
        <f t="shared" si="19"/>
        <v>5321.6796693239849</v>
      </c>
      <c r="CY30" s="20" t="str">
        <f t="shared" si="29"/>
        <v>Demo path - C price $100 3%</v>
      </c>
      <c r="CZ30" s="3">
        <f t="shared" si="30"/>
        <v>2048</v>
      </c>
      <c r="DA30" s="18">
        <f t="shared" si="31"/>
        <v>0</v>
      </c>
      <c r="DB30" s="18">
        <f ca="1">(H33+IF($DB$3&gt;0,NPV($DB$2,H34:OFFSET(H33,$DB$3,0)),0))/($DB$3+1)</f>
        <v>67.788982411452267</v>
      </c>
      <c r="DC30" s="18">
        <f t="shared" ca="1" si="20"/>
        <v>-32.211017588547733</v>
      </c>
      <c r="DD30" s="18">
        <f t="shared" si="32"/>
        <v>100</v>
      </c>
      <c r="DE30" s="20">
        <f t="shared" si="21"/>
        <v>15581.870841314774</v>
      </c>
      <c r="DF30" s="20" cm="1">
        <f t="array" ref="DF30">SUMPRODUCT(($BG$2:$BM$2=CY30)*($B$5:$B$35=CZ30)*($BG$5:$BM$35))</f>
        <v>10616.178695684886</v>
      </c>
      <c r="DG30" s="20">
        <f t="shared" si="16"/>
        <v>4965.6921456298878</v>
      </c>
      <c r="DH30" s="20" cm="1">
        <f t="array" ref="DH30">IF(CZ30=2023,SUMPRODUCT(($B$5:$B$35=CZ30-1)*($BN$5:$BN$35))-SUMPRODUCT(($BG$2:$BM$2=CY30)*($B$5:$B$35=CZ30-1)*($BG$5:$BM$35)),DG29)</f>
        <v>4969.1165830990849</v>
      </c>
      <c r="DI30" s="18">
        <f t="shared" ca="1" si="17"/>
        <v>67.788982411452267</v>
      </c>
      <c r="DJ30" s="89">
        <f t="shared" si="22"/>
        <v>8.5103079717240071</v>
      </c>
      <c r="DK30" s="89">
        <f t="shared" si="23"/>
        <v>8.5109973534118328</v>
      </c>
      <c r="DL30" s="89">
        <f t="shared" ca="1" si="24"/>
        <v>4.2163996804355683</v>
      </c>
      <c r="DM30" s="20">
        <f t="shared" ca="1" si="25"/>
        <v>2796.5752250003452</v>
      </c>
      <c r="DN30" s="20">
        <f t="shared" ca="1" si="26"/>
        <v>2682.6980277071243</v>
      </c>
      <c r="DO30" s="20">
        <f t="shared" ca="1" si="27"/>
        <v>2739.6366263537348</v>
      </c>
      <c r="DP30" s="113"/>
      <c r="DQ30" s="2"/>
      <c r="DR30" s="3"/>
    </row>
    <row r="31" spans="1:131" x14ac:dyDescent="0.25">
      <c r="A31">
        <v>0.5</v>
      </c>
      <c r="B31">
        <f t="shared" si="28"/>
        <v>2046</v>
      </c>
      <c r="C31" s="190">
        <f>IF(C30*(1+A31*Model!$B$19*IF(Model!$B$28=0,1,((Model!$B$28-B31)/(Model!$B$28-$B$9))))&gt;Model!$B$44,C30*(1+A31*Model!$B$19*IF(Model!$B$28=0,1,((Model!$B$28-B31)/(Model!$B$28-$B$9)))),Model!$B$44)</f>
        <v>55.549607970638938</v>
      </c>
      <c r="D31" s="18" cm="1">
        <f t="array" ref="D31">SUMPRODUCT(('Old CCC projections data'!$F$1:$BN$1=$B31)*('Old CCC projections data'!$A$2:$A$271=D$2)*('Old CCC projections data'!$D$2:$D$271=D$3)*('Old CCC projections data'!$F$2:$BN$271))*Model!$B$47</f>
        <v>41.549707602339183</v>
      </c>
      <c r="E31" s="18" cm="1">
        <f t="array" ref="E31">SUMPRODUCT(('Old CCC projections data'!$F$1:$BN$1=$B31)*('Old CCC projections data'!$A$2:$A$271=E$2)*('Old CCC projections data'!$D$2:$D$271=E$3)*('Old CCC projections data'!$F$2:$BN$271))*Model!$B$47</f>
        <v>1.1871345029239767E-2</v>
      </c>
      <c r="F31" s="18"/>
      <c r="G31" s="18"/>
      <c r="H31" s="18" cm="1">
        <f t="array" ref="H31">SUMPRODUCT(('Old CCC projections data'!$F$1:$BN$1=$B31)*('Old CCC projections data'!$A$2:$A$271=H$2)*('Old CCC projections data'!$D$2:$D$271=H$3)*('Old CCC projections data'!$F$2:$BN$271))*Model!$B$47</f>
        <v>234.29126418637475</v>
      </c>
      <c r="I31" s="18" cm="1">
        <f t="array" ref="I31">SUMPRODUCT(('Old CCC projections data'!$F$1:$BN$1=$B31)*('Old CCC projections data'!$A$2:$A$271=I$2)*('Old CCC projections data'!$D$2:$D$271=I$3)*('Old CCC projections data'!$F$2:$BN$271))*Model!$B$47</f>
        <v>351.43689627956218</v>
      </c>
      <c r="J31" s="18" cm="1">
        <f t="array" ref="J31">SUMPRODUCT(('Old CCC projections data'!$F$1:$BN$1=$B31)*('Old CCC projections data'!$A$2:$A$271=J$2)*('Old CCC projections data'!$D$2:$D$271=J$3)*('Old CCC projections data'!$F$2:$BN$271))*Model!$B$47</f>
        <v>468.58252837274949</v>
      </c>
      <c r="K31" s="18" cm="1">
        <f t="array" ref="K31">SUMPRODUCT(('Old CCC projections data'!$F$1:$BN$1=$B31)*('Old CCC projections data'!$A$2:$A$271=K$2)*('Old CCC projections data'!$D$2:$D$271=K$3)*('Old CCC projections data'!$F$2:$BN$271))*Model!$B$47</f>
        <v>585.72816046593709</v>
      </c>
      <c r="L31" s="18" cm="1">
        <f t="array" ref="L31">SUMPRODUCT(('Old CCC projections data'!$F$1:$BN$1=$B31)*('Old CCC projections data'!$A$2:$A$271=L$2)*('Old CCC projections data'!$D$2:$D$271=L$3)*('Old CCC projections data'!$F$2:$BN$271))*Model!$B$47</f>
        <v>702.87379255912435</v>
      </c>
      <c r="M31" s="18" cm="1">
        <f t="array" ref="M31">SUMPRODUCT(('Old CCC projections data'!$F$1:$BN$1=$B31)*('Old CCC projections data'!$A$2:$A$271=M$2)*('Old CCC projections data'!$D$2:$D$271=M$3)*('Old CCC projections data'!$F$2:$BN$271))*Model!$B$47</f>
        <v>117.14563209318737</v>
      </c>
      <c r="N31" s="189" cm="1">
        <f t="array" ref="N31">SUMPRODUCT(('Old CCC projections data'!$F$1:$BN$1=$B31)*('Old CCC projections data'!$A$2:$A$271=N$2)*('Old CCC projections data'!$D$2:$D$271=N$3)*('Old CCC projections data'!$F$2:$BN$271))*Model!$B$47</f>
        <v>274.23594379526349</v>
      </c>
      <c r="O31" s="18" cm="1">
        <f t="array" ref="O31">SUMPRODUCT(('Old CCC projections data'!$F$1:$BN$1=$B31)*('Old CCC projections data'!$A$2:$A$271=O$2)*('Old CCC projections data'!$D$2:$D$271=O$3)*('Old CCC projections data'!$F$2:$BN$271))*Model!$B$47</f>
        <v>1.1871345029239767E-2</v>
      </c>
      <c r="P31" s="18" cm="1">
        <f t="array" ref="P31">SUMPRODUCT(('Old CCC projections data'!$F$1:$BN$1=$B31)*('Old CCC projections data'!$A$2:$A$271=P$2)*('Old CCC projections data'!$D$2:$D$271=P$3)*('Old CCC projections data'!$F$2:$BN$271))*Model!$B$47</f>
        <v>234.29126418637475</v>
      </c>
      <c r="Q31" s="18" cm="1">
        <f t="array" ref="Q31">SUMPRODUCT(('Old CCC projections data'!$F$1:$BN$1=$B31)*('Old CCC projections data'!$A$2:$A$271=Q$2)*('Old CCC projections data'!$D$2:$D$271=Q$3)*('Old CCC projections data'!$F$2:$BN$271))*Model!$B$47</f>
        <v>351.43689627956218</v>
      </c>
      <c r="R31" s="18" cm="1">
        <f t="array" ref="R31">SUMPRODUCT(('Old CCC projections data'!$F$1:$BN$1=$B31)*('Old CCC projections data'!$A$2:$A$271=R$2)*('Old CCC projections data'!$D$2:$D$271=R$3)*('Old CCC projections data'!$F$2:$BN$271))*Model!$B$47</f>
        <v>468.58252837274949</v>
      </c>
      <c r="S31" s="18" cm="1">
        <f t="array" ref="S31">SUMPRODUCT(('Old CCC projections data'!$F$1:$BN$1=$B31)*('Old CCC projections data'!$A$2:$A$271=S$2)*('Old CCC projections data'!$D$2:$D$271=S$3)*('Old CCC projections data'!$F$2:$BN$271))*Model!$B$47</f>
        <v>585.72816046593709</v>
      </c>
      <c r="T31" s="18" cm="1">
        <f t="array" ref="T31">SUMPRODUCT(('Old CCC projections data'!$F$1:$BN$1=$B31)*('Old CCC projections data'!$A$2:$A$271=T$2)*('Old CCC projections data'!$D$2:$D$271=T$3)*('Old CCC projections data'!$F$2:$BN$271))*Model!$B$47</f>
        <v>702.87379255912435</v>
      </c>
      <c r="U31" s="18" cm="1">
        <f t="array" ref="U31">SUMPRODUCT(('Old CCC projections data'!$F$1:$BN$1=$B31)*('Old CCC projections data'!$A$2:$A$271=U$2)*('Old CCC projections data'!$D$2:$D$271=U$3)*('Old CCC projections data'!$F$2:$BN$271))*Model!$B$47</f>
        <v>117.14563209318737</v>
      </c>
      <c r="V31" s="18" cm="1">
        <f t="array" ref="V31">SUMPRODUCT(('Old CCC projections data'!$F$1:$BN$1=$B31)*('Old CCC projections data'!$A$2:$A$271=V$2)*('Old CCC projections data'!$D$2:$D$271=V$3)*('Old CCC projections data'!$F$2:$BN$271))*Model!$B$47</f>
        <v>274.23594379526349</v>
      </c>
      <c r="W31" s="18" cm="1">
        <f t="array" ref="W31">SUMPRODUCT(('Old CCC projections data'!$F$1:$BN$1=$B31)*('Old CCC projections data'!$A$2:$A$271=W$2)*('Old CCC projections data'!$D$2:$D$271=W$3)*('Old CCC projections data'!$F$2:$BN$271))*Model!$B$47</f>
        <v>1.1871345029239767E-2</v>
      </c>
      <c r="X31" s="18" cm="1">
        <f t="array" ref="X31">SUMPRODUCT(('Old CCC projections data'!$F$1:$BN$1=$B31)*('Old CCC projections data'!$A$2:$A$271=X$2)*('Old CCC projections data'!$D$2:$D$271=X$3)*('Old CCC projections data'!$F$2:$BN$271))*Model!$B$47</f>
        <v>234.29126418637475</v>
      </c>
      <c r="Y31" s="18" cm="1">
        <f t="array" ref="Y31">SUMPRODUCT(('Old CCC projections data'!$F$1:$BN$1=$B31)*('Old CCC projections data'!$A$2:$A$271=Y$2)*('Old CCC projections data'!$D$2:$D$271=Y$3)*('Old CCC projections data'!$F$2:$BN$271))*Model!$B$47</f>
        <v>351.43689627956218</v>
      </c>
      <c r="Z31" s="18" cm="1">
        <f t="array" ref="Z31">SUMPRODUCT(('Old CCC projections data'!$F$1:$BN$1=$B31)*('Old CCC projections data'!$A$2:$A$271=Z$2)*('Old CCC projections data'!$D$2:$D$271=Z$3)*('Old CCC projections data'!$F$2:$BN$271))*Model!$B$47</f>
        <v>468.58252837274949</v>
      </c>
      <c r="AA31" s="18" cm="1">
        <f t="array" ref="AA31">SUMPRODUCT(('Old CCC projections data'!$F$1:$BN$1=$B31)*('Old CCC projections data'!$A$2:$A$271=AA$2)*('Old CCC projections data'!$D$2:$D$271=AA$3)*('Old CCC projections data'!$F$2:$BN$271))*Model!$B$47</f>
        <v>585.72816046593709</v>
      </c>
      <c r="AB31" s="18" cm="1">
        <f t="array" ref="AB31">SUMPRODUCT(('Old CCC projections data'!$F$1:$BN$1=$B31)*('Old CCC projections data'!$A$2:$A$271=AB$2)*('Old CCC projections data'!$D$2:$D$271=AB$3)*('Old CCC projections data'!$F$2:$BN$271))*Model!$B$47</f>
        <v>702.87379255912435</v>
      </c>
      <c r="AC31" s="18" cm="1">
        <f t="array" ref="AC31">SUMPRODUCT(('Old CCC projections data'!$F$1:$BN$1=$B31)*('Old CCC projections data'!$A$2:$A$271=AC$2)*('Old CCC projections data'!$D$2:$D$271=AC$3)*('Old CCC projections data'!$F$2:$BN$271))*Model!$B$47</f>
        <v>117.14563209318737</v>
      </c>
      <c r="AD31" s="18" cm="1">
        <f t="array" ref="AD31">SUMPRODUCT(('Old CCC projections data'!$F$1:$BN$1=$B31)*('Old CCC projections data'!$A$2:$A$271=AD$2)*('Old CCC projections data'!$D$2:$D$271=AD$3)*('Old CCC projections data'!$F$2:$BN$271))*Model!$B$47</f>
        <v>128.8601953025061</v>
      </c>
      <c r="AE31" s="18" cm="1">
        <f t="array" ref="AE31">SUMPRODUCT(('Old CCC projections data'!$F$1:$BN$1=$B31)*('Old CCC projections data'!$A$2:$A$271=AE$2)*('Old CCC projections data'!$D$2:$D$271=AE$3)*('Old CCC projections data'!$F$2:$BN$271))*Model!$B$47</f>
        <v>274.23594379526349</v>
      </c>
      <c r="AF31" s="18" cm="1">
        <f t="array" ref="AF31">SUMPRODUCT(('Old CCC projections data'!$F$1:$BN$1=$B31)*('Old CCC projections data'!$A$2:$A$271=AF$2)*('Old CCC projections data'!$D$2:$D$271=AF$3)*('Old CCC projections data'!$F$2:$BN$271))*Model!$B$47</f>
        <v>1.1871345029239767E-2</v>
      </c>
      <c r="AG31" s="18" cm="1">
        <f t="array" ref="AG31">SUMPRODUCT(('Old CCC projections data'!$F$1:$BN$1=$B31)*('Old CCC projections data'!$A$2:$A$271=AG$2)*('Old CCC projections data'!$D$2:$D$271=AG$3)*('Old CCC projections data'!$F$2:$BN$271))*Model!$B$47</f>
        <v>234.29126418637475</v>
      </c>
      <c r="AH31" s="18" cm="1">
        <f t="array" ref="AH31">SUMPRODUCT(('Old CCC projections data'!$F$1:$BN$1=$B31)*('Old CCC projections data'!$A$2:$A$271=AH$2)*('Old CCC projections data'!$D$2:$D$271=AH$3)*('Old CCC projections data'!$F$2:$BN$271))*Model!$B$47</f>
        <v>351.43689627956218</v>
      </c>
      <c r="AI31" s="18" cm="1">
        <f t="array" ref="AI31">SUMPRODUCT(('Old CCC projections data'!$F$1:$BN$1=$B31)*('Old CCC projections data'!$A$2:$A$271=AI$2)*('Old CCC projections data'!$D$2:$D$271=AI$3)*('Old CCC projections data'!$F$2:$BN$271))*Model!$B$47</f>
        <v>468.58252837274949</v>
      </c>
      <c r="AJ31" s="18" cm="1">
        <f t="array" ref="AJ31">SUMPRODUCT(('Old CCC projections data'!$F$1:$BN$1=$B31)*('Old CCC projections data'!$A$2:$A$271=AJ$2)*('Old CCC projections data'!$D$2:$D$271=AJ$3)*('Old CCC projections data'!$F$2:$BN$271))*Model!$B$47</f>
        <v>585.72816046593709</v>
      </c>
      <c r="AK31" s="18" cm="1">
        <f t="array" ref="AK31">SUMPRODUCT(('Old CCC projections data'!$F$1:$BN$1=$B31)*('Old CCC projections data'!$A$2:$A$271=AK$2)*('Old CCC projections data'!$D$2:$D$271=AK$3)*('Old CCC projections data'!$F$2:$BN$271))*Model!$B$47</f>
        <v>632.586413303212</v>
      </c>
      <c r="AL31" s="18" cm="1">
        <f t="array" ref="AL31">SUMPRODUCT(('Old CCC projections data'!$F$1:$BN$1=$B31)*('Old CCC projections data'!$A$2:$A$271=AL$2)*('Old CCC projections data'!$D$2:$D$271=AL$3)*('Old CCC projections data'!$F$2:$BN$271))*Model!$B$47</f>
        <v>702.87379255912435</v>
      </c>
      <c r="AM31" s="18" cm="1">
        <f t="array" ref="AM31">SUMPRODUCT(('Old CCC projections data'!$F$1:$BN$1=$B31)*('Old CCC projections data'!$A$2:$A$271=AM$2)*('Old CCC projections data'!$D$2:$D$271=AM$3)*('Old CCC projections data'!$F$2:$BN$271))*Model!$B$47</f>
        <v>117.14563209318737</v>
      </c>
      <c r="AN31" s="18" cm="1">
        <f t="array" ref="AN31">SUMPRODUCT(('Old CCC projections data'!$F$1:$BN$1=$B31)*('Old CCC projections data'!$A$2:$A$271=AN$2)*('Old CCC projections data'!$D$2:$D$271=AN$3)*('Old CCC projections data'!$F$2:$BN$271))*Model!$B$47</f>
        <v>274.23594379526349</v>
      </c>
      <c r="AO31" s="18" cm="1">
        <f t="array" ref="AO31">SUMPRODUCT(('Old CCC projections data'!$F$1:$BN$1=$B31)*('Old CCC projections data'!$A$2:$A$271=AO$2)*('Old CCC projections data'!$D$2:$D$271=AO$3)*('Old CCC projections data'!$F$2:$BN$271))*Model!$B$47</f>
        <v>1.1871345029239767E-2</v>
      </c>
      <c r="AP31" s="18" cm="1">
        <f t="array" ref="AP31">SUMPRODUCT(('Old CCC projections data'!$F$1:$BN$1=$B31)*('Old CCC projections data'!$A$2:$A$271=AP$2)*('Old CCC projections data'!$D$2:$D$271=AP$3)*('Old CCC projections data'!$F$2:$BN$271))*Model!$B$47</f>
        <v>234.29126418637475</v>
      </c>
      <c r="AQ31" s="18" cm="1">
        <f t="array" ref="AQ31">SUMPRODUCT(('Old CCC projections data'!$F$1:$BN$1=$B31)*('Old CCC projections data'!$A$2:$A$271=AQ$2)*('Old CCC projections data'!$D$2:$D$271=AQ$3)*('Old CCC projections data'!$F$2:$BN$271))*Model!$B$47</f>
        <v>351.43689627956218</v>
      </c>
      <c r="AR31" s="18" cm="1">
        <f t="array" ref="AR31">SUMPRODUCT(('Old CCC projections data'!$F$1:$BN$1=$B31)*('Old CCC projections data'!$A$2:$A$271=AR$2)*('Old CCC projections data'!$D$2:$D$271=AR$3)*('Old CCC projections data'!$F$2:$BN$271))*Model!$B$47</f>
        <v>468.58252837274949</v>
      </c>
      <c r="AS31" s="18" cm="1">
        <f t="array" ref="AS31">SUMPRODUCT(('Old CCC projections data'!$F$1:$BN$1=$B31)*('Old CCC projections data'!$A$2:$A$271=AS$2)*('Old CCC projections data'!$D$2:$D$271=AS$3)*('Old CCC projections data'!$F$2:$BN$271))*Model!$B$47</f>
        <v>585.72816046593709</v>
      </c>
      <c r="AT31" s="18" cm="1">
        <f t="array" ref="AT31">SUMPRODUCT(('Old CCC projections data'!$F$1:$BN$1=$B31)*('Old CCC projections data'!$A$2:$A$271=AT$2)*('Old CCC projections data'!$D$2:$D$271=AT$3)*('Old CCC projections data'!$F$2:$BN$271))*Model!$B$47</f>
        <v>702.87379255912435</v>
      </c>
      <c r="AU31" s="18" cm="1">
        <f t="array" ref="AU31">SUMPRODUCT(('Old CCC projections data'!$F$1:$BN$1=$B31)*('Old CCC projections data'!$A$2:$A$271=AU$2)*('Old CCC projections data'!$D$2:$D$271=AU$3)*('Old CCC projections data'!$F$2:$BN$271))*Model!$B$47</f>
        <v>117.14563209318737</v>
      </c>
      <c r="AV31" s="18" cm="1">
        <f t="array" ref="AV31">SUMPRODUCT(('Old CCC projections data'!$F$1:$BN$1=$B31)*('Old CCC projections data'!$A$2:$A$271=AV$2)*('Old CCC projections data'!$D$2:$D$271=AV$3)*('Old CCC projections data'!$F$2:$BN$271))*Model!$B$47</f>
        <v>128.8601953025061</v>
      </c>
      <c r="AW31" s="18" cm="1">
        <f t="array" ref="AW31">SUMPRODUCT(('Old CCC projections data'!$F$1:$BN$1=$B31)*('Old CCC projections data'!$A$2:$A$271=AW$2)*('Old CCC projections data'!$D$2:$D$271=AW$3)*('Old CCC projections data'!$F$2:$BN$271))*Model!$B$47</f>
        <v>274.23594379526349</v>
      </c>
      <c r="AX31" s="18" cm="1">
        <f t="array" ref="AX31">SUMPRODUCT(('Old CCC projections data'!$F$1:$BN$1=$B31)*('Old CCC projections data'!$A$2:$A$271=AX$2)*('Old CCC projections data'!$D$2:$D$271=AX$3)*('Old CCC projections data'!$F$2:$BN$271))*Model!$B$47</f>
        <v>1.1871345029239767E-2</v>
      </c>
      <c r="AY31" s="18">
        <v>50</v>
      </c>
      <c r="AZ31" s="18">
        <v>35</v>
      </c>
      <c r="BA31" s="18">
        <v>70</v>
      </c>
      <c r="BB31" s="18"/>
      <c r="BC31" s="20" cm="1">
        <f t="array" ref="BC31">SUMPRODUCT(('Old CCC projections data'!$F$1:$BN$1=$B31)*('Old CCC projections data'!$A$2:$A$271=BC$2)*('Old CCC projections data'!$D$2:$D$271=BC$3)*('Old CCC projections data'!$F$2:$BN$271))</f>
        <v>27015.177520324236</v>
      </c>
      <c r="BD31" s="20" cm="1">
        <f t="array" ref="BD31">SUMPRODUCT(('Old CCC projections data'!$F$1:$BN$1=$B31)*('Old CCC projections data'!$A$2:$A$271=BD$2)*('Old CCC projections data'!$D$2:$D$271=BD$3)*('Old CCC projections data'!$F$2:$BN$271))</f>
        <v>27525.555885332815</v>
      </c>
      <c r="BE31" s="20"/>
      <c r="BF31" s="20"/>
      <c r="BG31" s="20" cm="1">
        <f t="array" ref="BG31">SUMPRODUCT(('Old CCC projections data'!$F$1:$BN$1=$B31)*('Old CCC projections data'!$A$2:$A$271=BG$2)*('Old CCC projections data'!$D$2:$D$271=BG$3)*('Old CCC projections data'!$F$2:$BN$271))</f>
        <v>12001.767946489204</v>
      </c>
      <c r="BH31" s="20" cm="1">
        <f t="array" ref="BH31">SUMPRODUCT(('Old CCC projections data'!$F$1:$BN$1=$B31)*('Old CCC projections data'!$A$2:$A$271=BH$2)*('Old CCC projections data'!$D$2:$D$271=BH$3)*('Old CCC projections data'!$F$2:$BN$271))</f>
        <v>10995.536684976492</v>
      </c>
      <c r="BI31" s="20" cm="1">
        <f t="array" ref="BI31">SUMPRODUCT(('Old CCC projections data'!$F$1:$BN$1=$B31)*('Old CCC projections data'!$A$2:$A$271=BI$2)*('Old CCC projections data'!$D$2:$D$271=BI$3)*('Old CCC projections data'!$F$2:$BN$271))</f>
        <v>9907.4112208977986</v>
      </c>
      <c r="BJ31" s="20" cm="1">
        <f t="array" ref="BJ31">SUMPRODUCT(('Old CCC projections data'!$F$1:$BN$1=$B31)*('Old CCC projections data'!$A$2:$A$271=BJ$2)*('Old CCC projections data'!$D$2:$D$271=BJ$3)*('Old CCC projections data'!$F$2:$BN$271))</f>
        <v>9662.5279547336377</v>
      </c>
      <c r="BK31" s="20" cm="1">
        <f t="array" ref="BK31">SUMPRODUCT(('Old CCC projections data'!$F$1:$BN$1=$B31)*('Old CCC projections data'!$A$2:$A$271=BK$2)*('Old CCC projections data'!$D$2:$D$271=BK$3)*('Old CCC projections data'!$F$2:$BN$271))</f>
        <v>9437.1247957458017</v>
      </c>
      <c r="BL31" s="20" cm="1">
        <f t="array" ref="BL31">SUMPRODUCT(('Old CCC projections data'!$F$1:$BN$1=$B31)*('Old CCC projections data'!$A$2:$A$271=BL$2)*('Old CCC projections data'!$D$2:$D$271=BL$3)*('Old CCC projections data'!$F$2:$BN$271))</f>
        <v>14332.513058434515</v>
      </c>
      <c r="BM31" s="20" cm="1">
        <f t="array" ref="BM31">SUMPRODUCT(('Old CCC projections data'!$F$1:$BN$1=$B31)*('Old CCC projections data'!$A$2:$A$271=BM$2)*('Old CCC projections data'!$D$2:$D$271=BM$3)*('Old CCC projections data'!$F$2:$BN$271))</f>
        <v>11657.836018299648</v>
      </c>
      <c r="BN31" s="20" cm="1">
        <f t="array" ref="BN31">SUMPRODUCT(('Old CCC projections data'!$F$1:$BN$1=$B31)*('Old CCC projections data'!$A$2:$A$271=BN$2)*('Old CCC projections data'!$D$2:$D$271=BN$3)*('Old CCC projections data'!$F$2:$BN$271))</f>
        <v>16949.211978015726</v>
      </c>
      <c r="BO31" s="20" cm="1">
        <f t="array" ref="BO31">SUMPRODUCT(('Old CCC projections data'!$F$1:$BN$1=$B31)*('Old CCC projections data'!$A$2:$A$271=BO$2)*('Old CCC projections data'!$D$2:$D$271=BO$3)*('Old CCC projections data'!$F$2:$BN$271))</f>
        <v>14768.194784424441</v>
      </c>
      <c r="BP31" s="20" cm="1">
        <f t="array" ref="BP31">SUMPRODUCT(('Old CCC projections data'!$F$1:$BN$1=$B31)*('Old CCC projections data'!$A$2:$A$271=BP$2)*('Old CCC projections data'!$D$2:$D$271=BP$3)*('Old CCC projections data'!$F$2:$BN$271))</f>
        <v>13048.980740496901</v>
      </c>
      <c r="BQ31" s="20" cm="1">
        <f t="array" ref="BQ31">SUMPRODUCT(('Old CCC projections data'!$F$1:$BN$1=$B31)*('Old CCC projections data'!$A$2:$A$271=BQ$2)*('Old CCC projections data'!$D$2:$D$271=BQ$3)*('Old CCC projections data'!$F$2:$BN$271))</f>
        <v>11858.763737320389</v>
      </c>
      <c r="BR31" s="20" cm="1">
        <f t="array" ref="BR31">SUMPRODUCT(('Old CCC projections data'!$F$1:$BN$1=$B31)*('Old CCC projections data'!$A$2:$A$271=BR$2)*('Old CCC projections data'!$D$2:$D$271=BR$3)*('Old CCC projections data'!$F$2:$BN$271))</f>
        <v>11395.560012416305</v>
      </c>
      <c r="BS31" s="20" cm="1">
        <f t="array" ref="BS31">SUMPRODUCT(('Old CCC projections data'!$F$1:$BN$1=$B31)*('Old CCC projections data'!$A$2:$A$271=BS$2)*('Old CCC projections data'!$D$2:$D$271=BS$3)*('Old CCC projections data'!$F$2:$BN$271))</f>
        <v>11056.353602908104</v>
      </c>
      <c r="BT31" s="20" cm="1">
        <f t="array" ref="BT31">SUMPRODUCT(('Old CCC projections data'!$F$1:$BN$1=$B31)*('Old CCC projections data'!$A$2:$A$271=BT$2)*('Old CCC projections data'!$D$2:$D$271=BT$3)*('Old CCC projections data'!$F$2:$BN$271))</f>
        <v>17261.305355182925</v>
      </c>
      <c r="BU31" s="20" cm="1">
        <f t="array" ref="BU31">SUMPRODUCT(('Old CCC projections data'!$F$1:$BN$1=$B31)*('Old CCC projections data'!$A$2:$A$271=BU$2)*('Old CCC projections data'!$D$2:$D$271=BU$3)*('Old CCC projections data'!$F$2:$BN$271))</f>
        <v>13979.380369779448</v>
      </c>
      <c r="BV31" s="20" cm="1">
        <f t="array" ref="BV31">SUMPRODUCT(('Old CCC projections data'!$F$1:$BN$1=$B31)*('Old CCC projections data'!$A$2:$A$271=BV$2)*('Old CCC projections data'!$D$2:$D$271=BV$3)*('Old CCC projections data'!$F$2:$BN$271))</f>
        <v>19056.900866191583</v>
      </c>
      <c r="BW31" s="20" cm="1">
        <f t="array" ref="BW31">SUMPRODUCT(('Old CCC projections data'!$F$1:$BN$1=$B31)*('Old CCC projections data'!$A$2:$A$271=BW$2)*('Old CCC projections data'!$D$2:$D$271=BW$3)*('Old CCC projections data'!$F$2:$BN$271))</f>
        <v>10333.834131101137</v>
      </c>
      <c r="BX31" s="20" cm="1">
        <f t="array" ref="BX31">SUMPRODUCT(('Old CCC projections data'!$F$1:$BN$1=$B31)*('Old CCC projections data'!$A$2:$A$271=BX$2)*('Old CCC projections data'!$D$2:$D$271=BX$3)*('Old CCC projections data'!$F$2:$BN$271))</f>
        <v>9542.4507499739684</v>
      </c>
      <c r="BY31" s="20" cm="1">
        <f t="array" ref="BY31">SUMPRODUCT(('Old CCC projections data'!$F$1:$BN$1=$B31)*('Old CCC projections data'!$A$2:$A$271=BY$2)*('Old CCC projections data'!$D$2:$D$271=BY$3)*('Old CCC projections data'!$F$2:$BN$271))</f>
        <v>9389.3466603362776</v>
      </c>
      <c r="BZ31" s="20" cm="1">
        <f t="array" ref="BZ31">SUMPRODUCT(('Old CCC projections data'!$F$1:$BN$1=$B31)*('Old CCC projections data'!$A$2:$A$271=BZ$2)*('Old CCC projections data'!$D$2:$D$271=BZ$3)*('Old CCC projections data'!$F$2:$BN$271))</f>
        <v>9327.0863536925299</v>
      </c>
      <c r="CA31" s="20" cm="1">
        <f t="array" ref="CA31">SUMPRODUCT(('Old CCC projections data'!$F$1:$BN$1=$B31)*('Old CCC projections data'!$A$2:$A$271=CA$2)*('Old CCC projections data'!$D$2:$D$271=CA$3)*('Old CCC projections data'!$F$2:$BN$271))</f>
        <v>9288.1181836403903</v>
      </c>
      <c r="CB31" s="20" cm="1">
        <f t="array" ref="CB31">SUMPRODUCT(('Old CCC projections data'!$F$1:$BN$1=$B31)*('Old CCC projections data'!$A$2:$A$271=CB$2)*('Old CCC projections data'!$D$2:$D$271=CB$3)*('Old CCC projections data'!$F$2:$BN$271))</f>
        <v>12072.986624948464</v>
      </c>
      <c r="CC31" s="20" cm="1">
        <f t="array" ref="CC31">SUMPRODUCT(('Old CCC projections data'!$F$1:$BN$1=$B31)*('Old CCC projections data'!$A$2:$A$271=CC$2)*('Old CCC projections data'!$D$2:$D$271=CC$3)*('Old CCC projections data'!$F$2:$BN$271))</f>
        <v>11817.13879791997</v>
      </c>
      <c r="CD31" s="20" cm="1">
        <f t="array" ref="CD31">SUMPRODUCT(('Old CCC projections data'!$F$1:$BN$1=$B31)*('Old CCC projections data'!$A$2:$A$271=CD$2)*('Old CCC projections data'!$D$2:$D$271=CD$3)*('Old CCC projections data'!$F$2:$BN$271))</f>
        <v>9819.0394399903143</v>
      </c>
      <c r="CE31" s="20" cm="1">
        <f t="array" ref="CE31">SUMPRODUCT(('Old CCC projections data'!$F$1:$BN$1=$B31)*('Old CCC projections data'!$A$2:$A$271=CE$2)*('Old CCC projections data'!$D$2:$D$271=CE$3)*('Old CCC projections data'!$F$2:$BN$271))</f>
        <v>14424.229562459199</v>
      </c>
      <c r="CF31" s="20" cm="1">
        <f t="array" ref="CF31">SUMPRODUCT(('Old CCC projections data'!$F$1:$BN$1=$B31)*('Old CCC projections data'!$A$2:$A$271=CF$2)*('Old CCC projections data'!$D$2:$D$271=CF$3)*('Old CCC projections data'!$F$2:$BN$271))</f>
        <v>16765.32018600684</v>
      </c>
      <c r="CG31" s="20" cm="1">
        <f t="array" ref="CG31">SUMPRODUCT(('Old CCC projections data'!$F$1:$BN$1=$B31)*('Old CCC projections data'!$A$2:$A$271=CG$2)*('Old CCC projections data'!$D$2:$D$271=CG$3)*('Old CCC projections data'!$F$2:$BN$271))</f>
        <v>15416.622034049296</v>
      </c>
      <c r="CH31" s="20" cm="1">
        <f t="array" ref="CH31">SUMPRODUCT(('Old CCC projections data'!$F$1:$BN$1=$B31)*('Old CCC projections data'!$A$2:$A$271=CH$2)*('Old CCC projections data'!$D$2:$D$271=CH$3)*('Old CCC projections data'!$F$2:$BN$271))</f>
        <v>14511.132996093742</v>
      </c>
      <c r="CI31" s="20" cm="1">
        <f t="array" ref="CI31">SUMPRODUCT(('Old CCC projections data'!$F$1:$BN$1=$B31)*('Old CCC projections data'!$A$2:$A$271=CI$2)*('Old CCC projections data'!$D$2:$D$271=CI$3)*('Old CCC projections data'!$F$2:$BN$271))</f>
        <v>14156.993030720076</v>
      </c>
      <c r="CJ31" s="20" cm="1">
        <f t="array" ref="CJ31">SUMPRODUCT(('Old CCC projections data'!$F$1:$BN$1=$B31)*('Old CCC projections data'!$A$2:$A$271=CJ$2)*('Old CCC projections data'!$D$2:$D$271=CJ$3)*('Old CCC projections data'!$F$2:$BN$271))</f>
        <v>14117.190417474076</v>
      </c>
      <c r="CK31" s="20" cm="1">
        <f t="array" ref="CK31">SUMPRODUCT(('Old CCC projections data'!$F$1:$BN$1=$B31)*('Old CCC projections data'!$A$2:$A$271=CK$2)*('Old CCC projections data'!$D$2:$D$271=CK$3)*('Old CCC projections data'!$F$2:$BN$271))</f>
        <v>14075.091836514368</v>
      </c>
      <c r="CL31" s="20" cm="1">
        <f t="array" ref="CL31">SUMPRODUCT(('Old CCC projections data'!$F$1:$BN$1=$B31)*('Old CCC projections data'!$A$2:$A$271=CL$2)*('Old CCC projections data'!$D$2:$D$271=CL$3)*('Old CCC projections data'!$F$2:$BN$271))</f>
        <v>19254.611604547714</v>
      </c>
      <c r="CM31" s="20" cm="1">
        <f t="array" ref="CM31">SUMPRODUCT(('Old CCC projections data'!$F$1:$BN$1=$B31)*('Old CCC projections data'!$A$2:$A$271=CM$2)*('Old CCC projections data'!$D$2:$D$271=CM$3)*('Old CCC projections data'!$F$2:$BN$271))</f>
        <v>16215.368567673386</v>
      </c>
      <c r="CN31" s="20" cm="1">
        <f t="array" ref="CN31">SUMPRODUCT(('Old CCC projections data'!$F$1:$BN$1=$B31)*('Old CCC projections data'!$A$2:$A$271=CN$2)*('Old CCC projections data'!$D$2:$D$271=CN$3)*('Old CCC projections data'!$F$2:$BN$271))</f>
        <v>21385.97838042261</v>
      </c>
      <c r="CO31" s="20" cm="1">
        <f t="array" ref="CO31">SUMPRODUCT(('Old CCC projections data'!$F$1:$BN$1=$B31)*('Old CCC projections data'!$A$2:$A$271=CO$2)*('Old CCC projections data'!$D$2:$D$271=CO$3)*('Old CCC projections data'!$F$2:$BN$271))</f>
        <v>8674.4295675249323</v>
      </c>
      <c r="CP31" s="20" cm="1">
        <f t="array" ref="CP31">SUMPRODUCT(('Old CCC projections data'!$F$1:$BN$1=$B31)*('Old CCC projections data'!$A$2:$A$271=CP$2)*('Old CCC projections data'!$D$2:$D$271=CP$3)*('Old CCC projections data'!$F$2:$BN$271))</f>
        <v>7734.1239933834522</v>
      </c>
      <c r="CQ31" s="20" cm="1">
        <f t="array" ref="CQ31">SUMPRODUCT(('Old CCC projections data'!$F$1:$BN$1=$B31)*('Old CCC projections data'!$A$2:$A$271=CQ$2)*('Old CCC projections data'!$D$2:$D$271=CQ$3)*('Old CCC projections data'!$F$2:$BN$271))</f>
        <v>6648.9861814816886</v>
      </c>
      <c r="CR31" s="20" cm="1">
        <f t="array" ref="CR31">SUMPRODUCT(('Old CCC projections data'!$F$1:$BN$1=$B31)*('Old CCC projections data'!$A$2:$A$271=CR$2)*('Old CCC projections data'!$D$2:$D$271=CR$3)*('Old CCC projections data'!$F$2:$BN$271))</f>
        <v>6385.9435688686272</v>
      </c>
      <c r="CS31" s="20" cm="1">
        <f t="array" ref="CS31">SUMPRODUCT(('Old CCC projections data'!$F$1:$BN$1=$B31)*('Old CCC projections data'!$A$2:$A$271=CS$2)*('Old CCC projections data'!$D$2:$D$271=CS$3)*('Old CCC projections data'!$F$2:$BN$271))</f>
        <v>6174.6244235853173</v>
      </c>
      <c r="CT31" s="20" cm="1">
        <f t="array" ref="CT31">SUMPRODUCT(('Old CCC projections data'!$F$1:$BN$1=$B31)*('Old CCC projections data'!$A$2:$A$271=CT$2)*('Old CCC projections data'!$D$2:$D$271=CT$3)*('Old CCC projections data'!$F$2:$BN$271))</f>
        <v>10985.123444209819</v>
      </c>
      <c r="CU31" s="20" cm="1">
        <f t="array" ref="CU31">SUMPRODUCT(('Old CCC projections data'!$F$1:$BN$1=$B31)*('Old CCC projections data'!$A$2:$A$271=CU$2)*('Old CCC projections data'!$D$2:$D$271=CU$3)*('Old CCC projections data'!$F$2:$BN$271))</f>
        <v>10720.17984736687</v>
      </c>
      <c r="CV31" s="20" cm="1">
        <f t="array" ref="CV31">SUMPRODUCT(('Old CCC projections data'!$F$1:$BN$1=$B31)*('Old CCC projections data'!$A$2:$A$271=CV$2)*('Old CCC projections data'!$D$2:$D$271=CV$3)*('Old CCC projections data'!$F$2:$BN$271))</f>
        <v>8386.8214123148191</v>
      </c>
      <c r="CW31" s="20" cm="1">
        <f t="array" ref="CW31">SUMPRODUCT(('Old CCC projections data'!$F$1:$BN$1=$B31)*('Old CCC projections data'!$A$2:$A$271=CW$2)*('Old CCC projections data'!$D$2:$D$271=CW$3)*('Old CCC projections data'!$F$2:$BN$271))</f>
        <v>13169.770041057114</v>
      </c>
      <c r="CX31" s="20">
        <f t="shared" si="19"/>
        <v>5291.3759597160788</v>
      </c>
      <c r="CY31" s="20" t="str">
        <f t="shared" si="29"/>
        <v>Demo path - C price $100 3%</v>
      </c>
      <c r="CZ31" s="3">
        <f t="shared" si="30"/>
        <v>2049</v>
      </c>
      <c r="DA31" s="18">
        <f t="shared" si="31"/>
        <v>0</v>
      </c>
      <c r="DB31" s="18">
        <f ca="1">(H34+IF($DB$3&gt;0,NPV($DB$2,H35:OFFSET(H34,$DB$3,0)),0))/($DB$3+1)</f>
        <v>46.548434589197228</v>
      </c>
      <c r="DC31" s="18">
        <f t="shared" ca="1" si="20"/>
        <v>-53.451565410802772</v>
      </c>
      <c r="DD31" s="18">
        <f t="shared" si="32"/>
        <v>100</v>
      </c>
      <c r="DE31" s="20">
        <f t="shared" si="21"/>
        <v>15012.992887840681</v>
      </c>
      <c r="DF31" s="20" cm="1">
        <f t="array" ref="DF31">SUMPRODUCT(($BG$2:$BM$2=CY31)*($B$5:$B$35=CZ31)*($BG$5:$BM$35))</f>
        <v>10145.699807990819</v>
      </c>
      <c r="DG31" s="20">
        <f t="shared" si="16"/>
        <v>4867.2930798498619</v>
      </c>
      <c r="DH31" s="20" cm="1">
        <f t="array" ref="DH31">IF(CZ31=2023,SUMPRODUCT(($B$5:$B$35=CZ31-1)*($BN$5:$BN$35))-SUMPRODUCT(($BG$2:$BM$2=CY31)*($B$5:$B$35=CZ31-1)*($BG$5:$BM$35)),DG30)</f>
        <v>4965.6921456298878</v>
      </c>
      <c r="DI31" s="18">
        <f t="shared" ca="1" si="17"/>
        <v>46.548434589197228</v>
      </c>
      <c r="DJ31" s="89">
        <f t="shared" si="22"/>
        <v>8.4902932257828905</v>
      </c>
      <c r="DK31" s="89">
        <f t="shared" si="23"/>
        <v>8.5103079717240071</v>
      </c>
      <c r="DL31" s="89">
        <f t="shared" ca="1" si="24"/>
        <v>3.8404933745689487</v>
      </c>
      <c r="DM31" s="20">
        <f t="shared" ca="1" si="25"/>
        <v>2696.4441090006071</v>
      </c>
      <c r="DN31" s="20">
        <f t="shared" ca="1" si="26"/>
        <v>2224.7936758989454</v>
      </c>
      <c r="DO31" s="20">
        <f t="shared" ca="1" si="27"/>
        <v>2460.6188924497765</v>
      </c>
      <c r="DP31" s="113"/>
      <c r="DQ31" s="2"/>
      <c r="DR31" s="3"/>
      <c r="DS31" s="15"/>
      <c r="DT31" s="15" t="s">
        <v>270</v>
      </c>
      <c r="DU31" s="15" t="s">
        <v>260</v>
      </c>
      <c r="DV31" s="15" t="s">
        <v>271</v>
      </c>
      <c r="DW31" s="15" t="s">
        <v>272</v>
      </c>
      <c r="DX31" s="15" t="s">
        <v>273</v>
      </c>
      <c r="DY31" s="15" t="s">
        <v>274</v>
      </c>
      <c r="DZ31" s="15" t="s">
        <v>275</v>
      </c>
      <c r="EA31" s="15" t="s">
        <v>276</v>
      </c>
    </row>
    <row r="32" spans="1:131" x14ac:dyDescent="0.25">
      <c r="A32">
        <v>0.5</v>
      </c>
      <c r="B32">
        <f t="shared" si="28"/>
        <v>2047</v>
      </c>
      <c r="C32" s="190">
        <f>IF(C31*(1+A32*Model!$B$19*IF(Model!$B$28=0,1,((Model!$B$28-B32)/(Model!$B$28-$B$9))))&gt;Model!$B$44,C31*(1+A32*Model!$B$19*IF(Model!$B$28=0,1,((Model!$B$28-B32)/(Model!$B$28-$B$9)))),Model!$B$44)</f>
        <v>54.188642575358287</v>
      </c>
      <c r="D32" s="18" cm="1">
        <f t="array" ref="D32">SUMPRODUCT(('Old CCC projections data'!$F$1:$BN$1=$B32)*('Old CCC projections data'!$A$2:$A$271=D$2)*('Old CCC projections data'!$D$2:$D$271=D$3)*('Old CCC projections data'!$F$2:$BN$271))*Model!$B$47</f>
        <v>41.549707602339183</v>
      </c>
      <c r="E32" s="18" cm="1">
        <f t="array" ref="E32">SUMPRODUCT(('Old CCC projections data'!$F$1:$BN$1=$B32)*('Old CCC projections data'!$A$2:$A$271=E$2)*('Old CCC projections data'!$D$2:$D$271=E$3)*('Old CCC projections data'!$F$2:$BN$271))*Model!$B$47</f>
        <v>1.1871345029239767E-2</v>
      </c>
      <c r="F32" s="18"/>
      <c r="G32" s="18"/>
      <c r="H32" s="18" cm="1">
        <f t="array" ref="H32">SUMPRODUCT(('Old CCC projections data'!$F$1:$BN$1=$B32)*('Old CCC projections data'!$A$2:$A$271=H$2)*('Old CCC projections data'!$D$2:$D$271=H$3)*('Old CCC projections data'!$F$2:$BN$271))*Model!$B$47</f>
        <v>241.32000211196601</v>
      </c>
      <c r="I32" s="18" cm="1">
        <f t="array" ref="I32">SUMPRODUCT(('Old CCC projections data'!$F$1:$BN$1=$B32)*('Old CCC projections data'!$A$2:$A$271=I$2)*('Old CCC projections data'!$D$2:$D$271=I$3)*('Old CCC projections data'!$F$2:$BN$271))*Model!$B$47</f>
        <v>361.98000316794901</v>
      </c>
      <c r="J32" s="18" cm="1">
        <f t="array" ref="J32">SUMPRODUCT(('Old CCC projections data'!$F$1:$BN$1=$B32)*('Old CCC projections data'!$A$2:$A$271=J$2)*('Old CCC projections data'!$D$2:$D$271=J$3)*('Old CCC projections data'!$F$2:$BN$271))*Model!$B$47</f>
        <v>482.64000422393201</v>
      </c>
      <c r="K32" s="18" cm="1">
        <f t="array" ref="K32">SUMPRODUCT(('Old CCC projections data'!$F$1:$BN$1=$B32)*('Old CCC projections data'!$A$2:$A$271=K$2)*('Old CCC projections data'!$D$2:$D$271=K$3)*('Old CCC projections data'!$F$2:$BN$271))*Model!$B$47</f>
        <v>603.30000527991524</v>
      </c>
      <c r="L32" s="18" cm="1">
        <f t="array" ref="L32">SUMPRODUCT(('Old CCC projections data'!$F$1:$BN$1=$B32)*('Old CCC projections data'!$A$2:$A$271=L$2)*('Old CCC projections data'!$D$2:$D$271=L$3)*('Old CCC projections data'!$F$2:$BN$271))*Model!$B$47</f>
        <v>723.96000633589802</v>
      </c>
      <c r="M32" s="18" cm="1">
        <f t="array" ref="M32">SUMPRODUCT(('Old CCC projections data'!$F$1:$BN$1=$B32)*('Old CCC projections data'!$A$2:$A$271=M$2)*('Old CCC projections data'!$D$2:$D$271=M$3)*('Old CCC projections data'!$F$2:$BN$271))*Model!$B$47</f>
        <v>120.660001055983</v>
      </c>
      <c r="N32" s="189" cm="1">
        <f t="array" ref="N32">SUMPRODUCT(('Old CCC projections data'!$F$1:$BN$1=$B32)*('Old CCC projections data'!$A$2:$A$271=N$2)*('Old CCC projections data'!$D$2:$D$271=N$3)*('Old CCC projections data'!$F$2:$BN$271))*Model!$B$47</f>
        <v>282.46302210912143</v>
      </c>
      <c r="O32" s="18" cm="1">
        <f t="array" ref="O32">SUMPRODUCT(('Old CCC projections data'!$F$1:$BN$1=$B32)*('Old CCC projections data'!$A$2:$A$271=O$2)*('Old CCC projections data'!$D$2:$D$271=O$3)*('Old CCC projections data'!$F$2:$BN$271))*Model!$B$47</f>
        <v>1.1871345029239767E-2</v>
      </c>
      <c r="P32" s="18" cm="1">
        <f t="array" ref="P32">SUMPRODUCT(('Old CCC projections data'!$F$1:$BN$1=$B32)*('Old CCC projections data'!$A$2:$A$271=P$2)*('Old CCC projections data'!$D$2:$D$271=P$3)*('Old CCC projections data'!$F$2:$BN$271))*Model!$B$47</f>
        <v>241.32000211196601</v>
      </c>
      <c r="Q32" s="18" cm="1">
        <f t="array" ref="Q32">SUMPRODUCT(('Old CCC projections data'!$F$1:$BN$1=$B32)*('Old CCC projections data'!$A$2:$A$271=Q$2)*('Old CCC projections data'!$D$2:$D$271=Q$3)*('Old CCC projections data'!$F$2:$BN$271))*Model!$B$47</f>
        <v>361.98000316794901</v>
      </c>
      <c r="R32" s="18" cm="1">
        <f t="array" ref="R32">SUMPRODUCT(('Old CCC projections data'!$F$1:$BN$1=$B32)*('Old CCC projections data'!$A$2:$A$271=R$2)*('Old CCC projections data'!$D$2:$D$271=R$3)*('Old CCC projections data'!$F$2:$BN$271))*Model!$B$47</f>
        <v>482.64000422393201</v>
      </c>
      <c r="S32" s="18" cm="1">
        <f t="array" ref="S32">SUMPRODUCT(('Old CCC projections data'!$F$1:$BN$1=$B32)*('Old CCC projections data'!$A$2:$A$271=S$2)*('Old CCC projections data'!$D$2:$D$271=S$3)*('Old CCC projections data'!$F$2:$BN$271))*Model!$B$47</f>
        <v>603.30000527991524</v>
      </c>
      <c r="T32" s="18" cm="1">
        <f t="array" ref="T32">SUMPRODUCT(('Old CCC projections data'!$F$1:$BN$1=$B32)*('Old CCC projections data'!$A$2:$A$271=T$2)*('Old CCC projections data'!$D$2:$D$271=T$3)*('Old CCC projections data'!$F$2:$BN$271))*Model!$B$47</f>
        <v>723.96000633589802</v>
      </c>
      <c r="U32" s="18" cm="1">
        <f t="array" ref="U32">SUMPRODUCT(('Old CCC projections data'!$F$1:$BN$1=$B32)*('Old CCC projections data'!$A$2:$A$271=U$2)*('Old CCC projections data'!$D$2:$D$271=U$3)*('Old CCC projections data'!$F$2:$BN$271))*Model!$B$47</f>
        <v>120.660001055983</v>
      </c>
      <c r="V32" s="18" cm="1">
        <f t="array" ref="V32">SUMPRODUCT(('Old CCC projections data'!$F$1:$BN$1=$B32)*('Old CCC projections data'!$A$2:$A$271=V$2)*('Old CCC projections data'!$D$2:$D$271=V$3)*('Old CCC projections data'!$F$2:$BN$271))*Model!$B$47</f>
        <v>282.46302210912143</v>
      </c>
      <c r="W32" s="18" cm="1">
        <f t="array" ref="W32">SUMPRODUCT(('Old CCC projections data'!$F$1:$BN$1=$B32)*('Old CCC projections data'!$A$2:$A$271=W$2)*('Old CCC projections data'!$D$2:$D$271=W$3)*('Old CCC projections data'!$F$2:$BN$271))*Model!$B$47</f>
        <v>1.1871345029239767E-2</v>
      </c>
      <c r="X32" s="18" cm="1">
        <f t="array" ref="X32">SUMPRODUCT(('Old CCC projections data'!$F$1:$BN$1=$B32)*('Old CCC projections data'!$A$2:$A$271=X$2)*('Old CCC projections data'!$D$2:$D$271=X$3)*('Old CCC projections data'!$F$2:$BN$271))*Model!$B$47</f>
        <v>241.32000211196601</v>
      </c>
      <c r="Y32" s="18" cm="1">
        <f t="array" ref="Y32">SUMPRODUCT(('Old CCC projections data'!$F$1:$BN$1=$B32)*('Old CCC projections data'!$A$2:$A$271=Y$2)*('Old CCC projections data'!$D$2:$D$271=Y$3)*('Old CCC projections data'!$F$2:$BN$271))*Model!$B$47</f>
        <v>361.98000316794901</v>
      </c>
      <c r="Z32" s="18" cm="1">
        <f t="array" ref="Z32">SUMPRODUCT(('Old CCC projections data'!$F$1:$BN$1=$B32)*('Old CCC projections data'!$A$2:$A$271=Z$2)*('Old CCC projections data'!$D$2:$D$271=Z$3)*('Old CCC projections data'!$F$2:$BN$271))*Model!$B$47</f>
        <v>482.64000422393201</v>
      </c>
      <c r="AA32" s="18" cm="1">
        <f t="array" ref="AA32">SUMPRODUCT(('Old CCC projections data'!$F$1:$BN$1=$B32)*('Old CCC projections data'!$A$2:$A$271=AA$2)*('Old CCC projections data'!$D$2:$D$271=AA$3)*('Old CCC projections data'!$F$2:$BN$271))*Model!$B$47</f>
        <v>603.30000527991524</v>
      </c>
      <c r="AB32" s="18" cm="1">
        <f t="array" ref="AB32">SUMPRODUCT(('Old CCC projections data'!$F$1:$BN$1=$B32)*('Old CCC projections data'!$A$2:$A$271=AB$2)*('Old CCC projections data'!$D$2:$D$271=AB$3)*('Old CCC projections data'!$F$2:$BN$271))*Model!$B$47</f>
        <v>723.96000633589802</v>
      </c>
      <c r="AC32" s="18" cm="1">
        <f t="array" ref="AC32">SUMPRODUCT(('Old CCC projections data'!$F$1:$BN$1=$B32)*('Old CCC projections data'!$A$2:$A$271=AC$2)*('Old CCC projections data'!$D$2:$D$271=AC$3)*('Old CCC projections data'!$F$2:$BN$271))*Model!$B$47</f>
        <v>120.660001055983</v>
      </c>
      <c r="AD32" s="18" cm="1">
        <f t="array" ref="AD32">SUMPRODUCT(('Old CCC projections data'!$F$1:$BN$1=$B32)*('Old CCC projections data'!$A$2:$A$271=AD$2)*('Old CCC projections data'!$D$2:$D$271=AD$3)*('Old CCC projections data'!$F$2:$BN$271))*Model!$B$47</f>
        <v>132.72600116158128</v>
      </c>
      <c r="AE32" s="18" cm="1">
        <f t="array" ref="AE32">SUMPRODUCT(('Old CCC projections data'!$F$1:$BN$1=$B32)*('Old CCC projections data'!$A$2:$A$271=AE$2)*('Old CCC projections data'!$D$2:$D$271=AE$3)*('Old CCC projections data'!$F$2:$BN$271))*Model!$B$47</f>
        <v>282.46302210912143</v>
      </c>
      <c r="AF32" s="18" cm="1">
        <f t="array" ref="AF32">SUMPRODUCT(('Old CCC projections data'!$F$1:$BN$1=$B32)*('Old CCC projections data'!$A$2:$A$271=AF$2)*('Old CCC projections data'!$D$2:$D$271=AF$3)*('Old CCC projections data'!$F$2:$BN$271))*Model!$B$47</f>
        <v>1.1871345029239767E-2</v>
      </c>
      <c r="AG32" s="18" cm="1">
        <f t="array" ref="AG32">SUMPRODUCT(('Old CCC projections data'!$F$1:$BN$1=$B32)*('Old CCC projections data'!$A$2:$A$271=AG$2)*('Old CCC projections data'!$D$2:$D$271=AG$3)*('Old CCC projections data'!$F$2:$BN$271))*Model!$B$47</f>
        <v>241.32000211196601</v>
      </c>
      <c r="AH32" s="18" cm="1">
        <f t="array" ref="AH32">SUMPRODUCT(('Old CCC projections data'!$F$1:$BN$1=$B32)*('Old CCC projections data'!$A$2:$A$271=AH$2)*('Old CCC projections data'!$D$2:$D$271=AH$3)*('Old CCC projections data'!$F$2:$BN$271))*Model!$B$47</f>
        <v>361.98000316794901</v>
      </c>
      <c r="AI32" s="18" cm="1">
        <f t="array" ref="AI32">SUMPRODUCT(('Old CCC projections data'!$F$1:$BN$1=$B32)*('Old CCC projections data'!$A$2:$A$271=AI$2)*('Old CCC projections data'!$D$2:$D$271=AI$3)*('Old CCC projections data'!$F$2:$BN$271))*Model!$B$47</f>
        <v>482.64000422393201</v>
      </c>
      <c r="AJ32" s="18" cm="1">
        <f t="array" ref="AJ32">SUMPRODUCT(('Old CCC projections data'!$F$1:$BN$1=$B32)*('Old CCC projections data'!$A$2:$A$271=AJ$2)*('Old CCC projections data'!$D$2:$D$271=AJ$3)*('Old CCC projections data'!$F$2:$BN$271))*Model!$B$47</f>
        <v>603.30000527991524</v>
      </c>
      <c r="AK32" s="18" cm="1">
        <f t="array" ref="AK32">SUMPRODUCT(('Old CCC projections data'!$F$1:$BN$1=$B32)*('Old CCC projections data'!$A$2:$A$271=AK$2)*('Old CCC projections data'!$D$2:$D$271=AK$3)*('Old CCC projections data'!$F$2:$BN$271))*Model!$B$47</f>
        <v>651.56400570230835</v>
      </c>
      <c r="AL32" s="18" cm="1">
        <f t="array" ref="AL32">SUMPRODUCT(('Old CCC projections data'!$F$1:$BN$1=$B32)*('Old CCC projections data'!$A$2:$A$271=AL$2)*('Old CCC projections data'!$D$2:$D$271=AL$3)*('Old CCC projections data'!$F$2:$BN$271))*Model!$B$47</f>
        <v>723.96000633589802</v>
      </c>
      <c r="AM32" s="18" cm="1">
        <f t="array" ref="AM32">SUMPRODUCT(('Old CCC projections data'!$F$1:$BN$1=$B32)*('Old CCC projections data'!$A$2:$A$271=AM$2)*('Old CCC projections data'!$D$2:$D$271=AM$3)*('Old CCC projections data'!$F$2:$BN$271))*Model!$B$47</f>
        <v>120.660001055983</v>
      </c>
      <c r="AN32" s="18" cm="1">
        <f t="array" ref="AN32">SUMPRODUCT(('Old CCC projections data'!$F$1:$BN$1=$B32)*('Old CCC projections data'!$A$2:$A$271=AN$2)*('Old CCC projections data'!$D$2:$D$271=AN$3)*('Old CCC projections data'!$F$2:$BN$271))*Model!$B$47</f>
        <v>282.46302210912143</v>
      </c>
      <c r="AO32" s="18" cm="1">
        <f t="array" ref="AO32">SUMPRODUCT(('Old CCC projections data'!$F$1:$BN$1=$B32)*('Old CCC projections data'!$A$2:$A$271=AO$2)*('Old CCC projections data'!$D$2:$D$271=AO$3)*('Old CCC projections data'!$F$2:$BN$271))*Model!$B$47</f>
        <v>1.1871345029239767E-2</v>
      </c>
      <c r="AP32" s="18" cm="1">
        <f t="array" ref="AP32">SUMPRODUCT(('Old CCC projections data'!$F$1:$BN$1=$B32)*('Old CCC projections data'!$A$2:$A$271=AP$2)*('Old CCC projections data'!$D$2:$D$271=AP$3)*('Old CCC projections data'!$F$2:$BN$271))*Model!$B$47</f>
        <v>241.32000211196601</v>
      </c>
      <c r="AQ32" s="18" cm="1">
        <f t="array" ref="AQ32">SUMPRODUCT(('Old CCC projections data'!$F$1:$BN$1=$B32)*('Old CCC projections data'!$A$2:$A$271=AQ$2)*('Old CCC projections data'!$D$2:$D$271=AQ$3)*('Old CCC projections data'!$F$2:$BN$271))*Model!$B$47</f>
        <v>361.98000316794901</v>
      </c>
      <c r="AR32" s="18" cm="1">
        <f t="array" ref="AR32">SUMPRODUCT(('Old CCC projections data'!$F$1:$BN$1=$B32)*('Old CCC projections data'!$A$2:$A$271=AR$2)*('Old CCC projections data'!$D$2:$D$271=AR$3)*('Old CCC projections data'!$F$2:$BN$271))*Model!$B$47</f>
        <v>482.64000422393201</v>
      </c>
      <c r="AS32" s="18" cm="1">
        <f t="array" ref="AS32">SUMPRODUCT(('Old CCC projections data'!$F$1:$BN$1=$B32)*('Old CCC projections data'!$A$2:$A$271=AS$2)*('Old CCC projections data'!$D$2:$D$271=AS$3)*('Old CCC projections data'!$F$2:$BN$271))*Model!$B$47</f>
        <v>603.30000527991524</v>
      </c>
      <c r="AT32" s="18" cm="1">
        <f t="array" ref="AT32">SUMPRODUCT(('Old CCC projections data'!$F$1:$BN$1=$B32)*('Old CCC projections data'!$A$2:$A$271=AT$2)*('Old CCC projections data'!$D$2:$D$271=AT$3)*('Old CCC projections data'!$F$2:$BN$271))*Model!$B$47</f>
        <v>723.96000633589802</v>
      </c>
      <c r="AU32" s="18" cm="1">
        <f t="array" ref="AU32">SUMPRODUCT(('Old CCC projections data'!$F$1:$BN$1=$B32)*('Old CCC projections data'!$A$2:$A$271=AU$2)*('Old CCC projections data'!$D$2:$D$271=AU$3)*('Old CCC projections data'!$F$2:$BN$271))*Model!$B$47</f>
        <v>120.660001055983</v>
      </c>
      <c r="AV32" s="18" cm="1">
        <f t="array" ref="AV32">SUMPRODUCT(('Old CCC projections data'!$F$1:$BN$1=$B32)*('Old CCC projections data'!$A$2:$A$271=AV$2)*('Old CCC projections data'!$D$2:$D$271=AV$3)*('Old CCC projections data'!$F$2:$BN$271))*Model!$B$47</f>
        <v>132.72600116158128</v>
      </c>
      <c r="AW32" s="18" cm="1">
        <f t="array" ref="AW32">SUMPRODUCT(('Old CCC projections data'!$F$1:$BN$1=$B32)*('Old CCC projections data'!$A$2:$A$271=AW$2)*('Old CCC projections data'!$D$2:$D$271=AW$3)*('Old CCC projections data'!$F$2:$BN$271))*Model!$B$47</f>
        <v>282.46302210912143</v>
      </c>
      <c r="AX32" s="18" cm="1">
        <f t="array" ref="AX32">SUMPRODUCT(('Old CCC projections data'!$F$1:$BN$1=$B32)*('Old CCC projections data'!$A$2:$A$271=AX$2)*('Old CCC projections data'!$D$2:$D$271=AX$3)*('Old CCC projections data'!$F$2:$BN$271))*Model!$B$47</f>
        <v>1.1871345029239767E-2</v>
      </c>
      <c r="AY32" s="18">
        <v>50</v>
      </c>
      <c r="AZ32" s="18">
        <v>35</v>
      </c>
      <c r="BA32" s="18">
        <v>70</v>
      </c>
      <c r="BB32" s="18"/>
      <c r="BC32" s="20" cm="1">
        <f t="array" ref="BC32">SUMPRODUCT(('Old CCC projections data'!$F$1:$BN$1=$B32)*('Old CCC projections data'!$A$2:$A$271=BC$2)*('Old CCC projections data'!$D$2:$D$271=BC$3)*('Old CCC projections data'!$F$2:$BN$271))</f>
        <v>26270.218573061793</v>
      </c>
      <c r="BD32" s="20" cm="1">
        <f t="array" ref="BD32">SUMPRODUCT(('Old CCC projections data'!$F$1:$BN$1=$B32)*('Old CCC projections data'!$A$2:$A$271=BD$2)*('Old CCC projections data'!$D$2:$D$271=BD$3)*('Old CCC projections data'!$F$2:$BN$271))</f>
        <v>26835.933009880133</v>
      </c>
      <c r="BE32" s="20"/>
      <c r="BF32" s="20"/>
      <c r="BG32" s="20" cm="1">
        <f t="array" ref="BG32">SUMPRODUCT(('Old CCC projections data'!$F$1:$BN$1=$B32)*('Old CCC projections data'!$A$2:$A$271=BG$2)*('Old CCC projections data'!$D$2:$D$271=BG$3)*('Old CCC projections data'!$F$2:$BN$271))</f>
        <v>11276.664336107337</v>
      </c>
      <c r="BH32" s="20" cm="1">
        <f t="array" ref="BH32">SUMPRODUCT(('Old CCC projections data'!$F$1:$BN$1=$B32)*('Old CCC projections data'!$A$2:$A$271=BH$2)*('Old CCC projections data'!$D$2:$D$271=BH$3)*('Old CCC projections data'!$F$2:$BN$271))</f>
        <v>10295.84222182116</v>
      </c>
      <c r="BI32" s="20" cm="1">
        <f t="array" ref="BI32">SUMPRODUCT(('Old CCC projections data'!$F$1:$BN$1=$B32)*('Old CCC projections data'!$A$2:$A$271=BI$2)*('Old CCC projections data'!$D$2:$D$271=BI$3)*('Old CCC projections data'!$F$2:$BN$271))</f>
        <v>9385.5115780931355</v>
      </c>
      <c r="BJ32" s="20" cm="1">
        <f t="array" ref="BJ32">SUMPRODUCT(('Old CCC projections data'!$F$1:$BN$1=$B32)*('Old CCC projections data'!$A$2:$A$271=BJ$2)*('Old CCC projections data'!$D$2:$D$271=BJ$3)*('Old CCC projections data'!$F$2:$BN$271))</f>
        <v>9204.9452640886175</v>
      </c>
      <c r="BK32" s="20" cm="1">
        <f t="array" ref="BK32">SUMPRODUCT(('Old CCC projections data'!$F$1:$BN$1=$B32)*('Old CCC projections data'!$A$2:$A$271=BK$2)*('Old CCC projections data'!$D$2:$D$271=BK$3)*('Old CCC projections data'!$F$2:$BN$271))</f>
        <v>8995.2431705045383</v>
      </c>
      <c r="BL32" s="20" cm="1">
        <f t="array" ref="BL32">SUMPRODUCT(('Old CCC projections data'!$F$1:$BN$1=$B32)*('Old CCC projections data'!$A$2:$A$271=BL$2)*('Old CCC projections data'!$D$2:$D$271=BL$3)*('Old CCC projections data'!$F$2:$BN$271))</f>
        <v>13562.578319513677</v>
      </c>
      <c r="BM32" s="20" cm="1">
        <f t="array" ref="BM32">SUMPRODUCT(('Old CCC projections data'!$F$1:$BN$1=$B32)*('Old CCC projections data'!$A$2:$A$271=BM$2)*('Old CCC projections data'!$D$2:$D$271=BM$3)*('Old CCC projections data'!$F$2:$BN$271))</f>
        <v>11054.082482337943</v>
      </c>
      <c r="BN32" s="20" cm="1">
        <f t="array" ref="BN32">SUMPRODUCT(('Old CCC projections data'!$F$1:$BN$1=$B32)*('Old CCC projections data'!$A$2:$A$271=BN$2)*('Old CCC projections data'!$D$2:$D$271=BN$3)*('Old CCC projections data'!$F$2:$BN$271))</f>
        <v>16245.780919206421</v>
      </c>
      <c r="BO32" s="20" cm="1">
        <f t="array" ref="BO32">SUMPRODUCT(('Old CCC projections data'!$F$1:$BN$1=$B32)*('Old CCC projections data'!$A$2:$A$271=BO$2)*('Old CCC projections data'!$D$2:$D$271=BO$3)*('Old CCC projections data'!$F$2:$BN$271))</f>
        <v>13965.740977228879</v>
      </c>
      <c r="BP32" s="20" cm="1">
        <f t="array" ref="BP32">SUMPRODUCT(('Old CCC projections data'!$F$1:$BN$1=$B32)*('Old CCC projections data'!$A$2:$A$271=BP$2)*('Old CCC projections data'!$D$2:$D$271=BP$3)*('Old CCC projections data'!$F$2:$BN$271))</f>
        <v>12354.14314981182</v>
      </c>
      <c r="BQ32" s="20" cm="1">
        <f t="array" ref="BQ32">SUMPRODUCT(('Old CCC projections data'!$F$1:$BN$1=$B32)*('Old CCC projections data'!$A$2:$A$271=BQ$2)*('Old CCC projections data'!$D$2:$D$271=BQ$3)*('Old CCC projections data'!$F$2:$BN$271))</f>
        <v>11206.744391308805</v>
      </c>
      <c r="BR32" s="20" cm="1">
        <f t="array" ref="BR32">SUMPRODUCT(('Old CCC projections data'!$F$1:$BN$1=$B32)*('Old CCC projections data'!$A$2:$A$271=BR$2)*('Old CCC projections data'!$D$2:$D$271=BR$3)*('Old CCC projections data'!$F$2:$BN$271))</f>
        <v>10764.147794637644</v>
      </c>
      <c r="BS32" s="20" cm="1">
        <f t="array" ref="BS32">SUMPRODUCT(('Old CCC projections data'!$F$1:$BN$1=$B32)*('Old CCC projections data'!$A$2:$A$271=BS$2)*('Old CCC projections data'!$D$2:$D$271=BS$3)*('Old CCC projections data'!$F$2:$BN$271))</f>
        <v>10476.396317466448</v>
      </c>
      <c r="BT32" s="20" cm="1">
        <f t="array" ref="BT32">SUMPRODUCT(('Old CCC projections data'!$F$1:$BN$1=$B32)*('Old CCC projections data'!$A$2:$A$271=BT$2)*('Old CCC projections data'!$D$2:$D$271=BT$3)*('Old CCC projections data'!$F$2:$BN$271))</f>
        <v>16430.286009757492</v>
      </c>
      <c r="BU32" s="20" cm="1">
        <f t="array" ref="BU32">SUMPRODUCT(('Old CCC projections data'!$F$1:$BN$1=$B32)*('Old CCC projections data'!$A$2:$A$271=BU$2)*('Old CCC projections data'!$D$2:$D$271=BU$3)*('Old CCC projections data'!$F$2:$BN$271))</f>
        <v>13122.681675646032</v>
      </c>
      <c r="BV32" s="20" cm="1">
        <f t="array" ref="BV32">SUMPRODUCT(('Old CCC projections data'!$F$1:$BN$1=$B32)*('Old CCC projections data'!$A$2:$A$271=BV$2)*('Old CCC projections data'!$D$2:$D$271=BV$3)*('Old CCC projections data'!$F$2:$BN$271))</f>
        <v>18231.436781972639</v>
      </c>
      <c r="BW32" s="20" cm="1">
        <f t="array" ref="BW32">SUMPRODUCT(('Old CCC projections data'!$F$1:$BN$1=$B32)*('Old CCC projections data'!$A$2:$A$271=BW$2)*('Old CCC projections data'!$D$2:$D$271=BW$3)*('Old CCC projections data'!$F$2:$BN$271))</f>
        <v>9425.006668556729</v>
      </c>
      <c r="BX32" s="20" cm="1">
        <f t="array" ref="BX32">SUMPRODUCT(('Old CCC projections data'!$F$1:$BN$1=$B32)*('Old CCC projections data'!$A$2:$A$271=BX$2)*('Old CCC projections data'!$D$2:$D$271=BX$3)*('Old CCC projections data'!$F$2:$BN$271))</f>
        <v>9111.6519019126135</v>
      </c>
      <c r="BY32" s="20" cm="1">
        <f t="array" ref="BY32">SUMPRODUCT(('Old CCC projections data'!$F$1:$BN$1=$B32)*('Old CCC projections data'!$A$2:$A$271=BY$2)*('Old CCC projections data'!$D$2:$D$271=BY$3)*('Old CCC projections data'!$F$2:$BN$271))</f>
        <v>8948.5027300034453</v>
      </c>
      <c r="BZ32" s="20" cm="1">
        <f t="array" ref="BZ32">SUMPRODUCT(('Old CCC projections data'!$F$1:$BN$1=$B32)*('Old CCC projections data'!$A$2:$A$271=BZ$2)*('Old CCC projections data'!$D$2:$D$271=BZ$3)*('Old CCC projections data'!$F$2:$BN$271))</f>
        <v>8871.7555286926017</v>
      </c>
      <c r="CA32" s="20" cm="1">
        <f t="array" ref="CA32">SUMPRODUCT(('Old CCC projections data'!$F$1:$BN$1=$B32)*('Old CCC projections data'!$A$2:$A$271=CA$2)*('Old CCC projections data'!$D$2:$D$271=CA$3)*('Old CCC projections data'!$F$2:$BN$271))</f>
        <v>8835.8448188878392</v>
      </c>
      <c r="CB32" s="20" cm="1">
        <f t="array" ref="CB32">SUMPRODUCT(('Old CCC projections data'!$F$1:$BN$1=$B32)*('Old CCC projections data'!$A$2:$A$271=CB$2)*('Old CCC projections data'!$D$2:$D$271=CB$3)*('Old CCC projections data'!$F$2:$BN$271))</f>
        <v>11271.840940461067</v>
      </c>
      <c r="CC32" s="20" cm="1">
        <f t="array" ref="CC32">SUMPRODUCT(('Old CCC projections data'!$F$1:$BN$1=$B32)*('Old CCC projections data'!$A$2:$A$271=CC$2)*('Old CCC projections data'!$D$2:$D$271=CC$3)*('Old CCC projections data'!$F$2:$BN$271))</f>
        <v>11003.417927180157</v>
      </c>
      <c r="CD32" s="20" cm="1">
        <f t="array" ref="CD32">SUMPRODUCT(('Old CCC projections data'!$F$1:$BN$1=$B32)*('Old CCC projections data'!$A$2:$A$271=CD$2)*('Old CCC projections data'!$D$2:$D$271=CD$3)*('Old CCC projections data'!$F$2:$BN$271))</f>
        <v>9316.8981051522351</v>
      </c>
      <c r="CE32" s="20" cm="1">
        <f t="array" ref="CE32">SUMPRODUCT(('Old CCC projections data'!$F$1:$BN$1=$B32)*('Old CCC projections data'!$A$2:$A$271=CE$2)*('Old CCC projections data'!$D$2:$D$271=CE$3)*('Old CCC projections data'!$F$2:$BN$271))</f>
        <v>13788.865937811463</v>
      </c>
      <c r="CF32" s="20" cm="1">
        <f t="array" ref="CF32">SUMPRODUCT(('Old CCC projections data'!$F$1:$BN$1=$B32)*('Old CCC projections data'!$A$2:$A$271=CF$2)*('Old CCC projections data'!$D$2:$D$271=CF$3)*('Old CCC projections data'!$F$2:$BN$271))</f>
        <v>16005.251039837261</v>
      </c>
      <c r="CG32" s="20" cm="1">
        <f t="array" ref="CG32">SUMPRODUCT(('Old CCC projections data'!$F$1:$BN$1=$B32)*('Old CCC projections data'!$A$2:$A$271=CG$2)*('Old CCC projections data'!$D$2:$D$271=CG$3)*('Old CCC projections data'!$F$2:$BN$271))</f>
        <v>14678.056395945659</v>
      </c>
      <c r="CH32" s="20" cm="1">
        <f t="array" ref="CH32">SUMPRODUCT(('Old CCC projections data'!$F$1:$BN$1=$B32)*('Old CCC projections data'!$A$2:$A$271=CH$2)*('Old CCC projections data'!$D$2:$D$271=CH$3)*('Old CCC projections data'!$F$2:$BN$271))</f>
        <v>13888.003261997783</v>
      </c>
      <c r="CI32" s="20" cm="1">
        <f t="array" ref="CI32">SUMPRODUCT(('Old CCC projections data'!$F$1:$BN$1=$B32)*('Old CCC projections data'!$A$2:$A$271=CI$2)*('Old CCC projections data'!$D$2:$D$271=CI$3)*('Old CCC projections data'!$F$2:$BN$271))</f>
        <v>13511.223676884634</v>
      </c>
      <c r="CJ32" s="20" cm="1">
        <f t="array" ref="CJ32">SUMPRODUCT(('Old CCC projections data'!$F$1:$BN$1=$B32)*('Old CCC projections data'!$A$2:$A$271=CJ$2)*('Old CCC projections data'!$D$2:$D$271=CJ$3)*('Old CCC projections data'!$F$2:$BN$271))</f>
        <v>13473.614522900574</v>
      </c>
      <c r="CK32" s="20" cm="1">
        <f t="array" ref="CK32">SUMPRODUCT(('Old CCC projections data'!$F$1:$BN$1=$B32)*('Old CCC projections data'!$A$2:$A$271=CK$2)*('Old CCC projections data'!$D$2:$D$271=CK$3)*('Old CCC projections data'!$F$2:$BN$271))</f>
        <v>13422.868899963887</v>
      </c>
      <c r="CL32" s="20" cm="1">
        <f t="array" ref="CL32">SUMPRODUCT(('Old CCC projections data'!$F$1:$BN$1=$B32)*('Old CCC projections data'!$A$2:$A$271=CL$2)*('Old CCC projections data'!$D$2:$D$271=CL$3)*('Old CCC projections data'!$F$2:$BN$271))</f>
        <v>18448.067681747485</v>
      </c>
      <c r="CM32" s="20" cm="1">
        <f t="array" ref="CM32">SUMPRODUCT(('Old CCC projections data'!$F$1:$BN$1=$B32)*('Old CCC projections data'!$A$2:$A$271=CM$2)*('Old CCC projections data'!$D$2:$D$271=CM$3)*('Old CCC projections data'!$F$2:$BN$271))</f>
        <v>15370.14214235438</v>
      </c>
      <c r="CN32" s="20" cm="1">
        <f t="array" ref="CN32">SUMPRODUCT(('Old CCC projections data'!$F$1:$BN$1=$B32)*('Old CCC projections data'!$A$2:$A$271=CN$2)*('Old CCC projections data'!$D$2:$D$271=CN$3)*('Old CCC projections data'!$F$2:$BN$271))</f>
        <v>20641.658336281758</v>
      </c>
      <c r="CO32" s="20" cm="1">
        <f t="array" ref="CO32">SUMPRODUCT(('Old CCC projections data'!$F$1:$BN$1=$B32)*('Old CCC projections data'!$A$2:$A$271=CO$2)*('Old CCC projections data'!$D$2:$D$271=CO$3)*('Old CCC projections data'!$F$2:$BN$271))</f>
        <v>8046.3351321438577</v>
      </c>
      <c r="CP32" s="20" cm="1">
        <f t="array" ref="CP32">SUMPRODUCT(('Old CCC projections data'!$F$1:$BN$1=$B32)*('Old CCC projections data'!$A$2:$A$271=CP$2)*('Old CCC projections data'!$D$2:$D$271=CP$3)*('Old CCC projections data'!$F$2:$BN$271))</f>
        <v>7086.533617897252</v>
      </c>
      <c r="CQ32" s="20" cm="1">
        <f t="array" ref="CQ32">SUMPRODUCT(('Old CCC projections data'!$F$1:$BN$1=$B32)*('Old CCC projections data'!$A$2:$A$271=CQ$2)*('Old CCC projections data'!$D$2:$D$271=CQ$3)*('Old CCC projections data'!$F$2:$BN$271))</f>
        <v>6180.134703169364</v>
      </c>
      <c r="CR32" s="20" cm="1">
        <f t="array" ref="CR32">SUMPRODUCT(('Old CCC projections data'!$F$1:$BN$1=$B32)*('Old CCC projections data'!$A$2:$A$271=CR$2)*('Old CCC projections data'!$D$2:$D$271=CR$3)*('Old CCC projections data'!$F$2:$BN$271))</f>
        <v>5941.4057936816407</v>
      </c>
      <c r="CS32" s="20" cm="1">
        <f t="array" ref="CS32">SUMPRODUCT(('Old CCC projections data'!$F$1:$BN$1=$B32)*('Old CCC projections data'!$A$2:$A$271=CS$2)*('Old CCC projections data'!$D$2:$D$271=CS$3)*('Old CCC projections data'!$F$2:$BN$271))</f>
        <v>5782.6660496033574</v>
      </c>
      <c r="CT32" s="20" cm="1">
        <f t="array" ref="CT32">SUMPRODUCT(('Old CCC projections data'!$F$1:$BN$1=$B32)*('Old CCC projections data'!$A$2:$A$271=CT$2)*('Old CCC projections data'!$D$2:$D$271=CT$3)*('Old CCC projections data'!$F$2:$BN$271))</f>
        <v>10224.735217846772</v>
      </c>
      <c r="CU32" s="20" cm="1">
        <f t="array" ref="CU32">SUMPRODUCT(('Old CCC projections data'!$F$1:$BN$1=$B32)*('Old CCC projections data'!$A$2:$A$271=CU$2)*('Old CCC projections data'!$D$2:$D$271=CU$3)*('Old CCC projections data'!$F$2:$BN$271))</f>
        <v>9922.5536548240034</v>
      </c>
      <c r="CV32" s="20" cm="1">
        <f t="array" ref="CV32">SUMPRODUCT(('Old CCC projections data'!$F$1:$BN$1=$B32)*('Old CCC projections data'!$A$2:$A$271=CV$2)*('Old CCC projections data'!$D$2:$D$271=CV$3)*('Old CCC projections data'!$F$2:$BN$271))</f>
        <v>7801.6272373548672</v>
      </c>
      <c r="CW32" s="20" cm="1">
        <f t="array" ref="CW32">SUMPRODUCT(('Old CCC projections data'!$F$1:$BN$1=$B32)*('Old CCC projections data'!$A$2:$A$271=CW$2)*('Old CCC projections data'!$D$2:$D$271=CW$3)*('Old CCC projections data'!$F$2:$BN$271))</f>
        <v>12566.187113967499</v>
      </c>
      <c r="CX32" s="20">
        <f t="shared" si="19"/>
        <v>5191.6984368684789</v>
      </c>
      <c r="CY32" s="94" t="str">
        <f t="shared" si="29"/>
        <v>Demo path - C price $100 3%</v>
      </c>
      <c r="CZ32" s="3">
        <f t="shared" si="30"/>
        <v>2050</v>
      </c>
      <c r="DA32" s="18">
        <f t="shared" si="31"/>
        <v>0</v>
      </c>
      <c r="DB32" s="18">
        <f ca="1">(H35+IF($DB$3&gt;0,NPV($DB$2,H36:OFFSET(H35,$DB$3,0)),0))/($DB$3+1)</f>
        <v>23.972443813436573</v>
      </c>
      <c r="DC32" s="18">
        <f t="shared" ca="1" si="20"/>
        <v>-76.02755618656343</v>
      </c>
      <c r="DD32" s="18">
        <f t="shared" si="32"/>
        <v>100</v>
      </c>
      <c r="DE32" s="20">
        <f t="shared" si="21"/>
        <v>14477.451467153383</v>
      </c>
      <c r="DF32" s="20" cm="1">
        <f t="array" ref="DF32">SUMPRODUCT(($BG$2:$BM$2=CY32)*($B$5:$B$35=CZ32)*($BG$5:$BM$35))</f>
        <v>9703.9805626776215</v>
      </c>
      <c r="DG32" s="20">
        <f t="shared" si="16"/>
        <v>4773.4709044757619</v>
      </c>
      <c r="DH32" s="20" cm="1">
        <f t="array" ref="DH32">IF(CZ32=2023,SUMPRODUCT(($B$5:$B$35=CZ32-1)*($BN$5:$BN$35))-SUMPRODUCT(($BG$2:$BM$2=CY32)*($B$5:$B$35=CZ32-1)*($BG$5:$BM$35)),DG31)</f>
        <v>4867.2930798498619</v>
      </c>
      <c r="DI32" s="18">
        <f t="shared" ca="1" si="17"/>
        <v>23.972443813436573</v>
      </c>
      <c r="DJ32" s="89">
        <f t="shared" si="22"/>
        <v>8.4708289722012786</v>
      </c>
      <c r="DK32" s="89">
        <f t="shared" si="23"/>
        <v>8.4902932257828905</v>
      </c>
      <c r="DL32" s="89">
        <f t="shared" ca="1" si="24"/>
        <v>3.1769049962505478</v>
      </c>
      <c r="DM32" s="20">
        <f t="shared" ca="1" si="25"/>
        <v>2569.7245250344463</v>
      </c>
      <c r="DN32" s="20">
        <f t="shared" ca="1" si="26"/>
        <v>1650.3820717285143</v>
      </c>
      <c r="DO32" s="20">
        <f t="shared" ca="1" si="27"/>
        <v>2110.0532983814801</v>
      </c>
      <c r="DP32" s="113"/>
      <c r="DR32" s="3"/>
      <c r="DS32" t="s">
        <v>277</v>
      </c>
      <c r="DT32">
        <v>491.27474463399471</v>
      </c>
      <c r="DU32">
        <v>48.087720237169613</v>
      </c>
      <c r="DV32">
        <v>10.216220320094562</v>
      </c>
      <c r="DW32">
        <v>7.3261172579312796E-20</v>
      </c>
      <c r="DX32">
        <v>396.42981079342081</v>
      </c>
      <c r="DY32">
        <v>586.11967847456856</v>
      </c>
      <c r="DZ32">
        <v>396.42981079342081</v>
      </c>
      <c r="EA32">
        <v>586.11967847456856</v>
      </c>
    </row>
    <row r="33" spans="1:137" x14ac:dyDescent="0.25">
      <c r="A33">
        <v>0.5</v>
      </c>
      <c r="B33">
        <f t="shared" si="28"/>
        <v>2048</v>
      </c>
      <c r="C33" s="190">
        <f>IF(C32*(1+A33*Model!$B$19*IF(Model!$B$28=0,1,((Model!$B$28-B33)/(Model!$B$28-$B$9))))&gt;Model!$B$44,C32*(1+A33*Model!$B$19*IF(Model!$B$28=0,1,((Model!$B$28-B33)/(Model!$B$28-$B$9)))),Model!$B$44)</f>
        <v>52.861020832262014</v>
      </c>
      <c r="D33" s="18" cm="1">
        <f t="array" ref="D33">SUMPRODUCT(('Old CCC projections data'!$F$1:$BN$1=$B33)*('Old CCC projections data'!$A$2:$A$271=D$2)*('Old CCC projections data'!$D$2:$D$271=D$3)*('Old CCC projections data'!$F$2:$BN$271))*Model!$B$47</f>
        <v>41.549707602339183</v>
      </c>
      <c r="E33" s="18" cm="1">
        <f t="array" ref="E33">SUMPRODUCT(('Old CCC projections data'!$F$1:$BN$1=$B33)*('Old CCC projections data'!$A$2:$A$271=E$2)*('Old CCC projections data'!$D$2:$D$271=E$3)*('Old CCC projections data'!$F$2:$BN$271))*Model!$B$47</f>
        <v>1.1871345029239767E-2</v>
      </c>
      <c r="F33" s="18"/>
      <c r="G33" s="18"/>
      <c r="H33" s="18" cm="1">
        <f t="array" ref="H33">SUMPRODUCT(('Old CCC projections data'!$F$1:$BN$1=$B33)*('Old CCC projections data'!$A$2:$A$271=H$2)*('Old CCC projections data'!$D$2:$D$271=H$3)*('Old CCC projections data'!$F$2:$BN$271))*Model!$B$47</f>
        <v>248.55960217532498</v>
      </c>
      <c r="I33" s="18" cm="1">
        <f t="array" ref="I33">SUMPRODUCT(('Old CCC projections data'!$F$1:$BN$1=$B33)*('Old CCC projections data'!$A$2:$A$271=I$2)*('Old CCC projections data'!$D$2:$D$271=I$3)*('Old CCC projections data'!$F$2:$BN$271))*Model!$B$47</f>
        <v>372.83940326298745</v>
      </c>
      <c r="J33" s="18" cm="1">
        <f t="array" ref="J33">SUMPRODUCT(('Old CCC projections data'!$F$1:$BN$1=$B33)*('Old CCC projections data'!$A$2:$A$271=J$2)*('Old CCC projections data'!$D$2:$D$271=J$3)*('Old CCC projections data'!$F$2:$BN$271))*Model!$B$47</f>
        <v>497.11920435064997</v>
      </c>
      <c r="K33" s="18" cm="1">
        <f t="array" ref="K33">SUMPRODUCT(('Old CCC projections data'!$F$1:$BN$1=$B33)*('Old CCC projections data'!$A$2:$A$271=K$2)*('Old CCC projections data'!$D$2:$D$271=K$3)*('Old CCC projections data'!$F$2:$BN$271))*Model!$B$47</f>
        <v>621.39900543831266</v>
      </c>
      <c r="L33" s="18" cm="1">
        <f t="array" ref="L33">SUMPRODUCT(('Old CCC projections data'!$F$1:$BN$1=$B33)*('Old CCC projections data'!$A$2:$A$271=L$2)*('Old CCC projections data'!$D$2:$D$271=L$3)*('Old CCC projections data'!$F$2:$BN$271))*Model!$B$47</f>
        <v>745.67880652597489</v>
      </c>
      <c r="M33" s="18" cm="1">
        <f t="array" ref="M33">SUMPRODUCT(('Old CCC projections data'!$F$1:$BN$1=$B33)*('Old CCC projections data'!$A$2:$A$271=M$2)*('Old CCC projections data'!$D$2:$D$271=M$3)*('Old CCC projections data'!$F$2:$BN$271))*Model!$B$47</f>
        <v>124.27980108766249</v>
      </c>
      <c r="N33" s="189" cm="1">
        <f t="array" ref="N33">SUMPRODUCT(('Old CCC projections data'!$F$1:$BN$1=$B33)*('Old CCC projections data'!$A$2:$A$271=N$2)*('Old CCC projections data'!$D$2:$D$271=N$3)*('Old CCC projections data'!$F$2:$BN$271))*Model!$B$47</f>
        <v>290.93691277239503</v>
      </c>
      <c r="O33" s="18" cm="1">
        <f t="array" ref="O33">SUMPRODUCT(('Old CCC projections data'!$F$1:$BN$1=$B33)*('Old CCC projections data'!$A$2:$A$271=O$2)*('Old CCC projections data'!$D$2:$D$271=O$3)*('Old CCC projections data'!$F$2:$BN$271))*Model!$B$47</f>
        <v>1.1871345029239767E-2</v>
      </c>
      <c r="P33" s="18" cm="1">
        <f t="array" ref="P33">SUMPRODUCT(('Old CCC projections data'!$F$1:$BN$1=$B33)*('Old CCC projections data'!$A$2:$A$271=P$2)*('Old CCC projections data'!$D$2:$D$271=P$3)*('Old CCC projections data'!$F$2:$BN$271))*Model!$B$47</f>
        <v>248.55960217532498</v>
      </c>
      <c r="Q33" s="18" cm="1">
        <f t="array" ref="Q33">SUMPRODUCT(('Old CCC projections data'!$F$1:$BN$1=$B33)*('Old CCC projections data'!$A$2:$A$271=Q$2)*('Old CCC projections data'!$D$2:$D$271=Q$3)*('Old CCC projections data'!$F$2:$BN$271))*Model!$B$47</f>
        <v>372.83940326298745</v>
      </c>
      <c r="R33" s="18" cm="1">
        <f t="array" ref="R33">SUMPRODUCT(('Old CCC projections data'!$F$1:$BN$1=$B33)*('Old CCC projections data'!$A$2:$A$271=R$2)*('Old CCC projections data'!$D$2:$D$271=R$3)*('Old CCC projections data'!$F$2:$BN$271))*Model!$B$47</f>
        <v>497.11920435064997</v>
      </c>
      <c r="S33" s="18" cm="1">
        <f t="array" ref="S33">SUMPRODUCT(('Old CCC projections data'!$F$1:$BN$1=$B33)*('Old CCC projections data'!$A$2:$A$271=S$2)*('Old CCC projections data'!$D$2:$D$271=S$3)*('Old CCC projections data'!$F$2:$BN$271))*Model!$B$47</f>
        <v>621.39900543831266</v>
      </c>
      <c r="T33" s="18" cm="1">
        <f t="array" ref="T33">SUMPRODUCT(('Old CCC projections data'!$F$1:$BN$1=$B33)*('Old CCC projections data'!$A$2:$A$271=T$2)*('Old CCC projections data'!$D$2:$D$271=T$3)*('Old CCC projections data'!$F$2:$BN$271))*Model!$B$47</f>
        <v>745.67880652597489</v>
      </c>
      <c r="U33" s="18" cm="1">
        <f t="array" ref="U33">SUMPRODUCT(('Old CCC projections data'!$F$1:$BN$1=$B33)*('Old CCC projections data'!$A$2:$A$271=U$2)*('Old CCC projections data'!$D$2:$D$271=U$3)*('Old CCC projections data'!$F$2:$BN$271))*Model!$B$47</f>
        <v>124.27980108766249</v>
      </c>
      <c r="V33" s="18" cm="1">
        <f t="array" ref="V33">SUMPRODUCT(('Old CCC projections data'!$F$1:$BN$1=$B33)*('Old CCC projections data'!$A$2:$A$271=V$2)*('Old CCC projections data'!$D$2:$D$271=V$3)*('Old CCC projections data'!$F$2:$BN$271))*Model!$B$47</f>
        <v>290.93691277239503</v>
      </c>
      <c r="W33" s="18" cm="1">
        <f t="array" ref="W33">SUMPRODUCT(('Old CCC projections data'!$F$1:$BN$1=$B33)*('Old CCC projections data'!$A$2:$A$271=W$2)*('Old CCC projections data'!$D$2:$D$271=W$3)*('Old CCC projections data'!$F$2:$BN$271))*Model!$B$47</f>
        <v>1.1871345029239767E-2</v>
      </c>
      <c r="X33" s="18" cm="1">
        <f t="array" ref="X33">SUMPRODUCT(('Old CCC projections data'!$F$1:$BN$1=$B33)*('Old CCC projections data'!$A$2:$A$271=X$2)*('Old CCC projections data'!$D$2:$D$271=X$3)*('Old CCC projections data'!$F$2:$BN$271))*Model!$B$47</f>
        <v>248.55960217532498</v>
      </c>
      <c r="Y33" s="18" cm="1">
        <f t="array" ref="Y33">SUMPRODUCT(('Old CCC projections data'!$F$1:$BN$1=$B33)*('Old CCC projections data'!$A$2:$A$271=Y$2)*('Old CCC projections data'!$D$2:$D$271=Y$3)*('Old CCC projections data'!$F$2:$BN$271))*Model!$B$47</f>
        <v>372.83940326298745</v>
      </c>
      <c r="Z33" s="18" cm="1">
        <f t="array" ref="Z33">SUMPRODUCT(('Old CCC projections data'!$F$1:$BN$1=$B33)*('Old CCC projections data'!$A$2:$A$271=Z$2)*('Old CCC projections data'!$D$2:$D$271=Z$3)*('Old CCC projections data'!$F$2:$BN$271))*Model!$B$47</f>
        <v>497.11920435064997</v>
      </c>
      <c r="AA33" s="18" cm="1">
        <f t="array" ref="AA33">SUMPRODUCT(('Old CCC projections data'!$F$1:$BN$1=$B33)*('Old CCC projections data'!$A$2:$A$271=AA$2)*('Old CCC projections data'!$D$2:$D$271=AA$3)*('Old CCC projections data'!$F$2:$BN$271))*Model!$B$47</f>
        <v>621.39900543831266</v>
      </c>
      <c r="AB33" s="18" cm="1">
        <f t="array" ref="AB33">SUMPRODUCT(('Old CCC projections data'!$F$1:$BN$1=$B33)*('Old CCC projections data'!$A$2:$A$271=AB$2)*('Old CCC projections data'!$D$2:$D$271=AB$3)*('Old CCC projections data'!$F$2:$BN$271))*Model!$B$47</f>
        <v>745.67880652597489</v>
      </c>
      <c r="AC33" s="18" cm="1">
        <f t="array" ref="AC33">SUMPRODUCT(('Old CCC projections data'!$F$1:$BN$1=$B33)*('Old CCC projections data'!$A$2:$A$271=AC$2)*('Old CCC projections data'!$D$2:$D$271=AC$3)*('Old CCC projections data'!$F$2:$BN$271))*Model!$B$47</f>
        <v>124.27980108766249</v>
      </c>
      <c r="AD33" s="18" cm="1">
        <f t="array" ref="AD33">SUMPRODUCT(('Old CCC projections data'!$F$1:$BN$1=$B33)*('Old CCC projections data'!$A$2:$A$271=AD$2)*('Old CCC projections data'!$D$2:$D$271=AD$3)*('Old CCC projections data'!$F$2:$BN$271))*Model!$B$47</f>
        <v>136.7077811964287</v>
      </c>
      <c r="AE33" s="18" cm="1">
        <f t="array" ref="AE33">SUMPRODUCT(('Old CCC projections data'!$F$1:$BN$1=$B33)*('Old CCC projections data'!$A$2:$A$271=AE$2)*('Old CCC projections data'!$D$2:$D$271=AE$3)*('Old CCC projections data'!$F$2:$BN$271))*Model!$B$47</f>
        <v>290.93691277239503</v>
      </c>
      <c r="AF33" s="18" cm="1">
        <f t="array" ref="AF33">SUMPRODUCT(('Old CCC projections data'!$F$1:$BN$1=$B33)*('Old CCC projections data'!$A$2:$A$271=AF$2)*('Old CCC projections data'!$D$2:$D$271=AF$3)*('Old CCC projections data'!$F$2:$BN$271))*Model!$B$47</f>
        <v>1.1871345029239767E-2</v>
      </c>
      <c r="AG33" s="18" cm="1">
        <f t="array" ref="AG33">SUMPRODUCT(('Old CCC projections data'!$F$1:$BN$1=$B33)*('Old CCC projections data'!$A$2:$A$271=AG$2)*('Old CCC projections data'!$D$2:$D$271=AG$3)*('Old CCC projections data'!$F$2:$BN$271))*Model!$B$47</f>
        <v>248.55960217532498</v>
      </c>
      <c r="AH33" s="18" cm="1">
        <f t="array" ref="AH33">SUMPRODUCT(('Old CCC projections data'!$F$1:$BN$1=$B33)*('Old CCC projections data'!$A$2:$A$271=AH$2)*('Old CCC projections data'!$D$2:$D$271=AH$3)*('Old CCC projections data'!$F$2:$BN$271))*Model!$B$47</f>
        <v>372.83940326298745</v>
      </c>
      <c r="AI33" s="18" cm="1">
        <f t="array" ref="AI33">SUMPRODUCT(('Old CCC projections data'!$F$1:$BN$1=$B33)*('Old CCC projections data'!$A$2:$A$271=AI$2)*('Old CCC projections data'!$D$2:$D$271=AI$3)*('Old CCC projections data'!$F$2:$BN$271))*Model!$B$47</f>
        <v>497.11920435064997</v>
      </c>
      <c r="AJ33" s="18" cm="1">
        <f t="array" ref="AJ33">SUMPRODUCT(('Old CCC projections data'!$F$1:$BN$1=$B33)*('Old CCC projections data'!$A$2:$A$271=AJ$2)*('Old CCC projections data'!$D$2:$D$271=AJ$3)*('Old CCC projections data'!$F$2:$BN$271))*Model!$B$47</f>
        <v>621.39900543831266</v>
      </c>
      <c r="AK33" s="18" cm="1">
        <f t="array" ref="AK33">SUMPRODUCT(('Old CCC projections data'!$F$1:$BN$1=$B33)*('Old CCC projections data'!$A$2:$A$271=AK$2)*('Old CCC projections data'!$D$2:$D$271=AK$3)*('Old CCC projections data'!$F$2:$BN$271))*Model!$B$47</f>
        <v>671.11092587337771</v>
      </c>
      <c r="AL33" s="18" cm="1">
        <f t="array" ref="AL33">SUMPRODUCT(('Old CCC projections data'!$F$1:$BN$1=$B33)*('Old CCC projections data'!$A$2:$A$271=AL$2)*('Old CCC projections data'!$D$2:$D$271=AL$3)*('Old CCC projections data'!$F$2:$BN$271))*Model!$B$47</f>
        <v>745.67880652597489</v>
      </c>
      <c r="AM33" s="18" cm="1">
        <f t="array" ref="AM33">SUMPRODUCT(('Old CCC projections data'!$F$1:$BN$1=$B33)*('Old CCC projections data'!$A$2:$A$271=AM$2)*('Old CCC projections data'!$D$2:$D$271=AM$3)*('Old CCC projections data'!$F$2:$BN$271))*Model!$B$47</f>
        <v>124.27980108766249</v>
      </c>
      <c r="AN33" s="18" cm="1">
        <f t="array" ref="AN33">SUMPRODUCT(('Old CCC projections data'!$F$1:$BN$1=$B33)*('Old CCC projections data'!$A$2:$A$271=AN$2)*('Old CCC projections data'!$D$2:$D$271=AN$3)*('Old CCC projections data'!$F$2:$BN$271))*Model!$B$47</f>
        <v>290.93691277239503</v>
      </c>
      <c r="AO33" s="18" cm="1">
        <f t="array" ref="AO33">SUMPRODUCT(('Old CCC projections data'!$F$1:$BN$1=$B33)*('Old CCC projections data'!$A$2:$A$271=AO$2)*('Old CCC projections data'!$D$2:$D$271=AO$3)*('Old CCC projections data'!$F$2:$BN$271))*Model!$B$47</f>
        <v>1.1871345029239767E-2</v>
      </c>
      <c r="AP33" s="18" cm="1">
        <f t="array" ref="AP33">SUMPRODUCT(('Old CCC projections data'!$F$1:$BN$1=$B33)*('Old CCC projections data'!$A$2:$A$271=AP$2)*('Old CCC projections data'!$D$2:$D$271=AP$3)*('Old CCC projections data'!$F$2:$BN$271))*Model!$B$47</f>
        <v>248.55960217532498</v>
      </c>
      <c r="AQ33" s="18" cm="1">
        <f t="array" ref="AQ33">SUMPRODUCT(('Old CCC projections data'!$F$1:$BN$1=$B33)*('Old CCC projections data'!$A$2:$A$271=AQ$2)*('Old CCC projections data'!$D$2:$D$271=AQ$3)*('Old CCC projections data'!$F$2:$BN$271))*Model!$B$47</f>
        <v>372.83940326298745</v>
      </c>
      <c r="AR33" s="18" cm="1">
        <f t="array" ref="AR33">SUMPRODUCT(('Old CCC projections data'!$F$1:$BN$1=$B33)*('Old CCC projections data'!$A$2:$A$271=AR$2)*('Old CCC projections data'!$D$2:$D$271=AR$3)*('Old CCC projections data'!$F$2:$BN$271))*Model!$B$47</f>
        <v>497.11920435064997</v>
      </c>
      <c r="AS33" s="18" cm="1">
        <f t="array" ref="AS33">SUMPRODUCT(('Old CCC projections data'!$F$1:$BN$1=$B33)*('Old CCC projections data'!$A$2:$A$271=AS$2)*('Old CCC projections data'!$D$2:$D$271=AS$3)*('Old CCC projections data'!$F$2:$BN$271))*Model!$B$47</f>
        <v>621.39900543831266</v>
      </c>
      <c r="AT33" s="18" cm="1">
        <f t="array" ref="AT33">SUMPRODUCT(('Old CCC projections data'!$F$1:$BN$1=$B33)*('Old CCC projections data'!$A$2:$A$271=AT$2)*('Old CCC projections data'!$D$2:$D$271=AT$3)*('Old CCC projections data'!$F$2:$BN$271))*Model!$B$47</f>
        <v>745.67880652597489</v>
      </c>
      <c r="AU33" s="18" cm="1">
        <f t="array" ref="AU33">SUMPRODUCT(('Old CCC projections data'!$F$1:$BN$1=$B33)*('Old CCC projections data'!$A$2:$A$271=AU$2)*('Old CCC projections data'!$D$2:$D$271=AU$3)*('Old CCC projections data'!$F$2:$BN$271))*Model!$B$47</f>
        <v>124.27980108766249</v>
      </c>
      <c r="AV33" s="18" cm="1">
        <f t="array" ref="AV33">SUMPRODUCT(('Old CCC projections data'!$F$1:$BN$1=$B33)*('Old CCC projections data'!$A$2:$A$271=AV$2)*('Old CCC projections data'!$D$2:$D$271=AV$3)*('Old CCC projections data'!$F$2:$BN$271))*Model!$B$47</f>
        <v>136.7077811964287</v>
      </c>
      <c r="AW33" s="18" cm="1">
        <f t="array" ref="AW33">SUMPRODUCT(('Old CCC projections data'!$F$1:$BN$1=$B33)*('Old CCC projections data'!$A$2:$A$271=AW$2)*('Old CCC projections data'!$D$2:$D$271=AW$3)*('Old CCC projections data'!$F$2:$BN$271))*Model!$B$47</f>
        <v>290.93691277239503</v>
      </c>
      <c r="AX33" s="18" cm="1">
        <f t="array" ref="AX33">SUMPRODUCT(('Old CCC projections data'!$F$1:$BN$1=$B33)*('Old CCC projections data'!$A$2:$A$271=AX$2)*('Old CCC projections data'!$D$2:$D$271=AX$3)*('Old CCC projections data'!$F$2:$BN$271))*Model!$B$47</f>
        <v>1.1871345029239767E-2</v>
      </c>
      <c r="AY33" s="18">
        <v>50</v>
      </c>
      <c r="AZ33" s="18">
        <v>35</v>
      </c>
      <c r="BA33" s="18">
        <v>70</v>
      </c>
      <c r="BB33" s="18"/>
      <c r="BC33" s="20" cm="1">
        <f t="array" ref="BC33">SUMPRODUCT(('Old CCC projections data'!$F$1:$BN$1=$B33)*('Old CCC projections data'!$A$2:$A$271=BC$2)*('Old CCC projections data'!$D$2:$D$271=BC$3)*('Old CCC projections data'!$F$2:$BN$271))</f>
        <v>25523.541235011537</v>
      </c>
      <c r="BD33" s="20" cm="1">
        <f t="array" ref="BD33">SUMPRODUCT(('Old CCC projections data'!$F$1:$BN$1=$B33)*('Old CCC projections data'!$A$2:$A$271=BD$2)*('Old CCC projections data'!$D$2:$D$271=BD$3)*('Old CCC projections data'!$F$2:$BN$271))</f>
        <v>26103.582338314554</v>
      </c>
      <c r="BE33" s="20"/>
      <c r="BF33" s="20"/>
      <c r="BG33" s="20" cm="1">
        <f t="array" ref="BG33">SUMPRODUCT(('Old CCC projections data'!$F$1:$BN$1=$B33)*('Old CCC projections data'!$A$2:$A$271=BG$2)*('Old CCC projections data'!$D$2:$D$271=BG$3)*('Old CCC projections data'!$F$2:$BN$271))</f>
        <v>10616.178695684886</v>
      </c>
      <c r="BH33" s="20" cm="1">
        <f t="array" ref="BH33">SUMPRODUCT(('Old CCC projections data'!$F$1:$BN$1=$B33)*('Old CCC projections data'!$A$2:$A$271=BH$2)*('Old CCC projections data'!$D$2:$D$271=BH$3)*('Old CCC projections data'!$F$2:$BN$271))</f>
        <v>9606.3565726863617</v>
      </c>
      <c r="BI33" s="20" cm="1">
        <f t="array" ref="BI33">SUMPRODUCT(('Old CCC projections data'!$F$1:$BN$1=$B33)*('Old CCC projections data'!$A$2:$A$271=BI$2)*('Old CCC projections data'!$D$2:$D$271=BI$3)*('Old CCC projections data'!$F$2:$BN$271))</f>
        <v>8913.7592883952475</v>
      </c>
      <c r="BJ33" s="20" cm="1">
        <f t="array" ref="BJ33">SUMPRODUCT(('Old CCC projections data'!$F$1:$BN$1=$B33)*('Old CCC projections data'!$A$2:$A$271=BJ$2)*('Old CCC projections data'!$D$2:$D$271=BJ$3)*('Old CCC projections data'!$F$2:$BN$271))</f>
        <v>8726.2616850406903</v>
      </c>
      <c r="BK33" s="20" cm="1">
        <f t="array" ref="BK33">SUMPRODUCT(('Old CCC projections data'!$F$1:$BN$1=$B33)*('Old CCC projections data'!$A$2:$A$271=BK$2)*('Old CCC projections data'!$D$2:$D$271=BK$3)*('Old CCC projections data'!$F$2:$BN$271))</f>
        <v>8571.367068358506</v>
      </c>
      <c r="BL33" s="20" cm="1">
        <f t="array" ref="BL33">SUMPRODUCT(('Old CCC projections data'!$F$1:$BN$1=$B33)*('Old CCC projections data'!$A$2:$A$271=BL$2)*('Old CCC projections data'!$D$2:$D$271=BL$3)*('Old CCC projections data'!$F$2:$BN$271))</f>
        <v>12878.517972759888</v>
      </c>
      <c r="BM33" s="20" cm="1">
        <f t="array" ref="BM33">SUMPRODUCT(('Old CCC projections data'!$F$1:$BN$1=$B33)*('Old CCC projections data'!$A$2:$A$271=BM$2)*('Old CCC projections data'!$D$2:$D$271=BM$3)*('Old CCC projections data'!$F$2:$BN$271))</f>
        <v>10442.789293732092</v>
      </c>
      <c r="BN33" s="20" cm="1">
        <f t="array" ref="BN33">SUMPRODUCT(('Old CCC projections data'!$F$1:$BN$1=$B33)*('Old CCC projections data'!$A$2:$A$271=BN$2)*('Old CCC projections data'!$D$2:$D$271=BN$3)*('Old CCC projections data'!$F$2:$BN$271))</f>
        <v>15581.870841314774</v>
      </c>
      <c r="BO33" s="20" cm="1">
        <f t="array" ref="BO33">SUMPRODUCT(('Old CCC projections data'!$F$1:$BN$1=$B33)*('Old CCC projections data'!$A$2:$A$271=BO$2)*('Old CCC projections data'!$D$2:$D$271=BO$3)*('Old CCC projections data'!$F$2:$BN$271))</f>
        <v>13207.733727294742</v>
      </c>
      <c r="BP33" s="20" cm="1">
        <f t="array" ref="BP33">SUMPRODUCT(('Old CCC projections data'!$F$1:$BN$1=$B33)*('Old CCC projections data'!$A$2:$A$271=BP$2)*('Old CCC projections data'!$D$2:$D$271=BP$3)*('Old CCC projections data'!$F$2:$BN$271))</f>
        <v>11666.392290373607</v>
      </c>
      <c r="BQ33" s="20" cm="1">
        <f t="array" ref="BQ33">SUMPRODUCT(('Old CCC projections data'!$F$1:$BN$1=$B33)*('Old CCC projections data'!$A$2:$A$271=BQ$2)*('Old CCC projections data'!$D$2:$D$271=BQ$3)*('Old CCC projections data'!$F$2:$BN$271))</f>
        <v>10491.3469829518</v>
      </c>
      <c r="BR33" s="20" cm="1">
        <f t="array" ref="BR33">SUMPRODUCT(('Old CCC projections data'!$F$1:$BN$1=$B33)*('Old CCC projections data'!$A$2:$A$271=BR$2)*('Old CCC projections data'!$D$2:$D$271=BR$3)*('Old CCC projections data'!$F$2:$BN$271))</f>
        <v>10156.046884721374</v>
      </c>
      <c r="BS33" s="20" cm="1">
        <f t="array" ref="BS33">SUMPRODUCT(('Old CCC projections data'!$F$1:$BN$1=$B33)*('Old CCC projections data'!$A$2:$A$271=BS$2)*('Old CCC projections data'!$D$2:$D$271=BS$3)*('Old CCC projections data'!$F$2:$BN$271))</f>
        <v>9911.3519869502943</v>
      </c>
      <c r="BT33" s="20" cm="1">
        <f t="array" ref="BT33">SUMPRODUCT(('Old CCC projections data'!$F$1:$BN$1=$B33)*('Old CCC projections data'!$A$2:$A$271=BT$2)*('Old CCC projections data'!$D$2:$D$271=BT$3)*('Old CCC projections data'!$F$2:$BN$271))</f>
        <v>15616.063786028439</v>
      </c>
      <c r="BU33" s="20" cm="1">
        <f t="array" ref="BU33">SUMPRODUCT(('Old CCC projections data'!$F$1:$BN$1=$B33)*('Old CCC projections data'!$A$2:$A$271=BU$2)*('Old CCC projections data'!$D$2:$D$271=BU$3)*('Old CCC projections data'!$F$2:$BN$271))</f>
        <v>12239.010197221733</v>
      </c>
      <c r="BV33" s="20" cm="1">
        <f t="array" ref="BV33">SUMPRODUCT(('Old CCC projections data'!$F$1:$BN$1=$B33)*('Old CCC projections data'!$A$2:$A$271=BV$2)*('Old CCC projections data'!$D$2:$D$271=BV$3)*('Old CCC projections data'!$F$2:$BN$271))</f>
        <v>17455.185597705782</v>
      </c>
      <c r="BW33" s="20" cm="1">
        <f t="array" ref="BW33">SUMPRODUCT(('Old CCC projections data'!$F$1:$BN$1=$B33)*('Old CCC projections data'!$A$2:$A$271=BW$2)*('Old CCC projections data'!$D$2:$D$271=BW$3)*('Old CCC projections data'!$F$2:$BN$271))</f>
        <v>8984.0100492404381</v>
      </c>
      <c r="BX33" s="20" cm="1">
        <f t="array" ref="BX33">SUMPRODUCT(('Old CCC projections data'!$F$1:$BN$1=$B33)*('Old CCC projections data'!$A$2:$A$271=BX$2)*('Old CCC projections data'!$D$2:$D$271=BX$3)*('Old CCC projections data'!$F$2:$BN$271))</f>
        <v>8669.7832473260478</v>
      </c>
      <c r="BY33" s="20" cm="1">
        <f t="array" ref="BY33">SUMPRODUCT(('Old CCC projections data'!$F$1:$BN$1=$B33)*('Old CCC projections data'!$A$2:$A$271=BY$2)*('Old CCC projections data'!$D$2:$D$271=BY$3)*('Old CCC projections data'!$F$2:$BN$271))</f>
        <v>8539.2418826123976</v>
      </c>
      <c r="BZ33" s="20" cm="1">
        <f t="array" ref="BZ33">SUMPRODUCT(('Old CCC projections data'!$F$1:$BN$1=$B33)*('Old CCC projections data'!$A$2:$A$271=BZ$2)*('Old CCC projections data'!$D$2:$D$271=BZ$3)*('Old CCC projections data'!$F$2:$BN$271))</f>
        <v>8488.1916517428363</v>
      </c>
      <c r="CA33" s="20" cm="1">
        <f t="array" ref="CA33">SUMPRODUCT(('Old CCC projections data'!$F$1:$BN$1=$B33)*('Old CCC projections data'!$A$2:$A$271=CA$2)*('Old CCC projections data'!$D$2:$D$271=CA$3)*('Old CCC projections data'!$F$2:$BN$271))</f>
        <v>8417.2200392155573</v>
      </c>
      <c r="CB33" s="20" cm="1">
        <f t="array" ref="CB33">SUMPRODUCT(('Old CCC projections data'!$F$1:$BN$1=$B33)*('Old CCC projections data'!$A$2:$A$271=CB$2)*('Old CCC projections data'!$D$2:$D$271=CB$3)*('Old CCC projections data'!$F$2:$BN$271))</f>
        <v>10546.026201656734</v>
      </c>
      <c r="CC33" s="20" cm="1">
        <f t="array" ref="CC33">SUMPRODUCT(('Old CCC projections data'!$F$1:$BN$1=$B33)*('Old CCC projections data'!$A$2:$A$271=CC$2)*('Old CCC projections data'!$D$2:$D$271=CC$3)*('Old CCC projections data'!$F$2:$BN$271))</f>
        <v>10285.795496956927</v>
      </c>
      <c r="CD33" s="20" cm="1">
        <f t="array" ref="CD33">SUMPRODUCT(('Old CCC projections data'!$F$1:$BN$1=$B33)*('Old CCC projections data'!$A$2:$A$271=CD$2)*('Old CCC projections data'!$D$2:$D$271=CD$3)*('Old CCC projections data'!$F$2:$BN$271))</f>
        <v>8825.5888092858277</v>
      </c>
      <c r="CE33" s="20" cm="1">
        <f t="array" ref="CE33">SUMPRODUCT(('Old CCC projections data'!$F$1:$BN$1=$B33)*('Old CCC projections data'!$A$2:$A$271=CE$2)*('Old CCC projections data'!$D$2:$D$271=CE$3)*('Old CCC projections data'!$F$2:$BN$271))</f>
        <v>13227.339525584088</v>
      </c>
      <c r="CF33" s="20" cm="1">
        <f t="array" ref="CF33">SUMPRODUCT(('Old CCC projections data'!$F$1:$BN$1=$B33)*('Old CCC projections data'!$A$2:$A$271=CF$2)*('Old CCC projections data'!$D$2:$D$271=CF$3)*('Old CCC projections data'!$F$2:$BN$271))</f>
        <v>15201.640882078069</v>
      </c>
      <c r="CG33" s="20" cm="1">
        <f t="array" ref="CG33">SUMPRODUCT(('Old CCC projections data'!$F$1:$BN$1=$B33)*('Old CCC projections data'!$A$2:$A$271=CG$2)*('Old CCC projections data'!$D$2:$D$271=CG$3)*('Old CCC projections data'!$F$2:$BN$271))</f>
        <v>13982.893357069652</v>
      </c>
      <c r="CH33" s="20" cm="1">
        <f t="array" ref="CH33">SUMPRODUCT(('Old CCC projections data'!$F$1:$BN$1=$B33)*('Old CCC projections data'!$A$2:$A$271=CH$2)*('Old CCC projections data'!$D$2:$D$271=CH$3)*('Old CCC projections data'!$F$2:$BN$271))</f>
        <v>13283.329647196722</v>
      </c>
      <c r="CI33" s="20" cm="1">
        <f t="array" ref="CI33">SUMPRODUCT(('Old CCC projections data'!$F$1:$BN$1=$B33)*('Old CCC projections data'!$A$2:$A$271=CI$2)*('Old CCC projections data'!$D$2:$D$271=CI$3)*('Old CCC projections data'!$F$2:$BN$271))</f>
        <v>12905.327821399444</v>
      </c>
      <c r="CJ33" s="20" cm="1">
        <f t="array" ref="CJ33">SUMPRODUCT(('Old CCC projections data'!$F$1:$BN$1=$B33)*('Old CCC projections data'!$A$2:$A$271=CJ$2)*('Old CCC projections data'!$D$2:$D$271=CJ$3)*('Old CCC projections data'!$F$2:$BN$271))</f>
        <v>12870.112065879179</v>
      </c>
      <c r="CK33" s="20" cm="1">
        <f t="array" ref="CK33">SUMPRODUCT(('Old CCC projections data'!$F$1:$BN$1=$B33)*('Old CCC projections data'!$A$2:$A$271=CK$2)*('Old CCC projections data'!$D$2:$D$271=CK$3)*('Old CCC projections data'!$F$2:$BN$271))</f>
        <v>12823.103689205911</v>
      </c>
      <c r="CL33" s="20" cm="1">
        <f t="array" ref="CL33">SUMPRODUCT(('Old CCC projections data'!$F$1:$BN$1=$B33)*('Old CCC projections data'!$A$2:$A$271=CL$2)*('Old CCC projections data'!$D$2:$D$271=CL$3)*('Old CCC projections data'!$F$2:$BN$271))</f>
        <v>17675.477995189962</v>
      </c>
      <c r="CM33" s="20" cm="1">
        <f t="array" ref="CM33">SUMPRODUCT(('Old CCC projections data'!$F$1:$BN$1=$B33)*('Old CCC projections data'!$A$2:$A$271=CM$2)*('Old CCC projections data'!$D$2:$D$271=CM$3)*('Old CCC projections data'!$F$2:$BN$271))</f>
        <v>14586.188760309358</v>
      </c>
      <c r="CN33" s="20" cm="1">
        <f t="array" ref="CN33">SUMPRODUCT(('Old CCC projections data'!$F$1:$BN$1=$B33)*('Old CCC projections data'!$A$2:$A$271=CN$2)*('Old CCC projections data'!$D$2:$D$271=CN$3)*('Old CCC projections data'!$F$2:$BN$271))</f>
        <v>19918.195431192285</v>
      </c>
      <c r="CO33" s="20" cm="1">
        <f t="array" ref="CO33">SUMPRODUCT(('Old CCC projections data'!$F$1:$BN$1=$B33)*('Old CCC projections data'!$A$2:$A$271=CO$2)*('Old CCC projections data'!$D$2:$D$271=CO$3)*('Old CCC projections data'!$F$2:$BN$271))</f>
        <v>7543.3321242883831</v>
      </c>
      <c r="CP33" s="20" cm="1">
        <f t="array" ref="CP33">SUMPRODUCT(('Old CCC projections data'!$F$1:$BN$1=$B33)*('Old CCC projections data'!$A$2:$A$271=CP$2)*('Old CCC projections data'!$D$2:$D$271=CP$3)*('Old CCC projections data'!$F$2:$BN$271))</f>
        <v>6375.9882202499339</v>
      </c>
      <c r="CQ33" s="20" cm="1">
        <f t="array" ref="CQ33">SUMPRODUCT(('Old CCC projections data'!$F$1:$BN$1=$B33)*('Old CCC projections data'!$A$2:$A$271=CQ$2)*('Old CCC projections data'!$D$2:$D$271=CQ$3)*('Old CCC projections data'!$F$2:$BN$271))</f>
        <v>5759.212386725023</v>
      </c>
      <c r="CR33" s="20" cm="1">
        <f t="array" ref="CR33">SUMPRODUCT(('Old CCC projections data'!$F$1:$BN$1=$B33)*('Old CCC projections data'!$A$2:$A$271=CR$2)*('Old CCC projections data'!$D$2:$D$271=CR$3)*('Old CCC projections data'!$F$2:$BN$271))</f>
        <v>5558.1319959839548</v>
      </c>
      <c r="CS33" s="20" cm="1">
        <f t="array" ref="CS33">SUMPRODUCT(('Old CCC projections data'!$F$1:$BN$1=$B33)*('Old CCC projections data'!$A$2:$A$271=CS$2)*('Old CCC projections data'!$D$2:$D$271=CS$3)*('Old CCC projections data'!$F$2:$BN$271))</f>
        <v>5385.8427704040769</v>
      </c>
      <c r="CT33" s="20" cm="1">
        <f t="array" ref="CT33">SUMPRODUCT(('Old CCC projections data'!$F$1:$BN$1=$B33)*('Old CCC projections data'!$A$2:$A$271=CT$2)*('Old CCC projections data'!$D$2:$D$271=CT$3)*('Old CCC projections data'!$F$2:$BN$271))</f>
        <v>9521.9950054800192</v>
      </c>
      <c r="CU33" s="20" cm="1">
        <f t="array" ref="CU33">SUMPRODUCT(('Old CCC projections data'!$F$1:$BN$1=$B33)*('Old CCC projections data'!$A$2:$A$271=CU$2)*('Old CCC projections data'!$D$2:$D$271=CU$3)*('Old CCC projections data'!$F$2:$BN$271))</f>
        <v>9146.9147166897819</v>
      </c>
      <c r="CV33" s="20" cm="1">
        <f t="array" ref="CV33">SUMPRODUCT(('Old CCC projections data'!$F$1:$BN$1=$B33)*('Old CCC projections data'!$A$2:$A$271=CV$2)*('Old CCC projections data'!$D$2:$D$271=CV$3)*('Old CCC projections data'!$F$2:$BN$271))</f>
        <v>7347.0479453559656</v>
      </c>
      <c r="CW33" s="20" cm="1">
        <f t="array" ref="CW33">SUMPRODUCT(('Old CCC projections data'!$F$1:$BN$1=$B33)*('Old CCC projections data'!$A$2:$A$271=CW$2)*('Old CCC projections data'!$D$2:$D$271=CW$3)*('Old CCC projections data'!$F$2:$BN$271))</f>
        <v>12018.366734427153</v>
      </c>
      <c r="CX33" s="20">
        <f t="shared" si="19"/>
        <v>5139.0815475826821</v>
      </c>
      <c r="CY33" s="20" t="str">
        <f>I2</f>
        <v>Demo path - C price $150 3%</v>
      </c>
      <c r="CZ33" s="3">
        <f>CZ5</f>
        <v>2023</v>
      </c>
      <c r="DA33" s="18">
        <f t="shared" si="31"/>
        <v>0</v>
      </c>
      <c r="DB33" s="18">
        <f ca="1">(I8+IF($DB$3&gt;0,NPV($DB$2,I9:OFFSET(I8,$DB$3,0)),0))/($DB$3+1)</f>
        <v>178.07017543859646</v>
      </c>
      <c r="DC33" s="18">
        <f t="shared" ca="1" si="20"/>
        <v>28.070175438596465</v>
      </c>
      <c r="DD33" s="18">
        <v>150</v>
      </c>
      <c r="DE33" s="20">
        <f>DE5</f>
        <v>37354.602072444766</v>
      </c>
      <c r="DF33" s="20" cm="1">
        <f t="array" ref="DF33">SUMPRODUCT(($BG$2:$BM$2=CY33)*($B$5:$B$35=CZ33)*($BG$5:$BM$35))</f>
        <v>36627.395768995069</v>
      </c>
      <c r="DG33" s="20">
        <f t="shared" si="16"/>
        <v>727.20630344969686</v>
      </c>
      <c r="DH33" s="20" cm="1">
        <f t="array" ref="DH33">IF(CZ33=2023,SUMPRODUCT(($B$5:$B$35=CZ33-1)*($BN$5:$BN$35))-SUMPRODUCT(($BG$2:$BM$2=CY33)*($B$5:$B$35=CZ33-1)*($BG$5:$BM$35)),DG32)</f>
        <v>203.19102942947939</v>
      </c>
      <c r="DI33" s="18">
        <f t="shared" ca="1" si="17"/>
        <v>178.07017543859646</v>
      </c>
      <c r="DJ33" s="89">
        <f t="shared" si="22"/>
        <v>6.5892102109358452</v>
      </c>
      <c r="DK33" s="89">
        <f t="shared" si="23"/>
        <v>5.3141465682213731</v>
      </c>
      <c r="DL33" s="89">
        <f t="shared" ca="1" si="24"/>
        <v>5.1821777166353833</v>
      </c>
      <c r="DM33" s="20">
        <f t="shared" ca="1" si="25"/>
        <v>448.00319209359543</v>
      </c>
      <c r="DN33" s="20">
        <f t="shared" ca="1" si="26"/>
        <v>671.09589748544613</v>
      </c>
      <c r="DO33" s="20">
        <f t="shared" ca="1" si="27"/>
        <v>559.54954478952072</v>
      </c>
      <c r="DP33" s="113"/>
      <c r="DR33" s="3"/>
      <c r="DS33" t="s">
        <v>252</v>
      </c>
      <c r="DT33">
        <v>0.87749563505492534</v>
      </c>
      <c r="DU33">
        <v>1.6033385200795253E-2</v>
      </c>
      <c r="DV33">
        <v>54.729280439878771</v>
      </c>
      <c r="DW33">
        <v>1.7175583776715352E-119</v>
      </c>
      <c r="DX33">
        <v>0.84587248155316208</v>
      </c>
      <c r="DY33">
        <v>0.9091187885566886</v>
      </c>
      <c r="DZ33">
        <v>0.84587248155316208</v>
      </c>
      <c r="EA33">
        <v>0.9091187885566886</v>
      </c>
    </row>
    <row r="34" spans="1:137" ht="15.75" thickBot="1" x14ac:dyDescent="0.3">
      <c r="A34">
        <v>0.5</v>
      </c>
      <c r="B34">
        <f t="shared" si="28"/>
        <v>2049</v>
      </c>
      <c r="C34" s="190">
        <f>IF(C33*(1+A34*Model!$B$19*IF(Model!$B$28=0,1,((Model!$B$28-B34)/(Model!$B$28-$B$9))))&gt;Model!$B$44,C33*(1+A34*Model!$B$19*IF(Model!$B$28=0,1,((Model!$B$28-B34)/(Model!$B$28-$B$9)))),Model!$B$44)</f>
        <v>51.565925821871595</v>
      </c>
      <c r="D34" s="18" cm="1">
        <f t="array" ref="D34">SUMPRODUCT(('Old CCC projections data'!$F$1:$BN$1=$B34)*('Old CCC projections data'!$A$2:$A$271=D$2)*('Old CCC projections data'!$D$2:$D$271=D$3)*('Old CCC projections data'!$F$2:$BN$271))*Model!$B$47</f>
        <v>41.549707602339183</v>
      </c>
      <c r="E34" s="18" cm="1">
        <f t="array" ref="E34">SUMPRODUCT(('Old CCC projections data'!$F$1:$BN$1=$B34)*('Old CCC projections data'!$A$2:$A$271=E$2)*('Old CCC projections data'!$D$2:$D$271=E$3)*('Old CCC projections data'!$F$2:$BN$271))*Model!$B$47</f>
        <v>1.1871345029239767E-2</v>
      </c>
      <c r="F34" s="18"/>
      <c r="G34" s="18"/>
      <c r="H34" s="18" cm="1">
        <f t="array" ref="H34">SUMPRODUCT(('Old CCC projections data'!$F$1:$BN$1=$B34)*('Old CCC projections data'!$A$2:$A$271=H$2)*('Old CCC projections data'!$D$2:$D$271=H$3)*('Old CCC projections data'!$F$2:$BN$271))*Model!$B$47</f>
        <v>256.01639024058477</v>
      </c>
      <c r="I34" s="18" cm="1">
        <f t="array" ref="I34">SUMPRODUCT(('Old CCC projections data'!$F$1:$BN$1=$B34)*('Old CCC projections data'!$A$2:$A$271=I$2)*('Old CCC projections data'!$D$2:$D$271=I$3)*('Old CCC projections data'!$F$2:$BN$271))*Model!$B$47</f>
        <v>384.0245853608771</v>
      </c>
      <c r="J34" s="18" cm="1">
        <f t="array" ref="J34">SUMPRODUCT(('Old CCC projections data'!$F$1:$BN$1=$B34)*('Old CCC projections data'!$A$2:$A$271=J$2)*('Old CCC projections data'!$D$2:$D$271=J$3)*('Old CCC projections data'!$F$2:$BN$271))*Model!$B$47</f>
        <v>512.03278048116954</v>
      </c>
      <c r="K34" s="18" cm="1">
        <f t="array" ref="K34">SUMPRODUCT(('Old CCC projections data'!$F$1:$BN$1=$B34)*('Old CCC projections data'!$A$2:$A$271=K$2)*('Old CCC projections data'!$D$2:$D$271=K$3)*('Old CCC projections data'!$F$2:$BN$271))*Model!$B$47</f>
        <v>640.04097560146204</v>
      </c>
      <c r="L34" s="18" cm="1">
        <f t="array" ref="L34">SUMPRODUCT(('Old CCC projections data'!$F$1:$BN$1=$B34)*('Old CCC projections data'!$A$2:$A$271=L$2)*('Old CCC projections data'!$D$2:$D$271=L$3)*('Old CCC projections data'!$F$2:$BN$271))*Model!$B$47</f>
        <v>768.04917072175419</v>
      </c>
      <c r="M34" s="18" cm="1">
        <f t="array" ref="M34">SUMPRODUCT(('Old CCC projections data'!$F$1:$BN$1=$B34)*('Old CCC projections data'!$A$2:$A$271=M$2)*('Old CCC projections data'!$D$2:$D$271=M$3)*('Old CCC projections data'!$F$2:$BN$271))*Model!$B$47</f>
        <v>128.00819512029238</v>
      </c>
      <c r="N34" s="189" cm="1">
        <f t="array" ref="N34">SUMPRODUCT(('Old CCC projections data'!$F$1:$BN$1=$B34)*('Old CCC projections data'!$A$2:$A$271=N$2)*('Old CCC projections data'!$D$2:$D$271=N$3)*('Old CCC projections data'!$F$2:$BN$271))*Model!$B$47</f>
        <v>299.66502015556688</v>
      </c>
      <c r="O34" s="18" cm="1">
        <f t="array" ref="O34">SUMPRODUCT(('Old CCC projections data'!$F$1:$BN$1=$B34)*('Old CCC projections data'!$A$2:$A$271=O$2)*('Old CCC projections data'!$D$2:$D$271=O$3)*('Old CCC projections data'!$F$2:$BN$271))*Model!$B$47</f>
        <v>1.1871345029239767E-2</v>
      </c>
      <c r="P34" s="18" cm="1">
        <f t="array" ref="P34">SUMPRODUCT(('Old CCC projections data'!$F$1:$BN$1=$B34)*('Old CCC projections data'!$A$2:$A$271=P$2)*('Old CCC projections data'!$D$2:$D$271=P$3)*('Old CCC projections data'!$F$2:$BN$271))*Model!$B$47</f>
        <v>256.01639024058477</v>
      </c>
      <c r="Q34" s="18" cm="1">
        <f t="array" ref="Q34">SUMPRODUCT(('Old CCC projections data'!$F$1:$BN$1=$B34)*('Old CCC projections data'!$A$2:$A$271=Q$2)*('Old CCC projections data'!$D$2:$D$271=Q$3)*('Old CCC projections data'!$F$2:$BN$271))*Model!$B$47</f>
        <v>384.0245853608771</v>
      </c>
      <c r="R34" s="18" cm="1">
        <f t="array" ref="R34">SUMPRODUCT(('Old CCC projections data'!$F$1:$BN$1=$B34)*('Old CCC projections data'!$A$2:$A$271=R$2)*('Old CCC projections data'!$D$2:$D$271=R$3)*('Old CCC projections data'!$F$2:$BN$271))*Model!$B$47</f>
        <v>512.03278048116954</v>
      </c>
      <c r="S34" s="18" cm="1">
        <f t="array" ref="S34">SUMPRODUCT(('Old CCC projections data'!$F$1:$BN$1=$B34)*('Old CCC projections data'!$A$2:$A$271=S$2)*('Old CCC projections data'!$D$2:$D$271=S$3)*('Old CCC projections data'!$F$2:$BN$271))*Model!$B$47</f>
        <v>640.04097560146204</v>
      </c>
      <c r="T34" s="18" cm="1">
        <f t="array" ref="T34">SUMPRODUCT(('Old CCC projections data'!$F$1:$BN$1=$B34)*('Old CCC projections data'!$A$2:$A$271=T$2)*('Old CCC projections data'!$D$2:$D$271=T$3)*('Old CCC projections data'!$F$2:$BN$271))*Model!$B$47</f>
        <v>768.04917072175419</v>
      </c>
      <c r="U34" s="18" cm="1">
        <f t="array" ref="U34">SUMPRODUCT(('Old CCC projections data'!$F$1:$BN$1=$B34)*('Old CCC projections data'!$A$2:$A$271=U$2)*('Old CCC projections data'!$D$2:$D$271=U$3)*('Old CCC projections data'!$F$2:$BN$271))*Model!$B$47</f>
        <v>128.00819512029238</v>
      </c>
      <c r="V34" s="18" cm="1">
        <f t="array" ref="V34">SUMPRODUCT(('Old CCC projections data'!$F$1:$BN$1=$B34)*('Old CCC projections data'!$A$2:$A$271=V$2)*('Old CCC projections data'!$D$2:$D$271=V$3)*('Old CCC projections data'!$F$2:$BN$271))*Model!$B$47</f>
        <v>299.66502015556688</v>
      </c>
      <c r="W34" s="18" cm="1">
        <f t="array" ref="W34">SUMPRODUCT(('Old CCC projections data'!$F$1:$BN$1=$B34)*('Old CCC projections data'!$A$2:$A$271=W$2)*('Old CCC projections data'!$D$2:$D$271=W$3)*('Old CCC projections data'!$F$2:$BN$271))*Model!$B$47</f>
        <v>1.1871345029239767E-2</v>
      </c>
      <c r="X34" s="18" cm="1">
        <f t="array" ref="X34">SUMPRODUCT(('Old CCC projections data'!$F$1:$BN$1=$B34)*('Old CCC projections data'!$A$2:$A$271=X$2)*('Old CCC projections data'!$D$2:$D$271=X$3)*('Old CCC projections data'!$F$2:$BN$271))*Model!$B$47</f>
        <v>256.01639024058477</v>
      </c>
      <c r="Y34" s="18" cm="1">
        <f t="array" ref="Y34">SUMPRODUCT(('Old CCC projections data'!$F$1:$BN$1=$B34)*('Old CCC projections data'!$A$2:$A$271=Y$2)*('Old CCC projections data'!$D$2:$D$271=Y$3)*('Old CCC projections data'!$F$2:$BN$271))*Model!$B$47</f>
        <v>384.0245853608771</v>
      </c>
      <c r="Z34" s="18" cm="1">
        <f t="array" ref="Z34">SUMPRODUCT(('Old CCC projections data'!$F$1:$BN$1=$B34)*('Old CCC projections data'!$A$2:$A$271=Z$2)*('Old CCC projections data'!$D$2:$D$271=Z$3)*('Old CCC projections data'!$F$2:$BN$271))*Model!$B$47</f>
        <v>512.03278048116954</v>
      </c>
      <c r="AA34" s="18" cm="1">
        <f t="array" ref="AA34">SUMPRODUCT(('Old CCC projections data'!$F$1:$BN$1=$B34)*('Old CCC projections data'!$A$2:$A$271=AA$2)*('Old CCC projections data'!$D$2:$D$271=AA$3)*('Old CCC projections data'!$F$2:$BN$271))*Model!$B$47</f>
        <v>640.04097560146204</v>
      </c>
      <c r="AB34" s="18" cm="1">
        <f t="array" ref="AB34">SUMPRODUCT(('Old CCC projections data'!$F$1:$BN$1=$B34)*('Old CCC projections data'!$A$2:$A$271=AB$2)*('Old CCC projections data'!$D$2:$D$271=AB$3)*('Old CCC projections data'!$F$2:$BN$271))*Model!$B$47</f>
        <v>768.04917072175419</v>
      </c>
      <c r="AC34" s="18" cm="1">
        <f t="array" ref="AC34">SUMPRODUCT(('Old CCC projections data'!$F$1:$BN$1=$B34)*('Old CCC projections data'!$A$2:$A$271=AC$2)*('Old CCC projections data'!$D$2:$D$271=AC$3)*('Old CCC projections data'!$F$2:$BN$271))*Model!$B$47</f>
        <v>128.00819512029238</v>
      </c>
      <c r="AD34" s="18" cm="1">
        <f t="array" ref="AD34">SUMPRODUCT(('Old CCC projections data'!$F$1:$BN$1=$B34)*('Old CCC projections data'!$A$2:$A$271=AD$2)*('Old CCC projections data'!$D$2:$D$271=AD$3)*('Old CCC projections data'!$F$2:$BN$271))*Model!$B$47</f>
        <v>140.80901463232158</v>
      </c>
      <c r="AE34" s="18" cm="1">
        <f t="array" ref="AE34">SUMPRODUCT(('Old CCC projections data'!$F$1:$BN$1=$B34)*('Old CCC projections data'!$A$2:$A$271=AE$2)*('Old CCC projections data'!$D$2:$D$271=AE$3)*('Old CCC projections data'!$F$2:$BN$271))*Model!$B$47</f>
        <v>299.66502015556688</v>
      </c>
      <c r="AF34" s="18" cm="1">
        <f t="array" ref="AF34">SUMPRODUCT(('Old CCC projections data'!$F$1:$BN$1=$B34)*('Old CCC projections data'!$A$2:$A$271=AF$2)*('Old CCC projections data'!$D$2:$D$271=AF$3)*('Old CCC projections data'!$F$2:$BN$271))*Model!$B$47</f>
        <v>1.1871345029239767E-2</v>
      </c>
      <c r="AG34" s="18" cm="1">
        <f t="array" ref="AG34">SUMPRODUCT(('Old CCC projections data'!$F$1:$BN$1=$B34)*('Old CCC projections data'!$A$2:$A$271=AG$2)*('Old CCC projections data'!$D$2:$D$271=AG$3)*('Old CCC projections data'!$F$2:$BN$271))*Model!$B$47</f>
        <v>256.01639024058477</v>
      </c>
      <c r="AH34" s="18" cm="1">
        <f t="array" ref="AH34">SUMPRODUCT(('Old CCC projections data'!$F$1:$BN$1=$B34)*('Old CCC projections data'!$A$2:$A$271=AH$2)*('Old CCC projections data'!$D$2:$D$271=AH$3)*('Old CCC projections data'!$F$2:$BN$271))*Model!$B$47</f>
        <v>384.0245853608771</v>
      </c>
      <c r="AI34" s="18" cm="1">
        <f t="array" ref="AI34">SUMPRODUCT(('Old CCC projections data'!$F$1:$BN$1=$B34)*('Old CCC projections data'!$A$2:$A$271=AI$2)*('Old CCC projections data'!$D$2:$D$271=AI$3)*('Old CCC projections data'!$F$2:$BN$271))*Model!$B$47</f>
        <v>512.03278048116954</v>
      </c>
      <c r="AJ34" s="18" cm="1">
        <f t="array" ref="AJ34">SUMPRODUCT(('Old CCC projections data'!$F$1:$BN$1=$B34)*('Old CCC projections data'!$A$2:$A$271=AJ$2)*('Old CCC projections data'!$D$2:$D$271=AJ$3)*('Old CCC projections data'!$F$2:$BN$271))*Model!$B$47</f>
        <v>640.04097560146204</v>
      </c>
      <c r="AK34" s="18" cm="1">
        <f t="array" ref="AK34">SUMPRODUCT(('Old CCC projections data'!$F$1:$BN$1=$B34)*('Old CCC projections data'!$A$2:$A$271=AK$2)*('Old CCC projections data'!$D$2:$D$271=AK$3)*('Old CCC projections data'!$F$2:$BN$271))*Model!$B$47</f>
        <v>691.24425364957904</v>
      </c>
      <c r="AL34" s="18" cm="1">
        <f t="array" ref="AL34">SUMPRODUCT(('Old CCC projections data'!$F$1:$BN$1=$B34)*('Old CCC projections data'!$A$2:$A$271=AL$2)*('Old CCC projections data'!$D$2:$D$271=AL$3)*('Old CCC projections data'!$F$2:$BN$271))*Model!$B$47</f>
        <v>768.04917072175419</v>
      </c>
      <c r="AM34" s="18" cm="1">
        <f t="array" ref="AM34">SUMPRODUCT(('Old CCC projections data'!$F$1:$BN$1=$B34)*('Old CCC projections data'!$A$2:$A$271=AM$2)*('Old CCC projections data'!$D$2:$D$271=AM$3)*('Old CCC projections data'!$F$2:$BN$271))*Model!$B$47</f>
        <v>128.00819512029238</v>
      </c>
      <c r="AN34" s="18" cm="1">
        <f t="array" ref="AN34">SUMPRODUCT(('Old CCC projections data'!$F$1:$BN$1=$B34)*('Old CCC projections data'!$A$2:$A$271=AN$2)*('Old CCC projections data'!$D$2:$D$271=AN$3)*('Old CCC projections data'!$F$2:$BN$271))*Model!$B$47</f>
        <v>299.66502015556688</v>
      </c>
      <c r="AO34" s="18" cm="1">
        <f t="array" ref="AO34">SUMPRODUCT(('Old CCC projections data'!$F$1:$BN$1=$B34)*('Old CCC projections data'!$A$2:$A$271=AO$2)*('Old CCC projections data'!$D$2:$D$271=AO$3)*('Old CCC projections data'!$F$2:$BN$271))*Model!$B$47</f>
        <v>1.1871345029239767E-2</v>
      </c>
      <c r="AP34" s="18" cm="1">
        <f t="array" ref="AP34">SUMPRODUCT(('Old CCC projections data'!$F$1:$BN$1=$B34)*('Old CCC projections data'!$A$2:$A$271=AP$2)*('Old CCC projections data'!$D$2:$D$271=AP$3)*('Old CCC projections data'!$F$2:$BN$271))*Model!$B$47</f>
        <v>256.01639024058477</v>
      </c>
      <c r="AQ34" s="18" cm="1">
        <f t="array" ref="AQ34">SUMPRODUCT(('Old CCC projections data'!$F$1:$BN$1=$B34)*('Old CCC projections data'!$A$2:$A$271=AQ$2)*('Old CCC projections data'!$D$2:$D$271=AQ$3)*('Old CCC projections data'!$F$2:$BN$271))*Model!$B$47</f>
        <v>384.0245853608771</v>
      </c>
      <c r="AR34" s="18" cm="1">
        <f t="array" ref="AR34">SUMPRODUCT(('Old CCC projections data'!$F$1:$BN$1=$B34)*('Old CCC projections data'!$A$2:$A$271=AR$2)*('Old CCC projections data'!$D$2:$D$271=AR$3)*('Old CCC projections data'!$F$2:$BN$271))*Model!$B$47</f>
        <v>512.03278048116954</v>
      </c>
      <c r="AS34" s="18" cm="1">
        <f t="array" ref="AS34">SUMPRODUCT(('Old CCC projections data'!$F$1:$BN$1=$B34)*('Old CCC projections data'!$A$2:$A$271=AS$2)*('Old CCC projections data'!$D$2:$D$271=AS$3)*('Old CCC projections data'!$F$2:$BN$271))*Model!$B$47</f>
        <v>640.04097560146204</v>
      </c>
      <c r="AT34" s="18" cm="1">
        <f t="array" ref="AT34">SUMPRODUCT(('Old CCC projections data'!$F$1:$BN$1=$B34)*('Old CCC projections data'!$A$2:$A$271=AT$2)*('Old CCC projections data'!$D$2:$D$271=AT$3)*('Old CCC projections data'!$F$2:$BN$271))*Model!$B$47</f>
        <v>768.04917072175419</v>
      </c>
      <c r="AU34" s="18" cm="1">
        <f t="array" ref="AU34">SUMPRODUCT(('Old CCC projections data'!$F$1:$BN$1=$B34)*('Old CCC projections data'!$A$2:$A$271=AU$2)*('Old CCC projections data'!$D$2:$D$271=AU$3)*('Old CCC projections data'!$F$2:$BN$271))*Model!$B$47</f>
        <v>128.00819512029238</v>
      </c>
      <c r="AV34" s="18" cm="1">
        <f t="array" ref="AV34">SUMPRODUCT(('Old CCC projections data'!$F$1:$BN$1=$B34)*('Old CCC projections data'!$A$2:$A$271=AV$2)*('Old CCC projections data'!$D$2:$D$271=AV$3)*('Old CCC projections data'!$F$2:$BN$271))*Model!$B$47</f>
        <v>140.80901463232158</v>
      </c>
      <c r="AW34" s="18" cm="1">
        <f t="array" ref="AW34">SUMPRODUCT(('Old CCC projections data'!$F$1:$BN$1=$B34)*('Old CCC projections data'!$A$2:$A$271=AW$2)*('Old CCC projections data'!$D$2:$D$271=AW$3)*('Old CCC projections data'!$F$2:$BN$271))*Model!$B$47</f>
        <v>299.66502015556688</v>
      </c>
      <c r="AX34" s="18" cm="1">
        <f t="array" ref="AX34">SUMPRODUCT(('Old CCC projections data'!$F$1:$BN$1=$B34)*('Old CCC projections data'!$A$2:$A$271=AX$2)*('Old CCC projections data'!$D$2:$D$271=AX$3)*('Old CCC projections data'!$F$2:$BN$271))*Model!$B$47</f>
        <v>1.1871345029239767E-2</v>
      </c>
      <c r="AY34" s="18">
        <v>50</v>
      </c>
      <c r="AZ34" s="18">
        <v>35</v>
      </c>
      <c r="BA34" s="18">
        <v>70</v>
      </c>
      <c r="BB34" s="18"/>
      <c r="BC34" s="20" cm="1">
        <f t="array" ref="BC34">SUMPRODUCT(('Old CCC projections data'!$F$1:$BN$1=$B34)*('Old CCC projections data'!$A$2:$A$271=BC$2)*('Old CCC projections data'!$D$2:$D$271=BC$3)*('Old CCC projections data'!$F$2:$BN$271))</f>
        <v>24725.371579114108</v>
      </c>
      <c r="BD34" s="20" cm="1">
        <f t="array" ref="BD34">SUMPRODUCT(('Old CCC projections data'!$F$1:$BN$1=$B34)*('Old CCC projections data'!$A$2:$A$271=BD$2)*('Old CCC projections data'!$D$2:$D$271=BD$3)*('Old CCC projections data'!$F$2:$BN$271))</f>
        <v>25351.848593558083</v>
      </c>
      <c r="BE34" s="20"/>
      <c r="BF34" s="20"/>
      <c r="BG34" s="20" cm="1">
        <f t="array" ref="BG34">SUMPRODUCT(('Old CCC projections data'!$F$1:$BN$1=$B34)*('Old CCC projections data'!$A$2:$A$271=BG$2)*('Old CCC projections data'!$D$2:$D$271=BG$3)*('Old CCC projections data'!$F$2:$BN$271))</f>
        <v>10145.699807990819</v>
      </c>
      <c r="BH34" s="20" cm="1">
        <f t="array" ref="BH34">SUMPRODUCT(('Old CCC projections data'!$F$1:$BN$1=$B34)*('Old CCC projections data'!$A$2:$A$271=BH$2)*('Old CCC projections data'!$D$2:$D$271=BH$3)*('Old CCC projections data'!$F$2:$BN$271))</f>
        <v>9054.8832303973377</v>
      </c>
      <c r="BI34" s="20" cm="1">
        <f t="array" ref="BI34">SUMPRODUCT(('Old CCC projections data'!$F$1:$BN$1=$B34)*('Old CCC projections data'!$A$2:$A$271=BI$2)*('Old CCC projections data'!$D$2:$D$271=BI$3)*('Old CCC projections data'!$F$2:$BN$271))</f>
        <v>8499.2177929467816</v>
      </c>
      <c r="BJ34" s="20" cm="1">
        <f t="array" ref="BJ34">SUMPRODUCT(('Old CCC projections data'!$F$1:$BN$1=$B34)*('Old CCC projections data'!$A$2:$A$271=BJ$2)*('Old CCC projections data'!$D$2:$D$271=BJ$3)*('Old CCC projections data'!$F$2:$BN$271))</f>
        <v>8306.6681406908319</v>
      </c>
      <c r="BK34" s="20" cm="1">
        <f t="array" ref="BK34">SUMPRODUCT(('Old CCC projections data'!$F$1:$BN$1=$B34)*('Old CCC projections data'!$A$2:$A$271=BK$2)*('Old CCC projections data'!$D$2:$D$271=BK$3)*('Old CCC projections data'!$F$2:$BN$271))</f>
        <v>8149.6310404626247</v>
      </c>
      <c r="BL34" s="20" cm="1">
        <f t="array" ref="BL34">SUMPRODUCT(('Old CCC projections data'!$F$1:$BN$1=$B34)*('Old CCC projections data'!$A$2:$A$271=BL$2)*('Old CCC projections data'!$D$2:$D$271=BL$3)*('Old CCC projections data'!$F$2:$BN$271))</f>
        <v>12130.728982678997</v>
      </c>
      <c r="BM34" s="20" cm="1">
        <f t="array" ref="BM34">SUMPRODUCT(('Old CCC projections data'!$F$1:$BN$1=$B34)*('Old CCC projections data'!$A$2:$A$271=BM$2)*('Old CCC projections data'!$D$2:$D$271=BM$3)*('Old CCC projections data'!$F$2:$BN$271))</f>
        <v>9798.9332727505025</v>
      </c>
      <c r="BN34" s="20" cm="1">
        <f t="array" ref="BN34">SUMPRODUCT(('Old CCC projections data'!$F$1:$BN$1=$B34)*('Old CCC projections data'!$A$2:$A$271=BN$2)*('Old CCC projections data'!$D$2:$D$271=BN$3)*('Old CCC projections data'!$F$2:$BN$271))</f>
        <v>15012.992887840681</v>
      </c>
      <c r="BO34" s="20" cm="1">
        <f t="array" ref="BO34">SUMPRODUCT(('Old CCC projections data'!$F$1:$BN$1=$B34)*('Old CCC projections data'!$A$2:$A$271=BO$2)*('Old CCC projections data'!$D$2:$D$271=BO$3)*('Old CCC projections data'!$F$2:$BN$271))</f>
        <v>12448.399856318827</v>
      </c>
      <c r="BP34" s="20" cm="1">
        <f t="array" ref="BP34">SUMPRODUCT(('Old CCC projections data'!$F$1:$BN$1=$B34)*('Old CCC projections data'!$A$2:$A$271=BP$2)*('Old CCC projections data'!$D$2:$D$271=BP$3)*('Old CCC projections data'!$F$2:$BN$271))</f>
        <v>10904.938232526556</v>
      </c>
      <c r="BQ34" s="20" cm="1">
        <f t="array" ref="BQ34">SUMPRODUCT(('Old CCC projections data'!$F$1:$BN$1=$B34)*('Old CCC projections data'!$A$2:$A$271=BQ$2)*('Old CCC projections data'!$D$2:$D$271=BQ$3)*('Old CCC projections data'!$F$2:$BN$271))</f>
        <v>9906.8651088391962</v>
      </c>
      <c r="BR34" s="20" cm="1">
        <f t="array" ref="BR34">SUMPRODUCT(('Old CCC projections data'!$F$1:$BN$1=$B34)*('Old CCC projections data'!$A$2:$A$271=BR$2)*('Old CCC projections data'!$D$2:$D$271=BR$3)*('Old CCC projections data'!$F$2:$BN$271))</f>
        <v>9613.9841581399269</v>
      </c>
      <c r="BS34" s="20" cm="1">
        <f t="array" ref="BS34">SUMPRODUCT(('Old CCC projections data'!$F$1:$BN$1=$B34)*('Old CCC projections data'!$A$2:$A$271=BS$2)*('Old CCC projections data'!$D$2:$D$271=BS$3)*('Old CCC projections data'!$F$2:$BN$271))</f>
        <v>9397.1072908727874</v>
      </c>
      <c r="BT34" s="20" cm="1">
        <f t="array" ref="BT34">SUMPRODUCT(('Old CCC projections data'!$F$1:$BN$1=$B34)*('Old CCC projections data'!$A$2:$A$271=BT$2)*('Old CCC projections data'!$D$2:$D$271=BT$3)*('Old CCC projections data'!$F$2:$BN$271))</f>
        <v>14816.485006632849</v>
      </c>
      <c r="BU34" s="20" cm="1">
        <f t="array" ref="BU34">SUMPRODUCT(('Old CCC projections data'!$F$1:$BN$1=$B34)*('Old CCC projections data'!$A$2:$A$271=BU$2)*('Old CCC projections data'!$D$2:$D$271=BU$3)*('Old CCC projections data'!$F$2:$BN$271))</f>
        <v>11513.054869223552</v>
      </c>
      <c r="BV34" s="20" cm="1">
        <f t="array" ref="BV34">SUMPRODUCT(('Old CCC projections data'!$F$1:$BN$1=$B34)*('Old CCC projections data'!$A$2:$A$271=BV$2)*('Old CCC projections data'!$D$2:$D$271=BV$3)*('Old CCC projections data'!$F$2:$BN$271))</f>
        <v>16701.504514689626</v>
      </c>
      <c r="BW34" s="20" cm="1">
        <f t="array" ref="BW34">SUMPRODUCT(('Old CCC projections data'!$F$1:$BN$1=$B34)*('Old CCC projections data'!$A$2:$A$271=BW$2)*('Old CCC projections data'!$D$2:$D$271=BW$3)*('Old CCC projections data'!$F$2:$BN$271))</f>
        <v>8543.4860553891995</v>
      </c>
      <c r="BX34" s="20" cm="1">
        <f t="array" ref="BX34">SUMPRODUCT(('Old CCC projections data'!$F$1:$BN$1=$B34)*('Old CCC projections data'!$A$2:$A$271=BX$2)*('Old CCC projections data'!$D$2:$D$271=BX$3)*('Old CCC projections data'!$F$2:$BN$271))</f>
        <v>8269.3544598222743</v>
      </c>
      <c r="BY34" s="20" cm="1">
        <f t="array" ref="BY34">SUMPRODUCT(('Old CCC projections data'!$F$1:$BN$1=$B34)*('Old CCC projections data'!$A$2:$A$271=BY$2)*('Old CCC projections data'!$D$2:$D$271=BY$3)*('Old CCC projections data'!$F$2:$BN$271))</f>
        <v>8163.1215697160342</v>
      </c>
      <c r="BZ34" s="20" cm="1">
        <f t="array" ref="BZ34">SUMPRODUCT(('Old CCC projections data'!$F$1:$BN$1=$B34)*('Old CCC projections data'!$A$2:$A$271=BZ$2)*('Old CCC projections data'!$D$2:$D$271=BZ$3)*('Old CCC projections data'!$F$2:$BN$271))</f>
        <v>8099.9066978169913</v>
      </c>
      <c r="CA34" s="20" cm="1">
        <f t="array" ref="CA34">SUMPRODUCT(('Old CCC projections data'!$F$1:$BN$1=$B34)*('Old CCC projections data'!$A$2:$A$271=CA$2)*('Old CCC projections data'!$D$2:$D$271=CA$3)*('Old CCC projections data'!$F$2:$BN$271))</f>
        <v>8039.248217640994</v>
      </c>
      <c r="CB34" s="20" cm="1">
        <f t="array" ref="CB34">SUMPRODUCT(('Old CCC projections data'!$F$1:$BN$1=$B34)*('Old CCC projections data'!$A$2:$A$271=CB$2)*('Old CCC projections data'!$D$2:$D$271=CB$3)*('Old CCC projections data'!$F$2:$BN$271))</f>
        <v>9820.2649374512075</v>
      </c>
      <c r="CC34" s="20" cm="1">
        <f t="array" ref="CC34">SUMPRODUCT(('Old CCC projections data'!$F$1:$BN$1=$B34)*('Old CCC projections data'!$A$2:$A$271=CC$2)*('Old CCC projections data'!$D$2:$D$271=CC$3)*('Old CCC projections data'!$F$2:$BN$271))</f>
        <v>9647.0107848356165</v>
      </c>
      <c r="CD34" s="20" cm="1">
        <f t="array" ref="CD34">SUMPRODUCT(('Old CCC projections data'!$F$1:$BN$1=$B34)*('Old CCC projections data'!$A$2:$A$271=CD$2)*('Old CCC projections data'!$D$2:$D$271=CD$3)*('Old CCC projections data'!$F$2:$BN$271))</f>
        <v>8387.6881982783125</v>
      </c>
      <c r="CE34" s="20" cm="1">
        <f t="array" ref="CE34">SUMPRODUCT(('Old CCC projections data'!$F$1:$BN$1=$B34)*('Old CCC projections data'!$A$2:$A$271=CE$2)*('Old CCC projections data'!$D$2:$D$271=CE$3)*('Old CCC projections data'!$F$2:$BN$271))</f>
        <v>12662.448664970188</v>
      </c>
      <c r="CF34" s="20" cm="1">
        <f t="array" ref="CF34">SUMPRODUCT(('Old CCC projections data'!$F$1:$BN$1=$B34)*('Old CCC projections data'!$A$2:$A$271=CF$2)*('Old CCC projections data'!$D$2:$D$271=CF$3)*('Old CCC projections data'!$F$2:$BN$271))</f>
        <v>14409.102244835845</v>
      </c>
      <c r="CG34" s="20" cm="1">
        <f t="array" ref="CG34">SUMPRODUCT(('Old CCC projections data'!$F$1:$BN$1=$B34)*('Old CCC projections data'!$A$2:$A$271=CG$2)*('Old CCC projections data'!$D$2:$D$271=CG$3)*('Old CCC projections data'!$F$2:$BN$271))</f>
        <v>13336.527096478656</v>
      </c>
      <c r="CH34" s="20" cm="1">
        <f t="array" ref="CH34">SUMPRODUCT(('Old CCC projections data'!$F$1:$BN$1=$B34)*('Old CCC projections data'!$A$2:$A$271=CH$2)*('Old CCC projections data'!$D$2:$D$271=CH$3)*('Old CCC projections data'!$F$2:$BN$271))</f>
        <v>12671.078815847381</v>
      </c>
      <c r="CI34" s="20" cm="1">
        <f t="array" ref="CI34">SUMPRODUCT(('Old CCC projections data'!$F$1:$BN$1=$B34)*('Old CCC projections data'!$A$2:$A$271=CI$2)*('Old CCC projections data'!$D$2:$D$271=CI$3)*('Old CCC projections data'!$F$2:$BN$271))</f>
        <v>12230.149344027854</v>
      </c>
      <c r="CJ34" s="20" cm="1">
        <f t="array" ref="CJ34">SUMPRODUCT(('Old CCC projections data'!$F$1:$BN$1=$B34)*('Old CCC projections data'!$A$2:$A$271=CJ$2)*('Old CCC projections data'!$D$2:$D$271=CJ$3)*('Old CCC projections data'!$F$2:$BN$271))</f>
        <v>12197.859065270188</v>
      </c>
      <c r="CK34" s="20" cm="1">
        <f t="array" ref="CK34">SUMPRODUCT(('Old CCC projections data'!$F$1:$BN$1=$B34)*('Old CCC projections data'!$A$2:$A$271=CK$2)*('Old CCC projections data'!$D$2:$D$271=CK$3)*('Old CCC projections data'!$F$2:$BN$271))</f>
        <v>12154.738727196091</v>
      </c>
      <c r="CL34" s="20" cm="1">
        <f t="array" ref="CL34">SUMPRODUCT(('Old CCC projections data'!$F$1:$BN$1=$B34)*('Old CCC projections data'!$A$2:$A$271=CL$2)*('Old CCC projections data'!$D$2:$D$271=CL$3)*('Old CCC projections data'!$F$2:$BN$271))</f>
        <v>16956.569612704607</v>
      </c>
      <c r="CM34" s="20" cm="1">
        <f t="array" ref="CM34">SUMPRODUCT(('Old CCC projections data'!$F$1:$BN$1=$B34)*('Old CCC projections data'!$A$2:$A$271=CM$2)*('Old CCC projections data'!$D$2:$D$271=CM$3)*('Old CCC projections data'!$F$2:$BN$271))</f>
        <v>13864.27842606527</v>
      </c>
      <c r="CN34" s="20" cm="1">
        <f t="array" ref="CN34">SUMPRODUCT(('Old CCC projections data'!$F$1:$BN$1=$B34)*('Old CCC projections data'!$A$2:$A$271=CN$2)*('Old CCC projections data'!$D$2:$D$271=CN$3)*('Old CCC projections data'!$F$2:$BN$271))</f>
        <v>19289.40476384123</v>
      </c>
      <c r="CO34" s="20" cm="1">
        <f t="array" ref="CO34">SUMPRODUCT(('Old CCC projections data'!$F$1:$BN$1=$B34)*('Old CCC projections data'!$A$2:$A$271=CO$2)*('Old CCC projections data'!$D$2:$D$271=CO$3)*('Old CCC projections data'!$F$2:$BN$271))</f>
        <v>7088.4373809059171</v>
      </c>
      <c r="CP34" s="20" cm="1">
        <f t="array" ref="CP34">SUMPRODUCT(('Old CCC projections data'!$F$1:$BN$1=$B34)*('Old CCC projections data'!$A$2:$A$271=CP$2)*('Old CCC projections data'!$D$2:$D$271=CP$3)*('Old CCC projections data'!$F$2:$BN$271))</f>
        <v>6009.3287326860327</v>
      </c>
      <c r="CQ34" s="20" cm="1">
        <f t="array" ref="CQ34">SUMPRODUCT(('Old CCC projections data'!$F$1:$BN$1=$B34)*('Old CCC projections data'!$A$2:$A$271=CQ$2)*('Old CCC projections data'!$D$2:$D$271=CQ$3)*('Old CCC projections data'!$F$2:$BN$271))</f>
        <v>5400.4864434061619</v>
      </c>
      <c r="CR34" s="20" cm="1">
        <f t="array" ref="CR34">SUMPRODUCT(('Old CCC projections data'!$F$1:$BN$1=$B34)*('Old CCC projections data'!$A$2:$A$271=CR$2)*('Old CCC projections data'!$D$2:$D$271=CR$3)*('Old CCC projections data'!$F$2:$BN$271))</f>
        <v>5175.8640191128379</v>
      </c>
      <c r="CS34" s="20" cm="1">
        <f t="array" ref="CS34">SUMPRODUCT(('Old CCC projections data'!$F$1:$BN$1=$B34)*('Old CCC projections data'!$A$2:$A$271=CS$2)*('Old CCC projections data'!$D$2:$D$271=CS$3)*('Old CCC projections data'!$F$2:$BN$271))</f>
        <v>5047.2851965811433</v>
      </c>
      <c r="CT34" s="20" cm="1">
        <f t="array" ref="CT34">SUMPRODUCT(('Old CCC projections data'!$F$1:$BN$1=$B34)*('Old CCC projections data'!$A$2:$A$271=CT$2)*('Old CCC projections data'!$D$2:$D$271=CT$3)*('Old CCC projections data'!$F$2:$BN$271))</f>
        <v>8852.977662783831</v>
      </c>
      <c r="CU34" s="20" cm="1">
        <f t="array" ref="CU34">SUMPRODUCT(('Old CCC projections data'!$F$1:$BN$1=$B34)*('Old CCC projections data'!$A$2:$A$271=CU$2)*('Old CCC projections data'!$D$2:$D$271=CU$3)*('Old CCC projections data'!$F$2:$BN$271))</f>
        <v>8395.8133532387419</v>
      </c>
      <c r="CV34" s="20" cm="1">
        <f t="array" ref="CV34">SUMPRODUCT(('Old CCC projections data'!$F$1:$BN$1=$B34)*('Old CCC projections data'!$A$2:$A$271=CV$2)*('Old CCC projections data'!$D$2:$D$271=CV$3)*('Old CCC projections data'!$F$2:$BN$271))</f>
        <v>6750.3009942887484</v>
      </c>
      <c r="CW34" s="20" cm="1">
        <f t="array" ref="CW34">SUMPRODUCT(('Old CCC projections data'!$F$1:$BN$1=$B34)*('Old CCC projections data'!$A$2:$A$271=CW$2)*('Old CCC projections data'!$D$2:$D$271=CW$3)*('Old CCC projections data'!$F$2:$BN$271))</f>
        <v>11510.461387168461</v>
      </c>
      <c r="CX34" s="20">
        <f t="shared" si="19"/>
        <v>5214.0596150901783</v>
      </c>
      <c r="CY34" s="20" t="str">
        <f>CY33</f>
        <v>Demo path - C price $150 3%</v>
      </c>
      <c r="CZ34" s="3">
        <f t="shared" ref="CZ34:CZ97" si="34">CZ6</f>
        <v>2024</v>
      </c>
      <c r="DA34" s="18">
        <f t="shared" si="31"/>
        <v>0</v>
      </c>
      <c r="DB34" s="18">
        <f ca="1">(I9+IF($DB$3&gt;0,NPV($DB$2,I10:OFFSET(I9,$DB$3,0)),0))/($DB$3+1)</f>
        <v>183.41228070175438</v>
      </c>
      <c r="DC34" s="18">
        <f t="shared" ca="1" si="20"/>
        <v>33.412280701754383</v>
      </c>
      <c r="DD34" s="18">
        <f>DD33</f>
        <v>150</v>
      </c>
      <c r="DE34" s="20">
        <f t="shared" ref="DE34:DE97" si="35">DE6</f>
        <v>36520.25063854071</v>
      </c>
      <c r="DF34" s="20" cm="1">
        <f t="array" ref="DF34">SUMPRODUCT(($BG$2:$BM$2=CY34)*($B$5:$B$35=CZ34)*($BG$5:$BM$35))</f>
        <v>35161.34183969038</v>
      </c>
      <c r="DG34" s="20">
        <f t="shared" si="16"/>
        <v>1358.9087988503306</v>
      </c>
      <c r="DH34" s="20" cm="1">
        <f t="array" ref="DH34">IF(CZ34=2023,SUMPRODUCT(($B$5:$B$35=CZ34-1)*($BN$5:$BN$35))-SUMPRODUCT(($BG$2:$BM$2=CY34)*($B$5:$B$35=CZ34-1)*($BG$5:$BM$35)),DG33)</f>
        <v>727.20630344969686</v>
      </c>
      <c r="DI34" s="18">
        <f t="shared" ca="1" si="17"/>
        <v>183.41228070175438</v>
      </c>
      <c r="DJ34" s="89">
        <f t="shared" si="22"/>
        <v>7.2144373028854956</v>
      </c>
      <c r="DK34" s="89">
        <f t="shared" si="23"/>
        <v>6.5892102109358452</v>
      </c>
      <c r="DL34" s="89">
        <f t="shared" ca="1" si="24"/>
        <v>5.2117365188769273</v>
      </c>
      <c r="DM34" s="20">
        <f t="shared" ca="1" si="25"/>
        <v>685.87861865529203</v>
      </c>
      <c r="DN34" s="20">
        <f t="shared" ca="1" si="26"/>
        <v>1400.9667067033647</v>
      </c>
      <c r="DO34" s="20">
        <f t="shared" ca="1" si="27"/>
        <v>1043.4226626793284</v>
      </c>
      <c r="DP34" s="113"/>
      <c r="DR34" s="3"/>
      <c r="DS34" s="14" t="s">
        <v>170</v>
      </c>
      <c r="DT34" s="14">
        <v>1.0533371517457484</v>
      </c>
      <c r="DU34" s="14">
        <v>0.26791145051945703</v>
      </c>
      <c r="DV34" s="14">
        <v>3.931661560950154</v>
      </c>
      <c r="DW34" s="14">
        <v>1.1753144487094975E-4</v>
      </c>
      <c r="DX34" s="14">
        <v>0.52492691157783777</v>
      </c>
      <c r="DY34" s="14">
        <v>1.5817473919136589</v>
      </c>
      <c r="DZ34" s="14">
        <v>0.52492691157783777</v>
      </c>
      <c r="EA34" s="14">
        <v>1.5817473919136589</v>
      </c>
    </row>
    <row r="35" spans="1:137" x14ac:dyDescent="0.25">
      <c r="A35">
        <v>0.5</v>
      </c>
      <c r="B35">
        <f t="shared" si="28"/>
        <v>2050</v>
      </c>
      <c r="C35" s="190">
        <f>IF(C34*(1+A35*Model!$B$19*IF(Model!$B$28=0,1,((Model!$B$28-B35)/(Model!$B$28-$B$9))))&gt;Model!$B$44,C34*(1+A35*Model!$B$19*IF(Model!$B$28=0,1,((Model!$B$28-B35)/(Model!$B$28-$B$9)))),Model!$B$44)</f>
        <v>50.302560639235743</v>
      </c>
      <c r="D35" s="18" cm="1">
        <f t="array" ref="D35">SUMPRODUCT(('Old CCC projections data'!$F$1:$BN$1=$B35)*('Old CCC projections data'!$A$2:$A$271=D$2)*('Old CCC projections data'!$D$2:$D$271=D$3)*('Old CCC projections data'!$F$2:$BN$271))*Model!$B$47</f>
        <v>41.549707602339183</v>
      </c>
      <c r="E35" s="18" cm="1">
        <f t="array" ref="E35">SUMPRODUCT(('Old CCC projections data'!$F$1:$BN$1=$B35)*('Old CCC projections data'!$A$2:$A$271=E$2)*('Old CCC projections data'!$D$2:$D$271=E$3)*('Old CCC projections data'!$F$2:$BN$271))*Model!$B$47</f>
        <v>1.1871345029239767E-2</v>
      </c>
      <c r="F35" s="18"/>
      <c r="G35" s="18"/>
      <c r="H35" s="18" cm="1">
        <f t="array" ref="H35">SUMPRODUCT(('Old CCC projections data'!$F$1:$BN$1=$B35)*('Old CCC projections data'!$A$2:$A$271=H$2)*('Old CCC projections data'!$D$2:$D$271=H$3)*('Old CCC projections data'!$F$2:$BN$271))*Model!$B$47</f>
        <v>263.6968819478023</v>
      </c>
      <c r="I35" s="18" cm="1">
        <f t="array" ref="I35">SUMPRODUCT(('Old CCC projections data'!$F$1:$BN$1=$B35)*('Old CCC projections data'!$A$2:$A$271=I$2)*('Old CCC projections data'!$D$2:$D$271=I$3)*('Old CCC projections data'!$F$2:$BN$271))*Model!$B$47</f>
        <v>395.54532292170342</v>
      </c>
      <c r="J35" s="18" cm="1">
        <f t="array" ref="J35">SUMPRODUCT(('Old CCC projections data'!$F$1:$BN$1=$B35)*('Old CCC projections data'!$A$2:$A$271=J$2)*('Old CCC projections data'!$D$2:$D$271=J$3)*('Old CCC projections data'!$F$2:$BN$271))*Model!$B$47</f>
        <v>527.39376389560459</v>
      </c>
      <c r="K35" s="18" cm="1">
        <f t="array" ref="K35">SUMPRODUCT(('Old CCC projections data'!$F$1:$BN$1=$B35)*('Old CCC projections data'!$A$2:$A$271=K$2)*('Old CCC projections data'!$D$2:$D$271=K$3)*('Old CCC projections data'!$F$2:$BN$271))*Model!$B$47</f>
        <v>659.24220486950583</v>
      </c>
      <c r="L35" s="18" cm="1">
        <f t="array" ref="L35">SUMPRODUCT(('Old CCC projections data'!$F$1:$BN$1=$B35)*('Old CCC projections data'!$A$2:$A$271=L$2)*('Old CCC projections data'!$D$2:$D$271=L$3)*('Old CCC projections data'!$F$2:$BN$271))*Model!$B$47</f>
        <v>791.09064584340683</v>
      </c>
      <c r="M35" s="18" cm="1">
        <f t="array" ref="M35">SUMPRODUCT(('Old CCC projections data'!$F$1:$BN$1=$B35)*('Old CCC projections data'!$A$2:$A$271=M$2)*('Old CCC projections data'!$D$2:$D$271=M$3)*('Old CCC projections data'!$F$2:$BN$271))*Model!$B$47</f>
        <v>131.84844097390115</v>
      </c>
      <c r="N35" s="189" cm="1">
        <f t="array" ref="N35">SUMPRODUCT(('Old CCC projections data'!$F$1:$BN$1=$B35)*('Old CCC projections data'!$A$2:$A$271=N$2)*('Old CCC projections data'!$D$2:$D$271=N$3)*('Old CCC projections data'!$F$2:$BN$271))*Model!$B$47</f>
        <v>308.65497076023394</v>
      </c>
      <c r="O35" s="18" cm="1">
        <f t="array" ref="O35">SUMPRODUCT(('Old CCC projections data'!$F$1:$BN$1=$B35)*('Old CCC projections data'!$A$2:$A$271=O$2)*('Old CCC projections data'!$D$2:$D$271=O$3)*('Old CCC projections data'!$F$2:$BN$271))*Model!$B$47</f>
        <v>1.1871345029239767E-2</v>
      </c>
      <c r="P35" s="18" cm="1">
        <f t="array" ref="P35">SUMPRODUCT(('Old CCC projections data'!$F$1:$BN$1=$B35)*('Old CCC projections data'!$A$2:$A$271=P$2)*('Old CCC projections data'!$D$2:$D$271=P$3)*('Old CCC projections data'!$F$2:$BN$271))*Model!$B$47</f>
        <v>263.6968819478023</v>
      </c>
      <c r="Q35" s="18" cm="1">
        <f t="array" ref="Q35">SUMPRODUCT(('Old CCC projections data'!$F$1:$BN$1=$B35)*('Old CCC projections data'!$A$2:$A$271=Q$2)*('Old CCC projections data'!$D$2:$D$271=Q$3)*('Old CCC projections data'!$F$2:$BN$271))*Model!$B$47</f>
        <v>395.54532292170342</v>
      </c>
      <c r="R35" s="18" cm="1">
        <f t="array" ref="R35">SUMPRODUCT(('Old CCC projections data'!$F$1:$BN$1=$B35)*('Old CCC projections data'!$A$2:$A$271=R$2)*('Old CCC projections data'!$D$2:$D$271=R$3)*('Old CCC projections data'!$F$2:$BN$271))*Model!$B$47</f>
        <v>527.39376389560459</v>
      </c>
      <c r="S35" s="18" cm="1">
        <f t="array" ref="S35">SUMPRODUCT(('Old CCC projections data'!$F$1:$BN$1=$B35)*('Old CCC projections data'!$A$2:$A$271=S$2)*('Old CCC projections data'!$D$2:$D$271=S$3)*('Old CCC projections data'!$F$2:$BN$271))*Model!$B$47</f>
        <v>659.24220486950583</v>
      </c>
      <c r="T35" s="18" cm="1">
        <f t="array" ref="T35">SUMPRODUCT(('Old CCC projections data'!$F$1:$BN$1=$B35)*('Old CCC projections data'!$A$2:$A$271=T$2)*('Old CCC projections data'!$D$2:$D$271=T$3)*('Old CCC projections data'!$F$2:$BN$271))*Model!$B$47</f>
        <v>791.09064584340683</v>
      </c>
      <c r="U35" s="18" cm="1">
        <f t="array" ref="U35">SUMPRODUCT(('Old CCC projections data'!$F$1:$BN$1=$B35)*('Old CCC projections data'!$A$2:$A$271=U$2)*('Old CCC projections data'!$D$2:$D$271=U$3)*('Old CCC projections data'!$F$2:$BN$271))*Model!$B$47</f>
        <v>131.84844097390115</v>
      </c>
      <c r="V35" s="18" cm="1">
        <f t="array" ref="V35">SUMPRODUCT(('Old CCC projections data'!$F$1:$BN$1=$B35)*('Old CCC projections data'!$A$2:$A$271=V$2)*('Old CCC projections data'!$D$2:$D$271=V$3)*('Old CCC projections data'!$F$2:$BN$271))*Model!$B$47</f>
        <v>308.65497076023394</v>
      </c>
      <c r="W35" s="18" cm="1">
        <f t="array" ref="W35">SUMPRODUCT(('Old CCC projections data'!$F$1:$BN$1=$B35)*('Old CCC projections data'!$A$2:$A$271=W$2)*('Old CCC projections data'!$D$2:$D$271=W$3)*('Old CCC projections data'!$F$2:$BN$271))*Model!$B$47</f>
        <v>1.1871345029239767E-2</v>
      </c>
      <c r="X35" s="18" cm="1">
        <f t="array" ref="X35">SUMPRODUCT(('Old CCC projections data'!$F$1:$BN$1=$B35)*('Old CCC projections data'!$A$2:$A$271=X$2)*('Old CCC projections data'!$D$2:$D$271=X$3)*('Old CCC projections data'!$F$2:$BN$271))*Model!$B$47</f>
        <v>263.6968819478023</v>
      </c>
      <c r="Y35" s="18" cm="1">
        <f t="array" ref="Y35">SUMPRODUCT(('Old CCC projections data'!$F$1:$BN$1=$B35)*('Old CCC projections data'!$A$2:$A$271=Y$2)*('Old CCC projections data'!$D$2:$D$271=Y$3)*('Old CCC projections data'!$F$2:$BN$271))*Model!$B$47</f>
        <v>395.54532292170342</v>
      </c>
      <c r="Z35" s="18" cm="1">
        <f t="array" ref="Z35">SUMPRODUCT(('Old CCC projections data'!$F$1:$BN$1=$B35)*('Old CCC projections data'!$A$2:$A$271=Z$2)*('Old CCC projections data'!$D$2:$D$271=Z$3)*('Old CCC projections data'!$F$2:$BN$271))*Model!$B$47</f>
        <v>527.39376389560459</v>
      </c>
      <c r="AA35" s="18" cm="1">
        <f t="array" ref="AA35">SUMPRODUCT(('Old CCC projections data'!$F$1:$BN$1=$B35)*('Old CCC projections data'!$A$2:$A$271=AA$2)*('Old CCC projections data'!$D$2:$D$271=AA$3)*('Old CCC projections data'!$F$2:$BN$271))*Model!$B$47</f>
        <v>659.24220486950583</v>
      </c>
      <c r="AB35" s="18" cm="1">
        <f t="array" ref="AB35">SUMPRODUCT(('Old CCC projections data'!$F$1:$BN$1=$B35)*('Old CCC projections data'!$A$2:$A$271=AB$2)*('Old CCC projections data'!$D$2:$D$271=AB$3)*('Old CCC projections data'!$F$2:$BN$271))*Model!$B$47</f>
        <v>791.09064584340683</v>
      </c>
      <c r="AC35" s="18" cm="1">
        <f t="array" ref="AC35">SUMPRODUCT(('Old CCC projections data'!$F$1:$BN$1=$B35)*('Old CCC projections data'!$A$2:$A$271=AC$2)*('Old CCC projections data'!$D$2:$D$271=AC$3)*('Old CCC projections data'!$F$2:$BN$271))*Model!$B$47</f>
        <v>131.84844097390115</v>
      </c>
      <c r="AD35" s="18" cm="1">
        <f t="array" ref="AD35">SUMPRODUCT(('Old CCC projections data'!$F$1:$BN$1=$B35)*('Old CCC projections data'!$A$2:$A$271=AD$2)*('Old CCC projections data'!$D$2:$D$271=AD$3)*('Old CCC projections data'!$F$2:$BN$271))*Model!$B$47</f>
        <v>145.03328507129123</v>
      </c>
      <c r="AE35" s="18" cm="1">
        <f t="array" ref="AE35">SUMPRODUCT(('Old CCC projections data'!$F$1:$BN$1=$B35)*('Old CCC projections data'!$A$2:$A$271=AE$2)*('Old CCC projections data'!$D$2:$D$271=AE$3)*('Old CCC projections data'!$F$2:$BN$271))*Model!$B$47</f>
        <v>308.65497076023394</v>
      </c>
      <c r="AF35" s="18" cm="1">
        <f t="array" ref="AF35">SUMPRODUCT(('Old CCC projections data'!$F$1:$BN$1=$B35)*('Old CCC projections data'!$A$2:$A$271=AF$2)*('Old CCC projections data'!$D$2:$D$271=AF$3)*('Old CCC projections data'!$F$2:$BN$271))*Model!$B$47</f>
        <v>1.1871345029239767E-2</v>
      </c>
      <c r="AG35" s="18" cm="1">
        <f t="array" ref="AG35">SUMPRODUCT(('Old CCC projections data'!$F$1:$BN$1=$B35)*('Old CCC projections data'!$A$2:$A$271=AG$2)*('Old CCC projections data'!$D$2:$D$271=AG$3)*('Old CCC projections data'!$F$2:$BN$271))*Model!$B$47</f>
        <v>263.6968819478023</v>
      </c>
      <c r="AH35" s="18" cm="1">
        <f t="array" ref="AH35">SUMPRODUCT(('Old CCC projections data'!$F$1:$BN$1=$B35)*('Old CCC projections data'!$A$2:$A$271=AH$2)*('Old CCC projections data'!$D$2:$D$271=AH$3)*('Old CCC projections data'!$F$2:$BN$271))*Model!$B$47</f>
        <v>395.54532292170342</v>
      </c>
      <c r="AI35" s="18" cm="1">
        <f t="array" ref="AI35">SUMPRODUCT(('Old CCC projections data'!$F$1:$BN$1=$B35)*('Old CCC projections data'!$A$2:$A$271=AI$2)*('Old CCC projections data'!$D$2:$D$271=AI$3)*('Old CCC projections data'!$F$2:$BN$271))*Model!$B$47</f>
        <v>527.39376389560459</v>
      </c>
      <c r="AJ35" s="18" cm="1">
        <f t="array" ref="AJ35">SUMPRODUCT(('Old CCC projections data'!$F$1:$BN$1=$B35)*('Old CCC projections data'!$A$2:$A$271=AJ$2)*('Old CCC projections data'!$D$2:$D$271=AJ$3)*('Old CCC projections data'!$F$2:$BN$271))*Model!$B$47</f>
        <v>659.24220486950583</v>
      </c>
      <c r="AK35" s="18" cm="1">
        <f t="array" ref="AK35">SUMPRODUCT(('Old CCC projections data'!$F$1:$BN$1=$B35)*('Old CCC projections data'!$A$2:$A$271=AK$2)*('Old CCC projections data'!$D$2:$D$271=AK$3)*('Old CCC projections data'!$F$2:$BN$271))*Model!$B$47</f>
        <v>711.9815812590665</v>
      </c>
      <c r="AL35" s="18" cm="1">
        <f t="array" ref="AL35">SUMPRODUCT(('Old CCC projections data'!$F$1:$BN$1=$B35)*('Old CCC projections data'!$A$2:$A$271=AL$2)*('Old CCC projections data'!$D$2:$D$271=AL$3)*('Old CCC projections data'!$F$2:$BN$271))*Model!$B$47</f>
        <v>791.09064584340683</v>
      </c>
      <c r="AM35" s="18" cm="1">
        <f t="array" ref="AM35">SUMPRODUCT(('Old CCC projections data'!$F$1:$BN$1=$B35)*('Old CCC projections data'!$A$2:$A$271=AM$2)*('Old CCC projections data'!$D$2:$D$271=AM$3)*('Old CCC projections data'!$F$2:$BN$271))*Model!$B$47</f>
        <v>131.84844097390115</v>
      </c>
      <c r="AN35" s="18" cm="1">
        <f t="array" ref="AN35">SUMPRODUCT(('Old CCC projections data'!$F$1:$BN$1=$B35)*('Old CCC projections data'!$A$2:$A$271=AN$2)*('Old CCC projections data'!$D$2:$D$271=AN$3)*('Old CCC projections data'!$F$2:$BN$271))*Model!$B$47</f>
        <v>308.65497076023394</v>
      </c>
      <c r="AO35" s="18" cm="1">
        <f t="array" ref="AO35">SUMPRODUCT(('Old CCC projections data'!$F$1:$BN$1=$B35)*('Old CCC projections data'!$A$2:$A$271=AO$2)*('Old CCC projections data'!$D$2:$D$271=AO$3)*('Old CCC projections data'!$F$2:$BN$271))*Model!$B$47</f>
        <v>1.1871345029239767E-2</v>
      </c>
      <c r="AP35" s="18" cm="1">
        <f t="array" ref="AP35">SUMPRODUCT(('Old CCC projections data'!$F$1:$BN$1=$B35)*('Old CCC projections data'!$A$2:$A$271=AP$2)*('Old CCC projections data'!$D$2:$D$271=AP$3)*('Old CCC projections data'!$F$2:$BN$271))*Model!$B$47</f>
        <v>263.6968819478023</v>
      </c>
      <c r="AQ35" s="18" cm="1">
        <f t="array" ref="AQ35">SUMPRODUCT(('Old CCC projections data'!$F$1:$BN$1=$B35)*('Old CCC projections data'!$A$2:$A$271=AQ$2)*('Old CCC projections data'!$D$2:$D$271=AQ$3)*('Old CCC projections data'!$F$2:$BN$271))*Model!$B$47</f>
        <v>395.54532292170342</v>
      </c>
      <c r="AR35" s="18" cm="1">
        <f t="array" ref="AR35">SUMPRODUCT(('Old CCC projections data'!$F$1:$BN$1=$B35)*('Old CCC projections data'!$A$2:$A$271=AR$2)*('Old CCC projections data'!$D$2:$D$271=AR$3)*('Old CCC projections data'!$F$2:$BN$271))*Model!$B$47</f>
        <v>527.39376389560459</v>
      </c>
      <c r="AS35" s="18" cm="1">
        <f t="array" ref="AS35">SUMPRODUCT(('Old CCC projections data'!$F$1:$BN$1=$B35)*('Old CCC projections data'!$A$2:$A$271=AS$2)*('Old CCC projections data'!$D$2:$D$271=AS$3)*('Old CCC projections data'!$F$2:$BN$271))*Model!$B$47</f>
        <v>659.24220486950583</v>
      </c>
      <c r="AT35" s="18" cm="1">
        <f t="array" ref="AT35">SUMPRODUCT(('Old CCC projections data'!$F$1:$BN$1=$B35)*('Old CCC projections data'!$A$2:$A$271=AT$2)*('Old CCC projections data'!$D$2:$D$271=AT$3)*('Old CCC projections data'!$F$2:$BN$271))*Model!$B$47</f>
        <v>791.09064584340683</v>
      </c>
      <c r="AU35" s="18" cm="1">
        <f t="array" ref="AU35">SUMPRODUCT(('Old CCC projections data'!$F$1:$BN$1=$B35)*('Old CCC projections data'!$A$2:$A$271=AU$2)*('Old CCC projections data'!$D$2:$D$271=AU$3)*('Old CCC projections data'!$F$2:$BN$271))*Model!$B$47</f>
        <v>131.84844097390115</v>
      </c>
      <c r="AV35" s="18" cm="1">
        <f t="array" ref="AV35">SUMPRODUCT(('Old CCC projections data'!$F$1:$BN$1=$B35)*('Old CCC projections data'!$A$2:$A$271=AV$2)*('Old CCC projections data'!$D$2:$D$271=AV$3)*('Old CCC projections data'!$F$2:$BN$271))*Model!$B$47</f>
        <v>145.03328507129123</v>
      </c>
      <c r="AW35" s="18" cm="1">
        <f t="array" ref="AW35">SUMPRODUCT(('Old CCC projections data'!$F$1:$BN$1=$B35)*('Old CCC projections data'!$A$2:$A$271=AW$2)*('Old CCC projections data'!$D$2:$D$271=AW$3)*('Old CCC projections data'!$F$2:$BN$271))*Model!$B$47</f>
        <v>308.65497076023394</v>
      </c>
      <c r="AX35" s="18" cm="1">
        <f t="array" ref="AX35">SUMPRODUCT(('Old CCC projections data'!$F$1:$BN$1=$B35)*('Old CCC projections data'!$A$2:$A$271=AX$2)*('Old CCC projections data'!$D$2:$D$271=AX$3)*('Old CCC projections data'!$F$2:$BN$271))*Model!$B$47</f>
        <v>1.1871345029239767E-2</v>
      </c>
      <c r="AY35" s="18">
        <v>50</v>
      </c>
      <c r="AZ35" s="18">
        <v>35</v>
      </c>
      <c r="BA35" s="18">
        <v>70</v>
      </c>
      <c r="BB35" s="18"/>
      <c r="BC35" s="20" cm="1">
        <f t="array" ref="BC35">SUMPRODUCT(('Old CCC projections data'!$F$1:$BN$1=$B35)*('Old CCC projections data'!$A$2:$A$271=BC$2)*('Old CCC projections data'!$D$2:$D$271=BC$3)*('Old CCC projections data'!$F$2:$BN$271))</f>
        <v>24058.122866562899</v>
      </c>
      <c r="BD35" s="20" cm="1">
        <f t="array" ref="BD35">SUMPRODUCT(('Old CCC projections data'!$F$1:$BN$1=$B35)*('Old CCC projections data'!$A$2:$A$271=BD$2)*('Old CCC projections data'!$D$2:$D$271=BD$3)*('Old CCC projections data'!$F$2:$BN$271))</f>
        <v>24636.914249776957</v>
      </c>
      <c r="BE35" s="20"/>
      <c r="BF35" s="20"/>
      <c r="BG35" s="20" cm="1">
        <f t="array" ref="BG35">SUMPRODUCT(('Old CCC projections data'!$F$1:$BN$1=$B35)*('Old CCC projections data'!$A$2:$A$271=BG$2)*('Old CCC projections data'!$D$2:$D$271=BG$3)*('Old CCC projections data'!$F$2:$BN$271))</f>
        <v>9703.9805626776215</v>
      </c>
      <c r="BH35" s="20" cm="1">
        <f t="array" ref="BH35">SUMPRODUCT(('Old CCC projections data'!$F$1:$BN$1=$B35)*('Old CCC projections data'!$A$2:$A$271=BH$2)*('Old CCC projections data'!$D$2:$D$271=BH$3)*('Old CCC projections data'!$F$2:$BN$271))</f>
        <v>8633.9944697394076</v>
      </c>
      <c r="BI35" s="20" cm="1">
        <f t="array" ref="BI35">SUMPRODUCT(('Old CCC projections data'!$F$1:$BN$1=$B35)*('Old CCC projections data'!$A$2:$A$271=BI$2)*('Old CCC projections data'!$D$2:$D$271=BI$3)*('Old CCC projections data'!$F$2:$BN$271))</f>
        <v>8136.2232659703159</v>
      </c>
      <c r="BJ35" s="20" cm="1">
        <f t="array" ref="BJ35">SUMPRODUCT(('Old CCC projections data'!$F$1:$BN$1=$B35)*('Old CCC projections data'!$A$2:$A$271=BJ$2)*('Old CCC projections data'!$D$2:$D$271=BJ$3)*('Old CCC projections data'!$F$2:$BN$271))</f>
        <v>7947.442146554672</v>
      </c>
      <c r="BK35" s="20" cm="1">
        <f t="array" ref="BK35">SUMPRODUCT(('Old CCC projections data'!$F$1:$BN$1=$B35)*('Old CCC projections data'!$A$2:$A$271=BK$2)*('Old CCC projections data'!$D$2:$D$271=BK$3)*('Old CCC projections data'!$F$2:$BN$271))</f>
        <v>7786.694520079237</v>
      </c>
      <c r="BL35" s="20" cm="1">
        <f t="array" ref="BL35">SUMPRODUCT(('Old CCC projections data'!$F$1:$BN$1=$B35)*('Old CCC projections data'!$A$2:$A$271=BL$2)*('Old CCC projections data'!$D$2:$D$271=BL$3)*('Old CCC projections data'!$F$2:$BN$271))</f>
        <v>11503.206425451652</v>
      </c>
      <c r="BM35" s="20" cm="1">
        <f t="array" ref="BM35">SUMPRODUCT(('Old CCC projections data'!$F$1:$BN$1=$B35)*('Old CCC projections data'!$A$2:$A$271=BM$2)*('Old CCC projections data'!$D$2:$D$271=BM$3)*('Old CCC projections data'!$F$2:$BN$271))</f>
        <v>9236.1881918748804</v>
      </c>
      <c r="BN35" s="20" cm="1">
        <f t="array" ref="BN35">SUMPRODUCT(('Old CCC projections data'!$F$1:$BN$1=$B35)*('Old CCC projections data'!$A$2:$A$271=BN$2)*('Old CCC projections data'!$D$2:$D$271=BN$3)*('Old CCC projections data'!$F$2:$BN$271))</f>
        <v>14477.451467153383</v>
      </c>
      <c r="BO35" s="20" cm="1">
        <f t="array" ref="BO35">SUMPRODUCT(('Old CCC projections data'!$F$1:$BN$1=$B35)*('Old CCC projections data'!$A$2:$A$271=BO$2)*('Old CCC projections data'!$D$2:$D$271=BO$3)*('Old CCC projections data'!$F$2:$BN$271))</f>
        <v>11727.725874821068</v>
      </c>
      <c r="BP35" s="20" cm="1">
        <f t="array" ref="BP35">SUMPRODUCT(('Old CCC projections data'!$F$1:$BN$1=$B35)*('Old CCC projections data'!$A$2:$A$271=BP$2)*('Old CCC projections data'!$D$2:$D$271=BP$3)*('Old CCC projections data'!$F$2:$BN$271))</f>
        <v>10260.78444608348</v>
      </c>
      <c r="BQ35" s="20" cm="1">
        <f t="array" ref="BQ35">SUMPRODUCT(('Old CCC projections data'!$F$1:$BN$1=$B35)*('Old CCC projections data'!$A$2:$A$271=BQ$2)*('Old CCC projections data'!$D$2:$D$271=BQ$3)*('Old CCC projections data'!$F$2:$BN$271))</f>
        <v>9419.1130288488621</v>
      </c>
      <c r="BR35" s="20" cm="1">
        <f t="array" ref="BR35">SUMPRODUCT(('Old CCC projections data'!$F$1:$BN$1=$B35)*('Old CCC projections data'!$A$2:$A$271=BR$2)*('Old CCC projections data'!$D$2:$D$271=BR$3)*('Old CCC projections data'!$F$2:$BN$271))</f>
        <v>9136.5651614965627</v>
      </c>
      <c r="BS35" s="20" cm="1">
        <f t="array" ref="BS35">SUMPRODUCT(('Old CCC projections data'!$F$1:$BN$1=$B35)*('Old CCC projections data'!$A$2:$A$271=BS$2)*('Old CCC projections data'!$D$2:$D$271=BS$3)*('Old CCC projections data'!$F$2:$BN$271))</f>
        <v>8944.7990293431085</v>
      </c>
      <c r="BT35" s="20" cm="1">
        <f t="array" ref="BT35">SUMPRODUCT(('Old CCC projections data'!$F$1:$BN$1=$B35)*('Old CCC projections data'!$A$2:$A$271=BT$2)*('Old CCC projections data'!$D$2:$D$271=BT$3)*('Old CCC projections data'!$F$2:$BN$271))</f>
        <v>14146.721137956503</v>
      </c>
      <c r="BU35" s="20" cm="1">
        <f t="array" ref="BU35">SUMPRODUCT(('Old CCC projections data'!$F$1:$BN$1=$B35)*('Old CCC projections data'!$A$2:$A$271=BU$2)*('Old CCC projections data'!$D$2:$D$271=BU$3)*('Old CCC projections data'!$F$2:$BN$271))</f>
        <v>10866.519167532415</v>
      </c>
      <c r="BV35" s="20" cm="1">
        <f t="array" ref="BV35">SUMPRODUCT(('Old CCC projections data'!$F$1:$BN$1=$B35)*('Old CCC projections data'!$A$2:$A$271=BV$2)*('Old CCC projections data'!$D$2:$D$271=BV$3)*('Old CCC projections data'!$F$2:$BN$271))</f>
        <v>16091.092669557753</v>
      </c>
      <c r="BW35" s="20" cm="1">
        <f t="array" ref="BW35">SUMPRODUCT(('Old CCC projections data'!$F$1:$BN$1=$B35)*('Old CCC projections data'!$A$2:$A$271=BW$2)*('Old CCC projections data'!$D$2:$D$271=BW$3)*('Old CCC projections data'!$F$2:$BN$271))</f>
        <v>8188.3699382831783</v>
      </c>
      <c r="BX35" s="20" cm="1">
        <f t="array" ref="BX35">SUMPRODUCT(('Old CCC projections data'!$F$1:$BN$1=$B35)*('Old CCC projections data'!$A$2:$A$271=BX$2)*('Old CCC projections data'!$D$2:$D$271=BX$3)*('Old CCC projections data'!$F$2:$BN$271))</f>
        <v>7909.3192180173</v>
      </c>
      <c r="BY35" s="20" cm="1">
        <f t="array" ref="BY35">SUMPRODUCT(('Old CCC projections data'!$F$1:$BN$1=$B35)*('Old CCC projections data'!$A$2:$A$271=BY$2)*('Old CCC projections data'!$D$2:$D$271=BY$3)*('Old CCC projections data'!$F$2:$BN$271))</f>
        <v>7809.9015289295394</v>
      </c>
      <c r="BZ35" s="20" cm="1">
        <f t="array" ref="BZ35">SUMPRODUCT(('Old CCC projections data'!$F$1:$BN$1=$B35)*('Old CCC projections data'!$A$2:$A$271=BZ$2)*('Old CCC projections data'!$D$2:$D$271=BZ$3)*('Old CCC projections data'!$F$2:$BN$271))</f>
        <v>7753.2307708924263</v>
      </c>
      <c r="CA35" s="20" cm="1">
        <f t="array" ref="CA35">SUMPRODUCT(('Old CCC projections data'!$F$1:$BN$1=$B35)*('Old CCC projections data'!$A$2:$A$271=CA$2)*('Old CCC projections data'!$D$2:$D$271=CA$3)*('Old CCC projections data'!$F$2:$BN$271))</f>
        <v>7711.8606012476112</v>
      </c>
      <c r="CB35" s="20" cm="1">
        <f t="array" ref="CB35">SUMPRODUCT(('Old CCC projections data'!$F$1:$BN$1=$B35)*('Old CCC projections data'!$A$2:$A$271=CB$2)*('Old CCC projections data'!$D$2:$D$271=CB$3)*('Old CCC projections data'!$F$2:$BN$271))</f>
        <v>9263.5590320913125</v>
      </c>
      <c r="CC35" s="20" cm="1">
        <f t="array" ref="CC35">SUMPRODUCT(('Old CCC projections data'!$F$1:$BN$1=$B35)*('Old CCC projections data'!$A$2:$A$271=CC$2)*('Old CCC projections data'!$D$2:$D$271=CC$3)*('Old CCC projections data'!$F$2:$BN$271))</f>
        <v>9046.446021291822</v>
      </c>
      <c r="CD35" s="20" cm="1">
        <f t="array" ref="CD35">SUMPRODUCT(('Old CCC projections data'!$F$1:$BN$1=$B35)*('Old CCC projections data'!$A$2:$A$271=CD$2)*('Old CCC projections data'!$D$2:$D$271=CD$3)*('Old CCC projections data'!$F$2:$BN$271))</f>
        <v>8038.6640537408393</v>
      </c>
      <c r="CE35" s="20" cm="1">
        <f t="array" ref="CE35">SUMPRODUCT(('Old CCC projections data'!$F$1:$BN$1=$B35)*('Old CCC projections data'!$A$2:$A$271=CE$2)*('Old CCC projections data'!$D$2:$D$271=CE$3)*('Old CCC projections data'!$F$2:$BN$271))</f>
        <v>12203.558949639626</v>
      </c>
      <c r="CF35" s="20" cm="1">
        <f t="array" ref="CF35">SUMPRODUCT(('Old CCC projections data'!$F$1:$BN$1=$B35)*('Old CCC projections data'!$A$2:$A$271=CF$2)*('Old CCC projections data'!$D$2:$D$271=CF$3)*('Old CCC projections data'!$F$2:$BN$271))</f>
        <v>13775.222182974057</v>
      </c>
      <c r="CG35" s="20" cm="1">
        <f t="array" ref="CG35">SUMPRODUCT(('Old CCC projections data'!$F$1:$BN$1=$B35)*('Old CCC projections data'!$A$2:$A$271=CG$2)*('Old CCC projections data'!$D$2:$D$271=CG$3)*('Old CCC projections data'!$F$2:$BN$271))</f>
        <v>12729.436970898387</v>
      </c>
      <c r="CH35" s="20" cm="1">
        <f t="array" ref="CH35">SUMPRODUCT(('Old CCC projections data'!$F$1:$BN$1=$B35)*('Old CCC projections data'!$A$2:$A$271=CH$2)*('Old CCC projections data'!$D$2:$D$271=CH$3)*('Old CCC projections data'!$F$2:$BN$271))</f>
        <v>12139.752392722716</v>
      </c>
      <c r="CI35" s="20" cm="1">
        <f t="array" ref="CI35">SUMPRODUCT(('Old CCC projections data'!$F$1:$BN$1=$B35)*('Old CCC projections data'!$A$2:$A$271=CI$2)*('Old CCC projections data'!$D$2:$D$271=CI$3)*('Old CCC projections data'!$F$2:$BN$271))</f>
        <v>11731.183909531592</v>
      </c>
      <c r="CJ35" s="20" cm="1">
        <f t="array" ref="CJ35">SUMPRODUCT(('Old CCC projections data'!$F$1:$BN$1=$B35)*('Old CCC projections data'!$A$2:$A$271=CJ$2)*('Old CCC projections data'!$D$2:$D$271=CJ$3)*('Old CCC projections data'!$F$2:$BN$271))</f>
        <v>11691.560265693386</v>
      </c>
      <c r="CK35" s="20" cm="1">
        <f t="array" ref="CK35">SUMPRODUCT(('Old CCC projections data'!$F$1:$BN$1=$B35)*('Old CCC projections data'!$A$2:$A$271=CK$2)*('Old CCC projections data'!$D$2:$D$271=CK$3)*('Old CCC projections data'!$F$2:$BN$271))</f>
        <v>11651.607705547569</v>
      </c>
      <c r="CL35" s="20" cm="1">
        <f t="array" ref="CL35">SUMPRODUCT(('Old CCC projections data'!$F$1:$BN$1=$B35)*('Old CCC projections data'!$A$2:$A$271=CL$2)*('Old CCC projections data'!$D$2:$D$271=CL$3)*('Old CCC projections data'!$F$2:$BN$271))</f>
        <v>16285.32989376088</v>
      </c>
      <c r="CM35" s="20" cm="1">
        <f t="array" ref="CM35">SUMPRODUCT(('Old CCC projections data'!$F$1:$BN$1=$B35)*('Old CCC projections data'!$A$2:$A$271=CM$2)*('Old CCC projections data'!$D$2:$D$271=CM$3)*('Old CCC projections data'!$F$2:$BN$271))</f>
        <v>13343.92851053314</v>
      </c>
      <c r="CN35" s="20" cm="1">
        <f t="array" ref="CN35">SUMPRODUCT(('Old CCC projections data'!$F$1:$BN$1=$B35)*('Old CCC projections data'!$A$2:$A$271=CN$2)*('Old CCC projections data'!$D$2:$D$271=CN$3)*('Old CCC projections data'!$F$2:$BN$271))</f>
        <v>18761.561087919188</v>
      </c>
      <c r="CO35" s="20" cm="1">
        <f t="array" ref="CO35">SUMPRODUCT(('Old CCC projections data'!$F$1:$BN$1=$B35)*('Old CCC projections data'!$A$2:$A$271=CO$2)*('Old CCC projections data'!$D$2:$D$271=CO$3)*('Old CCC projections data'!$F$2:$BN$271))</f>
        <v>6671.5803188518694</v>
      </c>
      <c r="CP35" s="20" cm="1">
        <f t="array" ref="CP35">SUMPRODUCT(('Old CCC projections data'!$F$1:$BN$1=$B35)*('Old CCC projections data'!$A$2:$A$271=CP$2)*('Old CCC projections data'!$D$2:$D$271=CP$3)*('Old CCC projections data'!$F$2:$BN$271))</f>
        <v>5639.502984470304</v>
      </c>
      <c r="CQ35" s="20" cm="1">
        <f t="array" ref="CQ35">SUMPRODUCT(('Old CCC projections data'!$F$1:$BN$1=$B35)*('Old CCC projections data'!$A$2:$A$271=CQ$2)*('Old CCC projections data'!$D$2:$D$271=CQ$3)*('Old CCC projections data'!$F$2:$BN$271))</f>
        <v>5077.2550871867934</v>
      </c>
      <c r="CR35" s="20" cm="1">
        <f t="array" ref="CR35">SUMPRODUCT(('Old CCC projections data'!$F$1:$BN$1=$B35)*('Old CCC projections data'!$A$2:$A$271=CR$2)*('Old CCC projections data'!$D$2:$D$271=CR$3)*('Old CCC projections data'!$F$2:$BN$271))</f>
        <v>4885.259345764096</v>
      </c>
      <c r="CS35" s="20" cm="1">
        <f t="array" ref="CS35">SUMPRODUCT(('Old CCC projections data'!$F$1:$BN$1=$B35)*('Old CCC projections data'!$A$2:$A$271=CS$2)*('Old CCC projections data'!$D$2:$D$271=CS$3)*('Old CCC projections data'!$F$2:$BN$271))</f>
        <v>4749.1497421133881</v>
      </c>
      <c r="CT35" s="20" cm="1">
        <f t="array" ref="CT35">SUMPRODUCT(('Old CCC projections data'!$F$1:$BN$1=$B35)*('Old CCC projections data'!$A$2:$A$271=CT$2)*('Old CCC projections data'!$D$2:$D$271=CT$3)*('Old CCC projections data'!$F$2:$BN$271))</f>
        <v>8282.0321396272611</v>
      </c>
      <c r="CU35" s="20" cm="1">
        <f t="array" ref="CU35">SUMPRODUCT(('Old CCC projections data'!$F$1:$BN$1=$B35)*('Old CCC projections data'!$A$2:$A$271=CU$2)*('Old CCC projections data'!$D$2:$D$271=CU$3)*('Old CCC projections data'!$F$2:$BN$271))</f>
        <v>7768.5445491505225</v>
      </c>
      <c r="CV35" s="20" cm="1">
        <f t="array" ref="CV35">SUMPRODUCT(('Old CCC projections data'!$F$1:$BN$1=$B35)*('Old CCC projections data'!$A$2:$A$271=CV$2)*('Old CCC projections data'!$D$2:$D$271=CV$3)*('Old CCC projections data'!$F$2:$BN$271))</f>
        <v>6219.5076251093742</v>
      </c>
      <c r="CW35" s="20" cm="1">
        <f t="array" ref="CW35">SUMPRODUCT(('Old CCC projections data'!$F$1:$BN$1=$B35)*('Old CCC projections data'!$A$2:$A$271=CW$2)*('Old CCC projections data'!$D$2:$D$271=CW$3)*('Old CCC projections data'!$F$2:$BN$271))</f>
        <v>11081.272936226704</v>
      </c>
      <c r="CX35" s="20">
        <f t="shared" si="19"/>
        <v>5241.263275278503</v>
      </c>
      <c r="CY35" s="20" t="str">
        <f t="shared" ref="CY35:CY60" si="36">CY34</f>
        <v>Demo path - C price $150 3%</v>
      </c>
      <c r="CZ35" s="3">
        <f t="shared" si="34"/>
        <v>2025</v>
      </c>
      <c r="DA35" s="18">
        <f t="shared" si="31"/>
        <v>0</v>
      </c>
      <c r="DB35" s="18">
        <f ca="1">(I10+IF($DB$3&gt;0,NPV($DB$2,I11:OFFSET(I10,$DB$3,0)),0))/($DB$3+1)</f>
        <v>188.91464912280705</v>
      </c>
      <c r="DC35" s="18">
        <f t="shared" ca="1" si="20"/>
        <v>38.914649122807049</v>
      </c>
      <c r="DD35" s="18">
        <f t="shared" ref="DD35:DD98" si="37">DD34</f>
        <v>150</v>
      </c>
      <c r="DE35" s="20">
        <f t="shared" si="35"/>
        <v>36119.314820792293</v>
      </c>
      <c r="DF35" s="20" cm="1">
        <f t="array" ref="DF35">SUMPRODUCT(($BG$2:$BM$2=CY35)*($B$5:$B$35=CZ35)*($BG$5:$BM$35))</f>
        <v>33913.273544402873</v>
      </c>
      <c r="DG35" s="20">
        <f t="shared" si="16"/>
        <v>2206.0412763894201</v>
      </c>
      <c r="DH35" s="20" cm="1">
        <f t="array" ref="DH35">IF(CZ35=2023,SUMPRODUCT(($B$5:$B$35=CZ35-1)*($BN$5:$BN$35))-SUMPRODUCT(($BG$2:$BM$2=CY35)*($B$5:$B$35=CZ35-1)*($BG$5:$BM$35)),DG34)</f>
        <v>1358.9087988503306</v>
      </c>
      <c r="DI35" s="18">
        <f t="shared" ca="1" si="17"/>
        <v>188.91464912280705</v>
      </c>
      <c r="DJ35" s="89">
        <f t="shared" si="22"/>
        <v>7.6989549106036854</v>
      </c>
      <c r="DK35" s="89">
        <f t="shared" si="23"/>
        <v>7.2144373028854956</v>
      </c>
      <c r="DL35" s="89">
        <f t="shared" ca="1" si="24"/>
        <v>5.2412953211184723</v>
      </c>
      <c r="DM35" s="20">
        <f t="shared" ca="1" si="25"/>
        <v>917.46356734404844</v>
      </c>
      <c r="DN35" s="20">
        <f t="shared" ca="1" si="26"/>
        <v>2211.6058237121333</v>
      </c>
      <c r="DO35" s="20">
        <f t="shared" ca="1" si="27"/>
        <v>1564.5346955280909</v>
      </c>
      <c r="DP35" s="113"/>
      <c r="DR35" s="3"/>
    </row>
    <row r="36" spans="1:137" x14ac:dyDescent="0.25">
      <c r="A36">
        <v>0.5</v>
      </c>
      <c r="C36" s="190">
        <f>IF(C35*(1+A36*Model!$B$19*IF(Model!$B$28=0,1,((Model!$B$28-B36)/(Model!$B$28-$B$9))))&gt;Model!$B$44,C35*(1+A36*Model!$B$19*IF(Model!$B$28=0,1,((Model!$B$28-B36)/(Model!$B$28-$B$9)))),Model!$B$44)</f>
        <v>50</v>
      </c>
      <c r="D36" s="18" cm="1">
        <f t="array" ref="D36">SUMPRODUCT(('Old CCC projections data'!$F$1:$BN$1=$B36)*('Old CCC projections data'!$A$2:$A$271=D$2)*('Old CCC projections data'!$D$2:$D$271=D$3)*('Old CCC projections data'!$F$2:$BN$271))*Model!$B$47</f>
        <v>0</v>
      </c>
      <c r="E36" s="18" cm="1">
        <f t="array" ref="E36">SUMPRODUCT(('Old CCC projections data'!$F$1:$BN$1=$B36)*('Old CCC projections data'!$A$2:$A$271=E$2)*('Old CCC projections data'!$D$2:$D$271=E$3)*('Old CCC projections data'!$F$2:$BN$271))*Model!$B$47</f>
        <v>0</v>
      </c>
      <c r="F36" s="128"/>
      <c r="G36" s="128"/>
      <c r="H36" s="18" cm="1">
        <f t="array" ref="H36">SUMPRODUCT(('Old CCC projections data'!$F$1:$BN$1=$B36)*('Old CCC projections data'!$A$2:$A$271=H$2)*('Old CCC projections data'!$D$2:$D$271=H$3)*('Old CCC projections data'!$F$2:$BN$271))*Model!$B$47</f>
        <v>0</v>
      </c>
      <c r="I36" s="18">
        <f t="shared" ref="I36:N36" si="38">I35*1.03</f>
        <v>407.41168260935456</v>
      </c>
      <c r="J36" s="18">
        <f t="shared" si="38"/>
        <v>543.2155768124727</v>
      </c>
      <c r="K36" s="18">
        <f t="shared" si="38"/>
        <v>679.01947101559097</v>
      </c>
      <c r="L36" s="18">
        <f t="shared" si="38"/>
        <v>814.82336521870911</v>
      </c>
      <c r="M36" s="18">
        <f t="shared" si="38"/>
        <v>135.80389420311818</v>
      </c>
      <c r="N36" s="189">
        <f t="shared" si="38"/>
        <v>317.91461988304098</v>
      </c>
      <c r="O36" s="18">
        <f>O35</f>
        <v>1.1871345029239767E-2</v>
      </c>
      <c r="AY36">
        <v>50</v>
      </c>
      <c r="AZ36">
        <v>35</v>
      </c>
      <c r="BA36">
        <v>70</v>
      </c>
      <c r="CY36" s="20" t="str">
        <f t="shared" si="36"/>
        <v>Demo path - C price $150 3%</v>
      </c>
      <c r="CZ36" s="3">
        <f t="shared" si="34"/>
        <v>2026</v>
      </c>
      <c r="DA36" s="18">
        <f t="shared" si="31"/>
        <v>0</v>
      </c>
      <c r="DB36" s="18">
        <f ca="1">(I11+IF($DB$3&gt;0,NPV($DB$2,I12:OFFSET(I11,$DB$3,0)),0))/($DB$3+1)</f>
        <v>194.58208859649119</v>
      </c>
      <c r="DC36" s="18">
        <f t="shared" ca="1" si="20"/>
        <v>44.582088596491189</v>
      </c>
      <c r="DD36" s="18">
        <f t="shared" si="37"/>
        <v>150</v>
      </c>
      <c r="DE36" s="20">
        <f t="shared" si="35"/>
        <v>35989.651978621361</v>
      </c>
      <c r="DF36" s="20" cm="1">
        <f t="array" ref="DF36">SUMPRODUCT(($BG$2:$BM$2=CY36)*($B$5:$B$35=CZ36)*($BG$5:$BM$35))</f>
        <v>33238.920180471185</v>
      </c>
      <c r="DG36" s="20">
        <f t="shared" si="16"/>
        <v>2750.7317981501765</v>
      </c>
      <c r="DH36" s="20" cm="1">
        <f t="array" ref="DH36">IF(CZ36=2023,SUMPRODUCT(($B$5:$B$35=CZ36-1)*($BN$5:$BN$35))-SUMPRODUCT(($BG$2:$BM$2=CY36)*($B$5:$B$35=CZ36-1)*($BG$5:$BM$35)),DG35)</f>
        <v>2206.0412763894201</v>
      </c>
      <c r="DI36" s="18">
        <f t="shared" ca="1" si="17"/>
        <v>194.58208859649119</v>
      </c>
      <c r="DJ36" s="89">
        <f t="shared" si="22"/>
        <v>7.9196222636782982</v>
      </c>
      <c r="DK36" s="89">
        <f t="shared" si="23"/>
        <v>7.6989549106036854</v>
      </c>
      <c r="DL36" s="89">
        <f t="shared" ca="1" si="24"/>
        <v>5.2708541233600164</v>
      </c>
      <c r="DM36" s="20">
        <f t="shared" ca="1" si="25"/>
        <v>1143.3725724226028</v>
      </c>
      <c r="DN36" s="20">
        <f t="shared" ca="1" si="26"/>
        <v>2944.830204306244</v>
      </c>
      <c r="DO36" s="20">
        <f t="shared" ca="1" si="27"/>
        <v>2044.1013883644234</v>
      </c>
      <c r="DP36" s="113"/>
      <c r="DR36" s="3"/>
      <c r="DT36" t="str">
        <f>ROUND(DT33,4)&amp;IF(DW33&lt;0.01,"***",IF(DW33&lt;0.05,"**",IF(DW33&lt;0.1,"*","")))&amp;" ("&amp;ROUND(DU33,4)&amp;")"</f>
        <v>0.8775*** (0.016)</v>
      </c>
    </row>
    <row r="37" spans="1:137" x14ac:dyDescent="0.25">
      <c r="A37">
        <v>0.5</v>
      </c>
      <c r="C37" s="190">
        <f>IF(C36*(1+A37*Model!$B$19*IF(Model!$B$28=0,1,((Model!$B$28-B37)/(Model!$B$28-$B$9))))&gt;Model!$B$44,C36*(1+A37*Model!$B$19*IF(Model!$B$28=0,1,((Model!$B$28-B37)/(Model!$B$28-$B$9)))),Model!$B$44)</f>
        <v>50</v>
      </c>
      <c r="D37" s="18" cm="1">
        <f t="array" ref="D37">SUMPRODUCT(('Old CCC projections data'!$F$1:$BN$1=$B37)*('Old CCC projections data'!$A$2:$A$271=D$2)*('Old CCC projections data'!$D$2:$D$271=D$3)*('Old CCC projections data'!$F$2:$BN$271))*Model!$B$47</f>
        <v>0</v>
      </c>
      <c r="E37" s="18" cm="1">
        <f t="array" ref="E37">SUMPRODUCT(('Old CCC projections data'!$F$1:$BN$1=$B37)*('Old CCC projections data'!$A$2:$A$271=E$2)*('Old CCC projections data'!$D$2:$D$271=E$3)*('Old CCC projections data'!$F$2:$BN$271))*Model!$B$47</f>
        <v>0</v>
      </c>
      <c r="F37" s="128"/>
      <c r="G37" s="128"/>
      <c r="H37" s="18" cm="1">
        <f t="array" ref="H37">SUMPRODUCT(('Old CCC projections data'!$F$1:$BN$1=$B37)*('Old CCC projections data'!$A$2:$A$271=H$2)*('Old CCC projections data'!$D$2:$D$271=H$3)*('Old CCC projections data'!$F$2:$BN$271))*Model!$B$47</f>
        <v>0</v>
      </c>
      <c r="I37" s="18">
        <f t="shared" ref="I37:I60" si="39">I36*1.03</f>
        <v>419.6340330876352</v>
      </c>
      <c r="J37" s="18">
        <f t="shared" ref="J37:J60" si="40">J36*1.03</f>
        <v>559.51204411684694</v>
      </c>
      <c r="K37" s="18">
        <f t="shared" ref="K37:K60" si="41">K36*1.03</f>
        <v>699.39005514605867</v>
      </c>
      <c r="L37" s="18">
        <f t="shared" ref="L37:L60" si="42">L36*1.03</f>
        <v>839.26806617527041</v>
      </c>
      <c r="M37" s="18">
        <f t="shared" ref="M37:M60" si="43">M36*1.03</f>
        <v>139.87801102921173</v>
      </c>
      <c r="N37" s="189">
        <f t="shared" ref="N37:N60" si="44">N36*1.03</f>
        <v>327.45205847953224</v>
      </c>
      <c r="O37" s="18">
        <f t="shared" ref="O37:O63" si="45">O36</f>
        <v>1.1871345029239767E-2</v>
      </c>
      <c r="AY37">
        <v>50</v>
      </c>
      <c r="AZ37">
        <v>35</v>
      </c>
      <c r="BA37">
        <v>70</v>
      </c>
      <c r="BK37" s="13">
        <f>BK35/BK7</f>
        <v>0.20667585223476556</v>
      </c>
      <c r="BL37" s="13">
        <f>BL35/BL7</f>
        <v>0.30420917356267579</v>
      </c>
      <c r="BM37" s="13">
        <f>BM35/BM7</f>
        <v>0.24471756693911584</v>
      </c>
      <c r="CY37" s="20" t="str">
        <f t="shared" si="36"/>
        <v>Demo path - C price $150 3%</v>
      </c>
      <c r="CZ37" s="3">
        <f t="shared" si="34"/>
        <v>2027</v>
      </c>
      <c r="DA37" s="18">
        <f t="shared" si="31"/>
        <v>0</v>
      </c>
      <c r="DB37" s="18">
        <f ca="1">(I12+IF($DB$3&gt;0,NPV($DB$2,I13:OFFSET(I12,$DB$3,0)),0))/($DB$3+1)</f>
        <v>200.41955125438596</v>
      </c>
      <c r="DC37" s="18">
        <f t="shared" ca="1" si="20"/>
        <v>50.419551254385965</v>
      </c>
      <c r="DD37" s="18">
        <f t="shared" si="37"/>
        <v>150</v>
      </c>
      <c r="DE37" s="20">
        <f t="shared" si="35"/>
        <v>35793.252751753469</v>
      </c>
      <c r="DF37" s="20" cm="1">
        <f t="array" ref="DF37">SUMPRODUCT(($BG$2:$BM$2=CY37)*($B$5:$B$35=CZ37)*($BG$5:$BM$35))</f>
        <v>32381.413097332021</v>
      </c>
      <c r="DG37" s="20">
        <f t="shared" ref="DG37:DG68" si="46">DE37-DF37</f>
        <v>3411.8396544214484</v>
      </c>
      <c r="DH37" s="20" cm="1">
        <f t="array" ref="DH37">IF(CZ37=2023,SUMPRODUCT(($B$5:$B$35=CZ37-1)*($BN$5:$BN$35))-SUMPRODUCT(($BG$2:$BM$2=CY37)*($B$5:$B$35=CZ37-1)*($BG$5:$BM$35)),DG36)</f>
        <v>2750.7317981501765</v>
      </c>
      <c r="DI37" s="18">
        <f t="shared" ref="DI37:DI68" ca="1" si="47">DB37</f>
        <v>200.41955125438596</v>
      </c>
      <c r="DJ37" s="89">
        <f t="shared" si="22"/>
        <v>8.1350069129063058</v>
      </c>
      <c r="DK37" s="89">
        <f t="shared" si="23"/>
        <v>7.9196222636782982</v>
      </c>
      <c r="DL37" s="89">
        <f t="shared" ca="1" si="24"/>
        <v>5.3004129256015604</v>
      </c>
      <c r="DM37" s="20">
        <f t="shared" ca="1" si="25"/>
        <v>1364.1905502027626</v>
      </c>
      <c r="DN37" s="20">
        <f t="shared" ca="1" si="26"/>
        <v>3534.928190916829</v>
      </c>
      <c r="DO37" s="20">
        <f t="shared" ca="1" si="27"/>
        <v>2449.5593705597958</v>
      </c>
      <c r="DP37" s="113"/>
      <c r="DQ37" s="2"/>
      <c r="DR37" s="3"/>
      <c r="DT37" t="str">
        <f>ROUND(DT34,4)&amp;IF(DW34&lt;0.01,"***",IF(DW34&lt;0.05,"**",IF(DW34&lt;0.1,"*","")))&amp;" ("&amp;ROUND(DU34,4)&amp;")"</f>
        <v>1.0533*** (0.2679)</v>
      </c>
    </row>
    <row r="38" spans="1:137" x14ac:dyDescent="0.25">
      <c r="A38">
        <v>0.5</v>
      </c>
      <c r="C38" s="190">
        <f>IF(C37*(1+A38*Model!$B$19*IF(Model!$B$28=0,1,((Model!$B$28-B38)/(Model!$B$28-$B$9))))&gt;Model!$B$44,C37*(1+A38*Model!$B$19*IF(Model!$B$28=0,1,((Model!$B$28-B38)/(Model!$B$28-$B$9)))),Model!$B$44)</f>
        <v>50</v>
      </c>
      <c r="D38" s="18" cm="1">
        <f t="array" ref="D38">SUMPRODUCT(('Old CCC projections data'!$F$1:$BN$1=$B38)*('Old CCC projections data'!$A$2:$A$271=D$2)*('Old CCC projections data'!$D$2:$D$271=D$3)*('Old CCC projections data'!$F$2:$BN$271))*Model!$B$47</f>
        <v>0</v>
      </c>
      <c r="E38" s="18" cm="1">
        <f t="array" ref="E38">SUMPRODUCT(('Old CCC projections data'!$F$1:$BN$1=$B38)*('Old CCC projections data'!$A$2:$A$271=E$2)*('Old CCC projections data'!$D$2:$D$271=E$3)*('Old CCC projections data'!$F$2:$BN$271))*Model!$B$47</f>
        <v>0</v>
      </c>
      <c r="F38" s="128"/>
      <c r="G38" s="128"/>
      <c r="H38" s="18" cm="1">
        <f t="array" ref="H38">SUMPRODUCT(('Old CCC projections data'!$F$1:$BN$1=$B38)*('Old CCC projections data'!$A$2:$A$271=H$2)*('Old CCC projections data'!$D$2:$D$271=H$3)*('Old CCC projections data'!$F$2:$BN$271))*Model!$B$47</f>
        <v>0</v>
      </c>
      <c r="I38" s="18">
        <f t="shared" si="39"/>
        <v>432.22305408026426</v>
      </c>
      <c r="J38" s="18">
        <f t="shared" si="40"/>
        <v>576.29740544035235</v>
      </c>
      <c r="K38" s="18">
        <f t="shared" si="41"/>
        <v>720.37175680044049</v>
      </c>
      <c r="L38" s="18">
        <f t="shared" si="42"/>
        <v>864.44610816052852</v>
      </c>
      <c r="M38" s="18">
        <f t="shared" si="43"/>
        <v>144.07435136008809</v>
      </c>
      <c r="N38" s="189">
        <f t="shared" si="44"/>
        <v>337.27562023391823</v>
      </c>
      <c r="O38" s="18">
        <f t="shared" si="45"/>
        <v>1.1871345029239767E-2</v>
      </c>
      <c r="AY38">
        <v>50</v>
      </c>
      <c r="AZ38">
        <v>35</v>
      </c>
      <c r="BA38">
        <v>70</v>
      </c>
      <c r="BK38" s="13">
        <f>(BK7-BK35)/BK7</f>
        <v>0.79332414776523441</v>
      </c>
      <c r="BL38" s="13">
        <f>(BL7-BL35)/BL7</f>
        <v>0.69579082643732415</v>
      </c>
      <c r="BM38" s="13">
        <f>(BM7-BM35)/BM7</f>
        <v>0.75528243306088416</v>
      </c>
      <c r="CY38" s="20" t="str">
        <f t="shared" si="36"/>
        <v>Demo path - C price $150 3%</v>
      </c>
      <c r="CZ38" s="3">
        <f t="shared" si="34"/>
        <v>2028</v>
      </c>
      <c r="DA38" s="18">
        <f t="shared" si="31"/>
        <v>0</v>
      </c>
      <c r="DB38" s="18">
        <f ca="1">(I13+IF($DB$3&gt;0,NPV($DB$2,I14:OFFSET(I13,$DB$3,0)),0))/($DB$3+1)</f>
        <v>206.43213779201753</v>
      </c>
      <c r="DC38" s="18">
        <f t="shared" ca="1" si="20"/>
        <v>56.432137792017528</v>
      </c>
      <c r="DD38" s="18">
        <f t="shared" si="37"/>
        <v>150</v>
      </c>
      <c r="DE38" s="20">
        <f t="shared" si="35"/>
        <v>35511.189170281767</v>
      </c>
      <c r="DF38" s="20" cm="1">
        <f t="array" ref="DF38">SUMPRODUCT(($BG$2:$BM$2=CY38)*($B$5:$B$35=CZ38)*($BG$5:$BM$35))</f>
        <v>31451.054756769954</v>
      </c>
      <c r="DG38" s="20">
        <f t="shared" si="46"/>
        <v>4060.1344135118125</v>
      </c>
      <c r="DH38" s="20" cm="1">
        <f t="array" ref="DH38">IF(CZ38=2023,SUMPRODUCT(($B$5:$B$35=CZ38-1)*($BN$5:$BN$35))-SUMPRODUCT(($BG$2:$BM$2=CY38)*($B$5:$B$35=CZ38-1)*($BG$5:$BM$35)),DG37)</f>
        <v>3411.8396544214484</v>
      </c>
      <c r="DI38" s="18">
        <f t="shared" ca="1" si="47"/>
        <v>206.43213779201753</v>
      </c>
      <c r="DJ38" s="89">
        <f t="shared" ref="DJ38:DJ69" si="48">LN(DG38)</f>
        <v>8.3089713588240688</v>
      </c>
      <c r="DK38" s="89">
        <f t="shared" si="23"/>
        <v>8.1350069129063058</v>
      </c>
      <c r="DL38" s="89">
        <f t="shared" ca="1" si="24"/>
        <v>5.3299717278431054</v>
      </c>
      <c r="DM38" s="20">
        <f t="shared" ca="1" si="25"/>
        <v>1580.4747853141057</v>
      </c>
      <c r="DN38" s="20">
        <f t="shared" ref="DN38:DN69" ca="1" si="49">EXP($DT$61+IF(CZ38=2023,DK38,LN(DN37))*$DT$62+DL38*$DT$63)</f>
        <v>3983.5472669398082</v>
      </c>
      <c r="DO38" s="20">
        <f t="shared" ca="1" si="27"/>
        <v>2782.0110261269569</v>
      </c>
      <c r="DP38" s="113"/>
      <c r="DQ38" s="2"/>
      <c r="DR38" s="3"/>
      <c r="DT38" t="str">
        <f>ROUND(DT32,4)&amp;IF(DW32&lt;0.01,"***",IF(DW32&lt;0.05,"**",IF(DW32&lt;0.1,"*","")))&amp;" ("&amp;ROUND(DU32,4)&amp;")"</f>
        <v>491.2747*** (48.0877)</v>
      </c>
    </row>
    <row r="39" spans="1:137" x14ac:dyDescent="0.25">
      <c r="A39">
        <v>0.5</v>
      </c>
      <c r="C39" s="190">
        <f>IF(C38*(1+A39*Model!$B$19*IF(Model!$B$28=0,1,((Model!$B$28-B39)/(Model!$B$28-$B$9))))&gt;Model!$B$44,C38*(1+A39*Model!$B$19*IF(Model!$B$28=0,1,((Model!$B$28-B39)/(Model!$B$28-$B$9)))),Model!$B$44)</f>
        <v>50</v>
      </c>
      <c r="D39" s="18" cm="1">
        <f t="array" ref="D39">SUMPRODUCT(('Old CCC projections data'!$F$1:$BN$1=$B39)*('Old CCC projections data'!$A$2:$A$271=D$2)*('Old CCC projections data'!$D$2:$D$271=D$3)*('Old CCC projections data'!$F$2:$BN$271))*Model!$B$47</f>
        <v>0</v>
      </c>
      <c r="E39" s="18" cm="1">
        <f t="array" ref="E39">SUMPRODUCT(('Old CCC projections data'!$F$1:$BN$1=$B39)*('Old CCC projections data'!$A$2:$A$271=E$2)*('Old CCC projections data'!$D$2:$D$271=E$3)*('Old CCC projections data'!$F$2:$BN$271))*Model!$B$47</f>
        <v>0</v>
      </c>
      <c r="F39" s="128"/>
      <c r="G39" s="128"/>
      <c r="H39" s="18" cm="1">
        <f t="array" ref="H39">SUMPRODUCT(('Old CCC projections data'!$F$1:$BN$1=$B39)*('Old CCC projections data'!$A$2:$A$271=H$2)*('Old CCC projections data'!$D$2:$D$271=H$3)*('Old CCC projections data'!$F$2:$BN$271))*Model!$B$47</f>
        <v>0</v>
      </c>
      <c r="I39" s="18">
        <f t="shared" si="39"/>
        <v>445.18974570267221</v>
      </c>
      <c r="J39" s="18">
        <f t="shared" si="40"/>
        <v>593.58632760356295</v>
      </c>
      <c r="K39" s="18">
        <f t="shared" si="41"/>
        <v>741.98290950445369</v>
      </c>
      <c r="L39" s="18">
        <f t="shared" si="42"/>
        <v>890.37949140534442</v>
      </c>
      <c r="M39" s="18">
        <f t="shared" si="43"/>
        <v>148.39658190089074</v>
      </c>
      <c r="N39" s="189">
        <f t="shared" si="44"/>
        <v>347.3938888409358</v>
      </c>
      <c r="O39" s="18">
        <f t="shared" si="45"/>
        <v>1.1871345029239767E-2</v>
      </c>
      <c r="AY39">
        <v>50</v>
      </c>
      <c r="AZ39">
        <v>35</v>
      </c>
      <c r="BA39">
        <v>70</v>
      </c>
      <c r="CY39" s="20" t="str">
        <f t="shared" si="36"/>
        <v>Demo path - C price $150 3%</v>
      </c>
      <c r="CZ39" s="3">
        <f t="shared" si="34"/>
        <v>2029</v>
      </c>
      <c r="DA39" s="18">
        <f t="shared" si="31"/>
        <v>0</v>
      </c>
      <c r="DB39" s="18">
        <f ca="1">(I14+IF($DB$3&gt;0,NPV($DB$2,I15:OFFSET(I14,$DB$3,0)),0))/($DB$3+1)</f>
        <v>212.6251019257781</v>
      </c>
      <c r="DC39" s="18">
        <f t="shared" ca="1" si="20"/>
        <v>62.625101925778097</v>
      </c>
      <c r="DD39" s="18">
        <f t="shared" si="37"/>
        <v>150</v>
      </c>
      <c r="DE39" s="20">
        <f t="shared" si="35"/>
        <v>35177.841893805635</v>
      </c>
      <c r="DF39" s="20" cm="1">
        <f t="array" ref="DF39">SUMPRODUCT(($BG$2:$BM$2=CY39)*($B$5:$B$35=CZ39)*($BG$5:$BM$35))</f>
        <v>30506.410255687915</v>
      </c>
      <c r="DG39" s="20">
        <f t="shared" si="46"/>
        <v>4671.4316381177196</v>
      </c>
      <c r="DH39" s="20" cm="1">
        <f t="array" ref="DH39">IF(CZ39=2023,SUMPRODUCT(($B$5:$B$35=CZ39-1)*($BN$5:$BN$35))-SUMPRODUCT(($BG$2:$BM$2=CY39)*($B$5:$B$35=CZ39-1)*($BG$5:$BM$35)),DG38)</f>
        <v>4060.1344135118125</v>
      </c>
      <c r="DI39" s="18">
        <f t="shared" ca="1" si="47"/>
        <v>212.6251019257781</v>
      </c>
      <c r="DJ39" s="89">
        <f t="shared" si="48"/>
        <v>8.4492208643076161</v>
      </c>
      <c r="DK39" s="89">
        <f t="shared" si="23"/>
        <v>8.3089713588240688</v>
      </c>
      <c r="DL39" s="89">
        <f t="shared" ca="1" si="24"/>
        <v>5.3595305300846494</v>
      </c>
      <c r="DM39" s="20">
        <f t="shared" ca="1" si="25"/>
        <v>1792.7568045767221</v>
      </c>
      <c r="DN39" s="20">
        <f t="shared" ca="1" si="49"/>
        <v>4319.6646431150248</v>
      </c>
      <c r="DO39" s="20">
        <f t="shared" ca="1" si="27"/>
        <v>3056.2107238458734</v>
      </c>
      <c r="DP39" s="113"/>
      <c r="DQ39" s="2"/>
      <c r="DR39" s="3"/>
      <c r="DT39" s="119">
        <f>DT21</f>
        <v>0.98170520839832631</v>
      </c>
    </row>
    <row r="40" spans="1:137" x14ac:dyDescent="0.25">
      <c r="A40">
        <v>0.5</v>
      </c>
      <c r="C40" s="190">
        <f>IF(C39*(1+A40*Model!$B$19*IF(Model!$B$28=0,1,((Model!$B$28-B40)/(Model!$B$28-$B$9))))&gt;Model!$B$44,C39*(1+A40*Model!$B$19*IF(Model!$B$28=0,1,((Model!$B$28-B40)/(Model!$B$28-$B$9)))),Model!$B$44)</f>
        <v>50</v>
      </c>
      <c r="D40" s="18" cm="1">
        <f t="array" ref="D40">SUMPRODUCT(('Old CCC projections data'!$F$1:$BN$1=$B40)*('Old CCC projections data'!$A$2:$A$271=D$2)*('Old CCC projections data'!$D$2:$D$271=D$3)*('Old CCC projections data'!$F$2:$BN$271))*Model!$B$47</f>
        <v>0</v>
      </c>
      <c r="E40" s="18" cm="1">
        <f t="array" ref="E40">SUMPRODUCT(('Old CCC projections data'!$F$1:$BN$1=$B40)*('Old CCC projections data'!$A$2:$A$271=E$2)*('Old CCC projections data'!$D$2:$D$271=E$3)*('Old CCC projections data'!$F$2:$BN$271))*Model!$B$47</f>
        <v>0</v>
      </c>
      <c r="F40" s="128"/>
      <c r="G40" s="128"/>
      <c r="H40" s="18" cm="1">
        <f t="array" ref="H40">SUMPRODUCT(('Old CCC projections data'!$F$1:$BN$1=$B40)*('Old CCC projections data'!$A$2:$A$271=H$2)*('Old CCC projections data'!$D$2:$D$271=H$3)*('Old CCC projections data'!$F$2:$BN$271))*Model!$B$47</f>
        <v>0</v>
      </c>
      <c r="I40" s="18">
        <f t="shared" si="39"/>
        <v>458.54543807375239</v>
      </c>
      <c r="J40" s="18">
        <f t="shared" si="40"/>
        <v>611.39391743166982</v>
      </c>
      <c r="K40" s="18">
        <f t="shared" si="41"/>
        <v>764.24239678958736</v>
      </c>
      <c r="L40" s="18">
        <f t="shared" si="42"/>
        <v>917.09087614750479</v>
      </c>
      <c r="M40" s="18">
        <f t="shared" si="43"/>
        <v>152.84847935791745</v>
      </c>
      <c r="N40" s="189">
        <f t="shared" si="44"/>
        <v>357.81570550616391</v>
      </c>
      <c r="O40" s="18">
        <f t="shared" si="45"/>
        <v>1.1871345029239767E-2</v>
      </c>
      <c r="AY40">
        <v>50</v>
      </c>
      <c r="AZ40">
        <v>35</v>
      </c>
      <c r="BA40">
        <v>70</v>
      </c>
      <c r="CY40" s="20" t="str">
        <f t="shared" si="36"/>
        <v>Demo path - C price $150 3%</v>
      </c>
      <c r="CZ40" s="3">
        <f t="shared" si="34"/>
        <v>2030</v>
      </c>
      <c r="DA40" s="18">
        <f t="shared" si="31"/>
        <v>0</v>
      </c>
      <c r="DB40" s="18">
        <f ca="1">(I15+IF($DB$3&gt;0,NPV($DB$2,I16:OFFSET(I15,$DB$3,0)),0))/($DB$3+1)</f>
        <v>219.00385498355143</v>
      </c>
      <c r="DC40" s="18">
        <f t="shared" ca="1" si="20"/>
        <v>69.003854983551435</v>
      </c>
      <c r="DD40" s="18">
        <f t="shared" si="37"/>
        <v>150</v>
      </c>
      <c r="DE40" s="20">
        <f t="shared" si="35"/>
        <v>33772.256001092159</v>
      </c>
      <c r="DF40" s="20" cm="1">
        <f t="array" ref="DF40">SUMPRODUCT(($BG$2:$BM$2=CY40)*($B$5:$B$35=CZ40)*($BG$5:$BM$35))</f>
        <v>28556.577765745133</v>
      </c>
      <c r="DG40" s="20">
        <f t="shared" si="46"/>
        <v>5215.6782353470262</v>
      </c>
      <c r="DH40" s="20" cm="1">
        <f t="array" ref="DH40">IF(CZ40=2023,SUMPRODUCT(($B$5:$B$35=CZ40-1)*($BN$5:$BN$35))-SUMPRODUCT(($BG$2:$BM$2=CY40)*($B$5:$B$35=CZ40-1)*($BG$5:$BM$35)),DG39)</f>
        <v>4671.4316381177196</v>
      </c>
      <c r="DI40" s="18">
        <f t="shared" ca="1" si="47"/>
        <v>219.00385498355143</v>
      </c>
      <c r="DJ40" s="89">
        <f t="shared" si="48"/>
        <v>8.5594244136950834</v>
      </c>
      <c r="DK40" s="89">
        <f t="shared" si="23"/>
        <v>8.4492208643076161</v>
      </c>
      <c r="DL40" s="89">
        <f t="shared" ca="1" si="24"/>
        <v>5.3890893323261944</v>
      </c>
      <c r="DM40" s="20">
        <f t="shared" ca="1" si="25"/>
        <v>2001.5441453949761</v>
      </c>
      <c r="DN40" s="20">
        <f t="shared" ca="1" si="49"/>
        <v>4575.6390264612392</v>
      </c>
      <c r="DO40" s="20">
        <f t="shared" ca="1" si="27"/>
        <v>3288.5915859281076</v>
      </c>
      <c r="DP40" s="113"/>
      <c r="DQ40" s="2"/>
      <c r="DR40" s="3"/>
    </row>
    <row r="41" spans="1:137" x14ac:dyDescent="0.25">
      <c r="A41">
        <v>0.5</v>
      </c>
      <c r="C41" s="190">
        <f>IF(C40*(1+A41*Model!$B$19*IF(Model!$B$28=0,1,((Model!$B$28-B41)/(Model!$B$28-$B$9))))&gt;Model!$B$44,C40*(1+A41*Model!$B$19*IF(Model!$B$28=0,1,((Model!$B$28-B41)/(Model!$B$28-$B$9)))),Model!$B$44)</f>
        <v>50</v>
      </c>
      <c r="D41" s="18" cm="1">
        <f t="array" ref="D41">SUMPRODUCT(('Old CCC projections data'!$F$1:$BN$1=$B41)*('Old CCC projections data'!$A$2:$A$271=D$2)*('Old CCC projections data'!$D$2:$D$271=D$3)*('Old CCC projections data'!$F$2:$BN$271))*Model!$B$47</f>
        <v>0</v>
      </c>
      <c r="E41" s="18" cm="1">
        <f t="array" ref="E41">SUMPRODUCT(('Old CCC projections data'!$F$1:$BN$1=$B41)*('Old CCC projections data'!$A$2:$A$271=E$2)*('Old CCC projections data'!$D$2:$D$271=E$3)*('Old CCC projections data'!$F$2:$BN$271))*Model!$B$47</f>
        <v>0</v>
      </c>
      <c r="F41" s="128"/>
      <c r="G41" s="128"/>
      <c r="H41" s="18" cm="1">
        <f t="array" ref="H41">SUMPRODUCT(('Old CCC projections data'!$F$1:$BN$1=$B41)*('Old CCC projections data'!$A$2:$A$271=H$2)*('Old CCC projections data'!$D$2:$D$271=H$3)*('Old CCC projections data'!$F$2:$BN$271))*Model!$B$47</f>
        <v>0</v>
      </c>
      <c r="I41" s="18">
        <f t="shared" si="39"/>
        <v>472.30180121596499</v>
      </c>
      <c r="J41" s="18">
        <f t="shared" si="40"/>
        <v>629.73573495461994</v>
      </c>
      <c r="K41" s="18">
        <f t="shared" si="41"/>
        <v>787.16966869327496</v>
      </c>
      <c r="L41" s="18">
        <f t="shared" si="42"/>
        <v>944.60360243192997</v>
      </c>
      <c r="M41" s="18">
        <f t="shared" si="43"/>
        <v>157.43393373865499</v>
      </c>
      <c r="N41" s="189">
        <f t="shared" si="44"/>
        <v>368.55017667134882</v>
      </c>
      <c r="O41" s="18">
        <f t="shared" si="45"/>
        <v>1.1871345029239767E-2</v>
      </c>
      <c r="AY41">
        <v>50</v>
      </c>
      <c r="AZ41">
        <v>35</v>
      </c>
      <c r="BA41">
        <v>70</v>
      </c>
      <c r="CY41" s="20" t="str">
        <f t="shared" si="36"/>
        <v>Demo path - C price $150 3%</v>
      </c>
      <c r="CZ41" s="3">
        <f t="shared" si="34"/>
        <v>2031</v>
      </c>
      <c r="DA41" s="18">
        <f t="shared" si="31"/>
        <v>0</v>
      </c>
      <c r="DB41" s="18">
        <f ca="1">(I16+IF($DB$3&gt;0,NPV($DB$2,I17:OFFSET(I16,$DB$3,0)),0))/($DB$3+1)</f>
        <v>225.57397063305797</v>
      </c>
      <c r="DC41" s="18">
        <f t="shared" ca="1" si="20"/>
        <v>75.573970633057968</v>
      </c>
      <c r="DD41" s="18">
        <f t="shared" si="37"/>
        <v>150</v>
      </c>
      <c r="DE41" s="20">
        <f t="shared" si="35"/>
        <v>32544.850715439803</v>
      </c>
      <c r="DF41" s="20" cm="1">
        <f t="array" ref="DF41">SUMPRODUCT(($BG$2:$BM$2=CY41)*($B$5:$B$35=CZ41)*($BG$5:$BM$35))</f>
        <v>27371.747361113568</v>
      </c>
      <c r="DG41" s="20">
        <f t="shared" si="46"/>
        <v>5173.1033543262347</v>
      </c>
      <c r="DH41" s="20" cm="1">
        <f t="array" ref="DH41">IF(CZ41=2023,SUMPRODUCT(($B$5:$B$35=CZ41-1)*($BN$5:$BN$35))-SUMPRODUCT(($BG$2:$BM$2=CY41)*($B$5:$B$35=CZ41-1)*($BG$5:$BM$35)),DG40)</f>
        <v>5215.6782353470262</v>
      </c>
      <c r="DI41" s="18">
        <f t="shared" ca="1" si="47"/>
        <v>225.57397063305797</v>
      </c>
      <c r="DJ41" s="89">
        <f t="shared" si="48"/>
        <v>8.5512280493759807</v>
      </c>
      <c r="DK41" s="89">
        <f t="shared" si="23"/>
        <v>8.5594244136950834</v>
      </c>
      <c r="DL41" s="89">
        <f t="shared" ca="1" si="24"/>
        <v>5.4186481345677384</v>
      </c>
      <c r="DM41" s="20">
        <f t="shared" ca="1" si="25"/>
        <v>2207.3220251812654</v>
      </c>
      <c r="DN41" s="20">
        <f t="shared" ca="1" si="49"/>
        <v>4778.0802439883491</v>
      </c>
      <c r="DO41" s="20">
        <f t="shared" ca="1" si="27"/>
        <v>3492.7011345848073</v>
      </c>
      <c r="DP41" s="113"/>
      <c r="DQ41" s="2"/>
      <c r="DR41" s="3"/>
    </row>
    <row r="42" spans="1:137" x14ac:dyDescent="0.25">
      <c r="A42">
        <v>0.5</v>
      </c>
      <c r="C42" s="190">
        <f>IF(C41*(1+A42*Model!$B$19*IF(Model!$B$28=0,1,((Model!$B$28-B42)/(Model!$B$28-$B$9))))&gt;Model!$B$44,C41*(1+A42*Model!$B$19*IF(Model!$B$28=0,1,((Model!$B$28-B42)/(Model!$B$28-$B$9)))),Model!$B$44)</f>
        <v>50</v>
      </c>
      <c r="D42" s="18" cm="1">
        <f t="array" ref="D42">SUMPRODUCT(('Old CCC projections data'!$F$1:$BN$1=$B42)*('Old CCC projections data'!$A$2:$A$271=D$2)*('Old CCC projections data'!$D$2:$D$271=D$3)*('Old CCC projections data'!$F$2:$BN$271))*Model!$B$47</f>
        <v>0</v>
      </c>
      <c r="E42" s="18" cm="1">
        <f t="array" ref="E42">SUMPRODUCT(('Old CCC projections data'!$F$1:$BN$1=$B42)*('Old CCC projections data'!$A$2:$A$271=E$2)*('Old CCC projections data'!$D$2:$D$271=E$3)*('Old CCC projections data'!$F$2:$BN$271))*Model!$B$47</f>
        <v>0</v>
      </c>
      <c r="F42" s="128"/>
      <c r="G42" s="128"/>
      <c r="H42" s="18" cm="1">
        <f t="array" ref="H42">SUMPRODUCT(('Old CCC projections data'!$F$1:$BN$1=$B42)*('Old CCC projections data'!$A$2:$A$271=H$2)*('Old CCC projections data'!$D$2:$D$271=H$3)*('Old CCC projections data'!$F$2:$BN$271))*Model!$B$47</f>
        <v>0</v>
      </c>
      <c r="I42" s="18">
        <f t="shared" si="39"/>
        <v>486.47085525244393</v>
      </c>
      <c r="J42" s="18">
        <f t="shared" si="40"/>
        <v>648.62780700325857</v>
      </c>
      <c r="K42" s="18">
        <f t="shared" si="41"/>
        <v>810.78475875407321</v>
      </c>
      <c r="L42" s="18">
        <f t="shared" si="42"/>
        <v>972.94171050488785</v>
      </c>
      <c r="M42" s="18">
        <f t="shared" si="43"/>
        <v>162.15695175081464</v>
      </c>
      <c r="N42" s="189">
        <f t="shared" si="44"/>
        <v>379.60668197148931</v>
      </c>
      <c r="O42" s="18">
        <f t="shared" si="45"/>
        <v>1.1871345029239767E-2</v>
      </c>
      <c r="AY42">
        <v>50</v>
      </c>
      <c r="AZ42">
        <v>35</v>
      </c>
      <c r="BA42">
        <v>70</v>
      </c>
      <c r="BD42" s="20" cm="1">
        <f t="array" ref="BD42">SUMPRODUCT(('Old CCC projections data'!$F$1:$BN$1=$B5)*('Old CCC projections data'!$A$2:$A$271=BD$2)*('Old CCC projections data'!$D$2:$D$271=BD$3)*('Old CCC projections data'!$F$2:$BN$271))</f>
        <v>36911.614290734949</v>
      </c>
      <c r="BN42" s="20" cm="1">
        <f t="array" ref="BN42">SUMPRODUCT(('Old CCC projections data'!$F$1:$BN$1=$B5)*('Old CCC projections data'!$A$2:$A$271=BN$2)*('Old CCC projections data'!$D$2:$D$271=BN$3)*('Old CCC projections data'!$F$2:$BN$271))</f>
        <v>36911.614290734949</v>
      </c>
      <c r="CY42" s="20" t="str">
        <f t="shared" si="36"/>
        <v>Demo path - C price $150 3%</v>
      </c>
      <c r="CZ42" s="3">
        <f t="shared" si="34"/>
        <v>2032</v>
      </c>
      <c r="DA42" s="18">
        <f t="shared" si="31"/>
        <v>0</v>
      </c>
      <c r="DB42" s="18">
        <f ca="1">(I17+IF($DB$3&gt;0,NPV($DB$2,I18:OFFSET(I17,$DB$3,0)),0))/($DB$3+1)</f>
        <v>232.34118975204973</v>
      </c>
      <c r="DC42" s="18">
        <f t="shared" ca="1" si="20"/>
        <v>82.341189752049729</v>
      </c>
      <c r="DD42" s="18">
        <f t="shared" si="37"/>
        <v>150</v>
      </c>
      <c r="DE42" s="20">
        <f t="shared" si="35"/>
        <v>31317.445429787447</v>
      </c>
      <c r="DF42" s="20" cm="1">
        <f t="array" ref="DF42">SUMPRODUCT(($BG$2:$BM$2=CY42)*($B$5:$B$35=CZ42)*($BG$5:$BM$35))</f>
        <v>26110.915672621722</v>
      </c>
      <c r="DG42" s="20">
        <f t="shared" si="46"/>
        <v>5206.5297571657247</v>
      </c>
      <c r="DH42" s="20" cm="1">
        <f t="array" ref="DH42">IF(CZ42=2023,SUMPRODUCT(($B$5:$B$35=CZ42-1)*($BN$5:$BN$35))-SUMPRODUCT(($BG$2:$BM$2=CY42)*($B$5:$B$35=CZ42-1)*($BG$5:$BM$35)),DG41)</f>
        <v>5173.1033543262347</v>
      </c>
      <c r="DI42" s="18">
        <f t="shared" ca="1" si="47"/>
        <v>232.34118975204973</v>
      </c>
      <c r="DJ42" s="89">
        <f t="shared" si="48"/>
        <v>8.5576688393412539</v>
      </c>
      <c r="DK42" s="89">
        <f t="shared" si="23"/>
        <v>8.5512280493759807</v>
      </c>
      <c r="DL42" s="89">
        <f t="shared" ca="1" si="24"/>
        <v>5.4482069368092834</v>
      </c>
      <c r="DM42" s="20">
        <f t="shared" ca="1" si="25"/>
        <v>2410.554917935307</v>
      </c>
      <c r="DN42" s="20">
        <f t="shared" ca="1" si="49"/>
        <v>4946.2768854365113</v>
      </c>
      <c r="DO42" s="20">
        <f t="shared" ca="1" si="27"/>
        <v>3678.4159016859094</v>
      </c>
      <c r="DP42" s="113"/>
      <c r="DQ42" s="2"/>
      <c r="DR42" s="3"/>
    </row>
    <row r="43" spans="1:137" x14ac:dyDescent="0.25">
      <c r="A43">
        <v>0.5</v>
      </c>
      <c r="C43" s="190">
        <f>IF(C42*(1+A43*Model!$B$19*IF(Model!$B$28=0,1,((Model!$B$28-B43)/(Model!$B$28-$B$9))))&gt;Model!$B$44,C42*(1+A43*Model!$B$19*IF(Model!$B$28=0,1,((Model!$B$28-B43)/(Model!$B$28-$B$9)))),Model!$B$44)</f>
        <v>50</v>
      </c>
      <c r="D43" s="18" cm="1">
        <f t="array" ref="D43">SUMPRODUCT(('Old CCC projections data'!$F$1:$BN$1=$B43)*('Old CCC projections data'!$A$2:$A$271=D$2)*('Old CCC projections data'!$D$2:$D$271=D$3)*('Old CCC projections data'!$F$2:$BN$271))*Model!$B$47</f>
        <v>0</v>
      </c>
      <c r="E43" s="18" cm="1">
        <f t="array" ref="E43">SUMPRODUCT(('Old CCC projections data'!$F$1:$BN$1=$B43)*('Old CCC projections data'!$A$2:$A$271=E$2)*('Old CCC projections data'!$D$2:$D$271=E$3)*('Old CCC projections data'!$F$2:$BN$271))*Model!$B$47</f>
        <v>0</v>
      </c>
      <c r="F43" s="128"/>
      <c r="G43" s="128"/>
      <c r="H43" s="18" cm="1">
        <f t="array" ref="H43">SUMPRODUCT(('Old CCC projections data'!$F$1:$BN$1=$B43)*('Old CCC projections data'!$A$2:$A$271=H$2)*('Old CCC projections data'!$D$2:$D$271=H$3)*('Old CCC projections data'!$F$2:$BN$271))*Model!$B$47</f>
        <v>0</v>
      </c>
      <c r="I43" s="18">
        <f t="shared" si="39"/>
        <v>501.06498091001725</v>
      </c>
      <c r="J43" s="18">
        <f t="shared" si="40"/>
        <v>668.0866412133563</v>
      </c>
      <c r="K43" s="18">
        <f t="shared" si="41"/>
        <v>835.10830151669541</v>
      </c>
      <c r="L43" s="18">
        <f t="shared" si="42"/>
        <v>1002.1299618200345</v>
      </c>
      <c r="M43" s="18">
        <f t="shared" si="43"/>
        <v>167.02166030333908</v>
      </c>
      <c r="N43" s="189">
        <f t="shared" si="44"/>
        <v>390.99488243063399</v>
      </c>
      <c r="O43" s="18">
        <f t="shared" si="45"/>
        <v>1.1871345029239767E-2</v>
      </c>
      <c r="AY43">
        <v>50</v>
      </c>
      <c r="AZ43">
        <v>35</v>
      </c>
      <c r="BA43">
        <v>70</v>
      </c>
      <c r="BD43" s="20" cm="1">
        <f t="array" ref="BD43">SUMPRODUCT(('Old CCC projections data'!$F$1:$BN$1=$B6)*('Old CCC projections data'!$A$2:$A$271=BD$2)*('Old CCC projections data'!$D$2:$D$271=BD$3)*('Old CCC projections data'!$F$2:$BN$271))</f>
        <v>38608.138350594621</v>
      </c>
      <c r="BN43" s="20" cm="1">
        <f t="array" ref="BN43">SUMPRODUCT(('Old CCC projections data'!$F$1:$BN$1=$B6)*('Old CCC projections data'!$A$2:$A$271=BN$2)*('Old CCC projections data'!$D$2:$D$271=BN$3)*('Old CCC projections data'!$F$2:$BN$271))</f>
        <v>38521.959707184818</v>
      </c>
      <c r="CY43" s="20" t="str">
        <f t="shared" si="36"/>
        <v>Demo path - C price $150 3%</v>
      </c>
      <c r="CZ43" s="3">
        <f t="shared" si="34"/>
        <v>2033</v>
      </c>
      <c r="DA43" s="18">
        <f t="shared" si="31"/>
        <v>0</v>
      </c>
      <c r="DB43" s="18">
        <f ca="1">(I18+IF($DB$3&gt;0,NPV($DB$2,I19:OFFSET(I18,$DB$3,0)),0))/($DB$3+1)</f>
        <v>239.31142544461125</v>
      </c>
      <c r="DC43" s="18">
        <f t="shared" ca="1" si="20"/>
        <v>89.311425444611245</v>
      </c>
      <c r="DD43" s="18">
        <f t="shared" si="37"/>
        <v>150</v>
      </c>
      <c r="DE43" s="20">
        <f t="shared" si="35"/>
        <v>30090.040144135091</v>
      </c>
      <c r="DF43" s="20" cm="1">
        <f t="array" ref="DF43">SUMPRODUCT(($BG$2:$BM$2=CY43)*($B$5:$B$35=CZ43)*($BG$5:$BM$35))</f>
        <v>24879.907035559325</v>
      </c>
      <c r="DG43" s="20">
        <f t="shared" si="46"/>
        <v>5210.1331085757665</v>
      </c>
      <c r="DH43" s="20" cm="1">
        <f t="array" ref="DH43">IF(CZ43=2023,SUMPRODUCT(($B$5:$B$35=CZ43-1)*($BN$5:$BN$35))-SUMPRODUCT(($BG$2:$BM$2=CY43)*($B$5:$B$35=CZ43-1)*($BG$5:$BM$35)),DG42)</f>
        <v>5206.5297571657247</v>
      </c>
      <c r="DI43" s="18">
        <f t="shared" ca="1" si="47"/>
        <v>239.31142544461125</v>
      </c>
      <c r="DJ43" s="89">
        <f t="shared" si="48"/>
        <v>8.5583606830920225</v>
      </c>
      <c r="DK43" s="89">
        <f t="shared" si="23"/>
        <v>8.5576688393412539</v>
      </c>
      <c r="DL43" s="89">
        <f t="shared" ca="1" si="24"/>
        <v>5.4777657390508274</v>
      </c>
      <c r="DM43" s="20">
        <f t="shared" ca="1" si="25"/>
        <v>2611.6880437441728</v>
      </c>
      <c r="DN43" s="20">
        <f t="shared" ca="1" si="49"/>
        <v>5093.3423286563075</v>
      </c>
      <c r="DO43" s="20">
        <f t="shared" ca="1" si="27"/>
        <v>3852.5151862002404</v>
      </c>
      <c r="DP43" s="113"/>
      <c r="DQ43" s="2"/>
      <c r="DR43" s="3"/>
    </row>
    <row r="44" spans="1:137" x14ac:dyDescent="0.25">
      <c r="A44">
        <v>0.5</v>
      </c>
      <c r="C44" s="190">
        <f>IF(C43*(1+A44*Model!$B$19*IF(Model!$B$28=0,1,((Model!$B$28-B44)/(Model!$B$28-$B$9))))&gt;Model!$B$44,C43*(1+A44*Model!$B$19*IF(Model!$B$28=0,1,((Model!$B$28-B44)/(Model!$B$28-$B$9)))),Model!$B$44)</f>
        <v>50</v>
      </c>
      <c r="D44" s="18" cm="1">
        <f t="array" ref="D44">SUMPRODUCT(('Old CCC projections data'!$F$1:$BN$1=$B44)*('Old CCC projections data'!$A$2:$A$271=D$2)*('Old CCC projections data'!$D$2:$D$271=D$3)*('Old CCC projections data'!$F$2:$BN$271))*Model!$B$47</f>
        <v>0</v>
      </c>
      <c r="E44" s="18" cm="1">
        <f t="array" ref="E44">SUMPRODUCT(('Old CCC projections data'!$F$1:$BN$1=$B44)*('Old CCC projections data'!$A$2:$A$271=E$2)*('Old CCC projections data'!$D$2:$D$271=E$3)*('Old CCC projections data'!$F$2:$BN$271))*Model!$B$47</f>
        <v>0</v>
      </c>
      <c r="F44" s="128"/>
      <c r="G44" s="128"/>
      <c r="H44" s="18" cm="1">
        <f t="array" ref="H44">SUMPRODUCT(('Old CCC projections data'!$F$1:$BN$1=$B44)*('Old CCC projections data'!$A$2:$A$271=H$2)*('Old CCC projections data'!$D$2:$D$271=H$3)*('Old CCC projections data'!$F$2:$BN$271))*Model!$B$47</f>
        <v>0</v>
      </c>
      <c r="I44" s="18">
        <f t="shared" si="39"/>
        <v>516.09693033731776</v>
      </c>
      <c r="J44" s="18">
        <f t="shared" si="40"/>
        <v>688.12924044975705</v>
      </c>
      <c r="K44" s="18">
        <f t="shared" si="41"/>
        <v>860.16155056219634</v>
      </c>
      <c r="L44" s="18">
        <f t="shared" si="42"/>
        <v>1032.1938606746355</v>
      </c>
      <c r="M44" s="18">
        <f t="shared" si="43"/>
        <v>172.03231011243926</v>
      </c>
      <c r="N44" s="189">
        <f t="shared" si="44"/>
        <v>402.724728903553</v>
      </c>
      <c r="O44" s="18">
        <f t="shared" si="45"/>
        <v>1.1871345029239767E-2</v>
      </c>
      <c r="AY44">
        <v>50</v>
      </c>
      <c r="AZ44">
        <v>35</v>
      </c>
      <c r="BA44">
        <v>70</v>
      </c>
      <c r="BD44" s="20" cm="1">
        <f t="array" ref="BD44">SUMPRODUCT(('Old CCC projections data'!$F$1:$BN$1=$B7)*('Old CCC projections data'!$A$2:$A$271=BD$2)*('Old CCC projections data'!$D$2:$D$271=BD$3)*('Old CCC projections data'!$F$2:$BN$271))</f>
        <v>38103.68603900489</v>
      </c>
      <c r="BN44" s="20" cm="1">
        <f t="array" ref="BN44">SUMPRODUCT(('Old CCC projections data'!$F$1:$BN$1=$B7)*('Old CCC projections data'!$A$2:$A$271=BN$2)*('Old CCC projections data'!$D$2:$D$271=BN$3)*('Old CCC projections data'!$F$2:$BN$271))</f>
        <v>37913.089023107546</v>
      </c>
      <c r="CY44" s="20" t="str">
        <f t="shared" si="36"/>
        <v>Demo path - C price $150 3%</v>
      </c>
      <c r="CZ44" s="3">
        <f t="shared" si="34"/>
        <v>2034</v>
      </c>
      <c r="DA44" s="18">
        <f t="shared" si="31"/>
        <v>0</v>
      </c>
      <c r="DB44" s="18">
        <f ca="1">(I19+IF($DB$3&gt;0,NPV($DB$2,I20:OFFSET(I19,$DB$3,0)),0))/($DB$3+1)</f>
        <v>246.49076820794954</v>
      </c>
      <c r="DC44" s="18">
        <f t="shared" ca="1" si="20"/>
        <v>96.490768207949543</v>
      </c>
      <c r="DD44" s="18">
        <f t="shared" si="37"/>
        <v>150</v>
      </c>
      <c r="DE44" s="20">
        <f t="shared" si="35"/>
        <v>28862.634858482736</v>
      </c>
      <c r="DF44" s="20" cm="1">
        <f t="array" ref="DF44">SUMPRODUCT(($BG$2:$BM$2=CY44)*($B$5:$B$35=CZ44)*($BG$5:$BM$35))</f>
        <v>23629.915780703053</v>
      </c>
      <c r="DG44" s="20">
        <f t="shared" si="46"/>
        <v>5232.7190777796823</v>
      </c>
      <c r="DH44" s="20" cm="1">
        <f t="array" ref="DH44">IF(CZ44=2023,SUMPRODUCT(($B$5:$B$35=CZ44-1)*($BN$5:$BN$35))-SUMPRODUCT(($BG$2:$BM$2=CY44)*($B$5:$B$35=CZ44-1)*($BG$5:$BM$35)),DG43)</f>
        <v>5210.1331085757665</v>
      </c>
      <c r="DI44" s="18">
        <f t="shared" ca="1" si="47"/>
        <v>246.49076820794954</v>
      </c>
      <c r="DJ44" s="89">
        <f t="shared" si="48"/>
        <v>8.5626863221067886</v>
      </c>
      <c r="DK44" s="89">
        <f t="shared" si="23"/>
        <v>8.5583606830920225</v>
      </c>
      <c r="DL44" s="89">
        <f t="shared" ca="1" si="24"/>
        <v>5.5073245412923715</v>
      </c>
      <c r="DM44" s="20">
        <f t="shared" ca="1" si="25"/>
        <v>2811.1487766297137</v>
      </c>
      <c r="DN44" s="20">
        <f t="shared" ca="1" si="49"/>
        <v>5227.8841445718008</v>
      </c>
      <c r="DO44" s="20">
        <f t="shared" ca="1" si="27"/>
        <v>4019.5164606007575</v>
      </c>
      <c r="DP44" s="113"/>
      <c r="DQ44" s="2"/>
      <c r="DR44" s="3"/>
    </row>
    <row r="45" spans="1:137" x14ac:dyDescent="0.25">
      <c r="A45">
        <v>0.5</v>
      </c>
      <c r="C45" s="190">
        <f>IF(C44*(1+A45*Model!$B$19*IF(Model!$B$28=0,1,((Model!$B$28-B45)/(Model!$B$28-$B$9))))&gt;Model!$B$44,C44*(1+A45*Model!$B$19*IF(Model!$B$28=0,1,((Model!$B$28-B45)/(Model!$B$28-$B$9)))),Model!$B$44)</f>
        <v>50</v>
      </c>
      <c r="D45" s="18" cm="1">
        <f t="array" ref="D45">SUMPRODUCT(('Old CCC projections data'!$F$1:$BN$1=$B45)*('Old CCC projections data'!$A$2:$A$271=D$2)*('Old CCC projections data'!$D$2:$D$271=D$3)*('Old CCC projections data'!$F$2:$BN$271))*Model!$B$47</f>
        <v>0</v>
      </c>
      <c r="E45" s="18" cm="1">
        <f t="array" ref="E45">SUMPRODUCT(('Old CCC projections data'!$F$1:$BN$1=$B45)*('Old CCC projections data'!$A$2:$A$271=E$2)*('Old CCC projections data'!$D$2:$D$271=E$3)*('Old CCC projections data'!$F$2:$BN$271))*Model!$B$47</f>
        <v>0</v>
      </c>
      <c r="F45" s="128"/>
      <c r="G45" s="128"/>
      <c r="H45" s="18" cm="1">
        <f t="array" ref="H45">SUMPRODUCT(('Old CCC projections data'!$F$1:$BN$1=$B45)*('Old CCC projections data'!$A$2:$A$271=H$2)*('Old CCC projections data'!$D$2:$D$271=H$3)*('Old CCC projections data'!$F$2:$BN$271))*Model!$B$47</f>
        <v>0</v>
      </c>
      <c r="I45" s="18">
        <f t="shared" si="39"/>
        <v>531.57983824743735</v>
      </c>
      <c r="J45" s="18">
        <f t="shared" si="40"/>
        <v>708.77311766324976</v>
      </c>
      <c r="K45" s="18">
        <f t="shared" si="41"/>
        <v>885.96639707906229</v>
      </c>
      <c r="L45" s="18">
        <f t="shared" si="42"/>
        <v>1063.1596764948747</v>
      </c>
      <c r="M45" s="18">
        <f t="shared" si="43"/>
        <v>177.19327941581244</v>
      </c>
      <c r="N45" s="189">
        <f t="shared" si="44"/>
        <v>414.80647077065959</v>
      </c>
      <c r="O45" s="18">
        <f t="shared" si="45"/>
        <v>1.1871345029239767E-2</v>
      </c>
      <c r="AY45">
        <v>50</v>
      </c>
      <c r="AZ45">
        <v>35</v>
      </c>
      <c r="BA45">
        <v>70</v>
      </c>
      <c r="BD45" s="20" cm="1">
        <f t="array" ref="BD45">SUMPRODUCT(('Old CCC projections data'!$F$1:$BN$1=$B8)*('Old CCC projections data'!$A$2:$A$271=BD$2)*('Old CCC projections data'!$D$2:$D$271=BD$3)*('Old CCC projections data'!$F$2:$BN$271))</f>
        <v>37944.784506780321</v>
      </c>
      <c r="BN45" s="20" cm="1">
        <f t="array" ref="BN45">SUMPRODUCT(('Old CCC projections data'!$F$1:$BN$1=$B8)*('Old CCC projections data'!$A$2:$A$271=BN$2)*('Old CCC projections data'!$D$2:$D$271=BN$3)*('Old CCC projections data'!$F$2:$BN$271))</f>
        <v>37354.602072444766</v>
      </c>
      <c r="CY45" s="20" t="str">
        <f t="shared" si="36"/>
        <v>Demo path - C price $150 3%</v>
      </c>
      <c r="CZ45" s="3">
        <f t="shared" si="34"/>
        <v>2035</v>
      </c>
      <c r="DA45" s="18">
        <f t="shared" si="31"/>
        <v>0</v>
      </c>
      <c r="DB45" s="18">
        <f ca="1">(I20+IF($DB$3&gt;0,NPV($DB$2,I21:OFFSET(I20,$DB$3,0)),0))/($DB$3+1)</f>
        <v>253.88549125418805</v>
      </c>
      <c r="DC45" s="18">
        <f t="shared" ca="1" si="20"/>
        <v>103.88549125418805</v>
      </c>
      <c r="DD45" s="18">
        <f t="shared" si="37"/>
        <v>150</v>
      </c>
      <c r="DE45" s="20">
        <f t="shared" si="35"/>
        <v>27635.22957283038</v>
      </c>
      <c r="DF45" s="20" cm="1">
        <f t="array" ref="DF45">SUMPRODUCT(($BG$2:$BM$2=CY45)*($B$5:$B$35=CZ45)*($BG$5:$BM$35))</f>
        <v>22461.050145093184</v>
      </c>
      <c r="DG45" s="20">
        <f t="shared" si="46"/>
        <v>5174.1794277371955</v>
      </c>
      <c r="DH45" s="20" cm="1">
        <f t="array" ref="DH45">IF(CZ45=2023,SUMPRODUCT(($B$5:$B$35=CZ45-1)*($BN$5:$BN$35))-SUMPRODUCT(($BG$2:$BM$2=CY45)*($B$5:$B$35=CZ45-1)*($BG$5:$BM$35)),DG44)</f>
        <v>5232.7190777796823</v>
      </c>
      <c r="DI45" s="18">
        <f t="shared" ca="1" si="47"/>
        <v>253.88549125418805</v>
      </c>
      <c r="DJ45" s="89">
        <f t="shared" si="48"/>
        <v>8.5514360408723959</v>
      </c>
      <c r="DK45" s="89">
        <f t="shared" si="23"/>
        <v>8.5626863221067886</v>
      </c>
      <c r="DL45" s="89">
        <f t="shared" ca="1" si="24"/>
        <v>5.5368833435339164</v>
      </c>
      <c r="DM45" s="20">
        <f t="shared" ca="1" si="25"/>
        <v>3009.3479758518884</v>
      </c>
      <c r="DN45" s="20">
        <f t="shared" ca="1" si="49"/>
        <v>5355.4432317779165</v>
      </c>
      <c r="DO45" s="20">
        <f t="shared" ca="1" si="27"/>
        <v>4182.3956038149026</v>
      </c>
      <c r="DP45" s="113"/>
      <c r="DQ45" s="2"/>
      <c r="DR45" s="3"/>
      <c r="DS45" t="s">
        <v>278</v>
      </c>
    </row>
    <row r="46" spans="1:137" ht="15.75" thickBot="1" x14ac:dyDescent="0.3">
      <c r="A46">
        <v>0.5</v>
      </c>
      <c r="C46" s="190">
        <f>IF(C45*(1+A46*Model!$B$19*IF(Model!$B$28=0,1,((Model!$B$28-B46)/(Model!$B$28-$B$9))))&gt;Model!$B$44,C45*(1+A46*Model!$B$19*IF(Model!$B$28=0,1,((Model!$B$28-B46)/(Model!$B$28-$B$9)))),Model!$B$44)</f>
        <v>50</v>
      </c>
      <c r="D46" s="18" cm="1">
        <f t="array" ref="D46">SUMPRODUCT(('Old CCC projections data'!$F$1:$BN$1=$B46)*('Old CCC projections data'!$A$2:$A$271=D$2)*('Old CCC projections data'!$D$2:$D$271=D$3)*('Old CCC projections data'!$F$2:$BN$271))*Model!$B$47</f>
        <v>0</v>
      </c>
      <c r="E46" s="18" cm="1">
        <f t="array" ref="E46">SUMPRODUCT(('Old CCC projections data'!$F$1:$BN$1=$B46)*('Old CCC projections data'!$A$2:$A$271=E$2)*('Old CCC projections data'!$D$2:$D$271=E$3)*('Old CCC projections data'!$F$2:$BN$271))*Model!$B$47</f>
        <v>0</v>
      </c>
      <c r="F46" s="128"/>
      <c r="G46" s="128"/>
      <c r="H46" s="18" cm="1">
        <f t="array" ref="H46">SUMPRODUCT(('Old CCC projections data'!$F$1:$BN$1=$B46)*('Old CCC projections data'!$A$2:$A$271=H$2)*('Old CCC projections data'!$D$2:$D$271=H$3)*('Old CCC projections data'!$F$2:$BN$271))*Model!$B$47</f>
        <v>0</v>
      </c>
      <c r="I46" s="18">
        <f t="shared" si="39"/>
        <v>547.52723339486045</v>
      </c>
      <c r="J46" s="18">
        <f t="shared" si="40"/>
        <v>730.0363111931473</v>
      </c>
      <c r="K46" s="18">
        <f t="shared" si="41"/>
        <v>912.54538899143415</v>
      </c>
      <c r="L46" s="18">
        <f t="shared" si="42"/>
        <v>1095.0544667897209</v>
      </c>
      <c r="M46" s="18">
        <f t="shared" si="43"/>
        <v>182.50907779828682</v>
      </c>
      <c r="N46" s="189">
        <f t="shared" si="44"/>
        <v>427.2506648937794</v>
      </c>
      <c r="O46" s="18">
        <f t="shared" si="45"/>
        <v>1.1871345029239767E-2</v>
      </c>
      <c r="AY46">
        <v>50</v>
      </c>
      <c r="AZ46">
        <v>35</v>
      </c>
      <c r="BA46">
        <v>70</v>
      </c>
      <c r="BD46" s="20" cm="1">
        <f t="array" ref="BD46">SUMPRODUCT(('Old CCC projections data'!$F$1:$BN$1=$B9)*('Old CCC projections data'!$A$2:$A$271=BD$2)*('Old CCC projections data'!$D$2:$D$271=BD$3)*('Old CCC projections data'!$F$2:$BN$271))</f>
        <v>37465.542235083827</v>
      </c>
      <c r="BN46" s="20" cm="1">
        <f t="array" ref="BN46">SUMPRODUCT(('Old CCC projections data'!$F$1:$BN$1=$B9)*('Old CCC projections data'!$A$2:$A$271=BN$2)*('Old CCC projections data'!$D$2:$D$271=BN$3)*('Old CCC projections data'!$F$2:$BN$271))</f>
        <v>36520.25063854071</v>
      </c>
      <c r="CY46" s="20" t="str">
        <f t="shared" si="36"/>
        <v>Demo path - C price $150 3%</v>
      </c>
      <c r="CZ46" s="3">
        <f t="shared" si="34"/>
        <v>2036</v>
      </c>
      <c r="DA46" s="18">
        <f t="shared" si="31"/>
        <v>0</v>
      </c>
      <c r="DB46" s="18">
        <f ca="1">(I21+IF($DB$3&gt;0,NPV($DB$2,I22:OFFSET(I21,$DB$3,0)),0))/($DB$3+1)</f>
        <v>261.50205599181368</v>
      </c>
      <c r="DC46" s="18">
        <f t="shared" ca="1" si="20"/>
        <v>111.50205599181368</v>
      </c>
      <c r="DD46" s="18">
        <f t="shared" si="37"/>
        <v>150</v>
      </c>
      <c r="DE46" s="20">
        <f t="shared" si="35"/>
        <v>26407.824287178031</v>
      </c>
      <c r="DF46" s="20" cm="1">
        <f t="array" ref="DF46">SUMPRODUCT(($BG$2:$BM$2=CY46)*($B$5:$B$35=CZ46)*($BG$5:$BM$35))</f>
        <v>21268.460655984494</v>
      </c>
      <c r="DG46" s="20">
        <f t="shared" si="46"/>
        <v>5139.363631193537</v>
      </c>
      <c r="DH46" s="20" cm="1">
        <f t="array" ref="DH46">IF(CZ46=2023,SUMPRODUCT(($B$5:$B$35=CZ46-1)*($BN$5:$BN$35))-SUMPRODUCT(($BG$2:$BM$2=CY46)*($B$5:$B$35=CZ46-1)*($BG$5:$BM$35)),DG45)</f>
        <v>5174.1794277371955</v>
      </c>
      <c r="DI46" s="18">
        <f t="shared" ca="1" si="47"/>
        <v>261.50205599181368</v>
      </c>
      <c r="DJ46" s="89">
        <f t="shared" si="48"/>
        <v>8.5446845436236813</v>
      </c>
      <c r="DK46" s="89">
        <f t="shared" si="23"/>
        <v>8.5514360408723959</v>
      </c>
      <c r="DL46" s="89">
        <f t="shared" ca="1" si="24"/>
        <v>5.5664421457754605</v>
      </c>
      <c r="DM46" s="20">
        <f t="shared" ca="1" si="25"/>
        <v>3206.6812454775986</v>
      </c>
      <c r="DN46" s="20">
        <f t="shared" ca="1" si="49"/>
        <v>5479.5501888061999</v>
      </c>
      <c r="DO46" s="20">
        <f t="shared" ca="1" si="27"/>
        <v>4343.115717141899</v>
      </c>
      <c r="DP46" s="113"/>
      <c r="DQ46" s="2"/>
      <c r="DR46" s="3"/>
    </row>
    <row r="47" spans="1:137" x14ac:dyDescent="0.25">
      <c r="A47">
        <v>0.5</v>
      </c>
      <c r="C47" s="190">
        <f>IF(C46*(1+A47*Model!$B$19*IF(Model!$B$28=0,1,((Model!$B$28-B47)/(Model!$B$28-$B$9))))&gt;Model!$B$44,C46*(1+A47*Model!$B$19*IF(Model!$B$28=0,1,((Model!$B$28-B47)/(Model!$B$28-$B$9)))),Model!$B$44)</f>
        <v>50</v>
      </c>
      <c r="D47" s="18" cm="1">
        <f t="array" ref="D47">SUMPRODUCT(('Old CCC projections data'!$F$1:$BN$1=$B47)*('Old CCC projections data'!$A$2:$A$271=D$2)*('Old CCC projections data'!$D$2:$D$271=D$3)*('Old CCC projections data'!$F$2:$BN$271))*Model!$B$47</f>
        <v>0</v>
      </c>
      <c r="E47" s="18" cm="1">
        <f t="array" ref="E47">SUMPRODUCT(('Old CCC projections data'!$F$1:$BN$1=$B47)*('Old CCC projections data'!$A$2:$A$271=E$2)*('Old CCC projections data'!$D$2:$D$271=E$3)*('Old CCC projections data'!$F$2:$BN$271))*Model!$B$47</f>
        <v>0</v>
      </c>
      <c r="H47" s="18" cm="1">
        <f t="array" ref="H47">SUMPRODUCT(('Old CCC projections data'!$F$1:$BN$1=$B47)*('Old CCC projections data'!$A$2:$A$271=H$2)*('Old CCC projections data'!$D$2:$D$271=H$3)*('Old CCC projections data'!$F$2:$BN$271))*Model!$B$47</f>
        <v>0</v>
      </c>
      <c r="I47" s="18">
        <f t="shared" si="39"/>
        <v>563.95305039670632</v>
      </c>
      <c r="J47" s="18">
        <f t="shared" si="40"/>
        <v>751.93740052894179</v>
      </c>
      <c r="K47" s="18">
        <f t="shared" si="41"/>
        <v>939.92175066117716</v>
      </c>
      <c r="L47" s="18">
        <f t="shared" si="42"/>
        <v>1127.9061007934126</v>
      </c>
      <c r="M47" s="18">
        <f t="shared" si="43"/>
        <v>187.98435013223545</v>
      </c>
      <c r="N47" s="189">
        <f t="shared" si="44"/>
        <v>440.06818484059278</v>
      </c>
      <c r="O47" s="18">
        <f t="shared" si="45"/>
        <v>1.1871345029239767E-2</v>
      </c>
      <c r="AY47">
        <v>50</v>
      </c>
      <c r="AZ47">
        <v>35</v>
      </c>
      <c r="BA47">
        <v>70</v>
      </c>
      <c r="BD47" s="20" cm="1">
        <f t="array" ref="BD47">SUMPRODUCT(('Old CCC projections data'!$F$1:$BN$1=$B10)*('Old CCC projections data'!$A$2:$A$271=BD$2)*('Old CCC projections data'!$D$2:$D$271=BD$3)*('Old CCC projections data'!$F$2:$BN$271))</f>
        <v>37346.560634782145</v>
      </c>
      <c r="BN47" s="20" cm="1">
        <f t="array" ref="BN47">SUMPRODUCT(('Old CCC projections data'!$F$1:$BN$1=$B10)*('Old CCC projections data'!$A$2:$A$271=BN$2)*('Old CCC projections data'!$D$2:$D$271=BN$3)*('Old CCC projections data'!$F$2:$BN$271))</f>
        <v>36119.314820792293</v>
      </c>
      <c r="CY47" s="20" t="str">
        <f t="shared" si="36"/>
        <v>Demo path - C price $150 3%</v>
      </c>
      <c r="CZ47" s="3">
        <f t="shared" si="34"/>
        <v>2037</v>
      </c>
      <c r="DA47" s="18">
        <f t="shared" si="31"/>
        <v>0</v>
      </c>
      <c r="DB47" s="18">
        <f ca="1">(I22+IF($DB$3&gt;0,NPV($DB$2,I23:OFFSET(I22,$DB$3,0)),0))/($DB$3+1)</f>
        <v>269.34711767156807</v>
      </c>
      <c r="DC47" s="18">
        <f t="shared" ca="1" si="20"/>
        <v>119.34711767156807</v>
      </c>
      <c r="DD47" s="18">
        <f t="shared" si="37"/>
        <v>150</v>
      </c>
      <c r="DE47" s="20">
        <f t="shared" si="35"/>
        <v>25490.617675668807</v>
      </c>
      <c r="DF47" s="20" cm="1">
        <f t="array" ref="DF47">SUMPRODUCT(($BG$2:$BM$2=CY47)*($B$5:$B$35=CZ47)*($BG$5:$BM$35))</f>
        <v>20055.126164002941</v>
      </c>
      <c r="DG47" s="20">
        <f t="shared" si="46"/>
        <v>5435.4915116658667</v>
      </c>
      <c r="DH47" s="20" cm="1">
        <f t="array" ref="DH47">IF(CZ47=2023,SUMPRODUCT(($B$5:$B$35=CZ47-1)*($BN$5:$BN$35))-SUMPRODUCT(($BG$2:$BM$2=CY47)*($B$5:$B$35=CZ47-1)*($BG$5:$BM$35)),DG46)</f>
        <v>5139.363631193537</v>
      </c>
      <c r="DI47" s="18">
        <f t="shared" ca="1" si="47"/>
        <v>269.34711767156807</v>
      </c>
      <c r="DJ47" s="89">
        <f t="shared" si="48"/>
        <v>8.6007052299954925</v>
      </c>
      <c r="DK47" s="89">
        <f t="shared" si="23"/>
        <v>8.5446845436236813</v>
      </c>
      <c r="DL47" s="89">
        <f t="shared" ca="1" si="24"/>
        <v>5.5960009480170045</v>
      </c>
      <c r="DM47" s="20">
        <f t="shared" ca="1" si="25"/>
        <v>3403.5301267438222</v>
      </c>
      <c r="DN47" s="20">
        <f t="shared" ca="1" si="49"/>
        <v>5602.4457406067331</v>
      </c>
      <c r="DO47" s="20">
        <f t="shared" ca="1" si="27"/>
        <v>4502.9879336752774</v>
      </c>
      <c r="DP47" s="113"/>
      <c r="DQ47" s="2"/>
      <c r="DR47" s="3"/>
      <c r="DS47" s="16" t="s">
        <v>256</v>
      </c>
      <c r="DT47" s="16"/>
    </row>
    <row r="48" spans="1:137" x14ac:dyDescent="0.25">
      <c r="A48">
        <v>0.5</v>
      </c>
      <c r="C48" s="190">
        <f>IF(C47*(1+A48*Model!$B$19*IF(Model!$B$28=0,1,((Model!$B$28-B48)/(Model!$B$28-$B$9))))&gt;Model!$B$44,C47*(1+A48*Model!$B$19*IF(Model!$B$28=0,1,((Model!$B$28-B48)/(Model!$B$28-$B$9)))),Model!$B$44)</f>
        <v>50</v>
      </c>
      <c r="D48" s="18" cm="1">
        <f t="array" ref="D48">SUMPRODUCT(('Old CCC projections data'!$F$1:$BN$1=$B48)*('Old CCC projections data'!$A$2:$A$271=D$2)*('Old CCC projections data'!$D$2:$D$271=D$3)*('Old CCC projections data'!$F$2:$BN$271))*Model!$B$47</f>
        <v>0</v>
      </c>
      <c r="E48" s="18" cm="1">
        <f t="array" ref="E48">SUMPRODUCT(('Old CCC projections data'!$F$1:$BN$1=$B48)*('Old CCC projections data'!$A$2:$A$271=E$2)*('Old CCC projections data'!$D$2:$D$271=E$3)*('Old CCC projections data'!$F$2:$BN$271))*Model!$B$47</f>
        <v>0</v>
      </c>
      <c r="H48" s="18" cm="1">
        <f t="array" ref="H48">SUMPRODUCT(('Old CCC projections data'!$F$1:$BN$1=$B48)*('Old CCC projections data'!$A$2:$A$271=H$2)*('Old CCC projections data'!$D$2:$D$271=H$3)*('Old CCC projections data'!$F$2:$BN$271))*Model!$B$47</f>
        <v>0</v>
      </c>
      <c r="I48" s="18">
        <f t="shared" si="39"/>
        <v>580.87164190860756</v>
      </c>
      <c r="J48" s="18">
        <f t="shared" si="40"/>
        <v>774.49552254481011</v>
      </c>
      <c r="K48" s="18">
        <f t="shared" si="41"/>
        <v>968.11940318101244</v>
      </c>
      <c r="L48" s="18">
        <f t="shared" si="42"/>
        <v>1161.7432838172151</v>
      </c>
      <c r="M48" s="18">
        <f t="shared" si="43"/>
        <v>193.62388063620253</v>
      </c>
      <c r="N48" s="189">
        <f t="shared" si="44"/>
        <v>453.27023038581058</v>
      </c>
      <c r="O48" s="18">
        <f t="shared" si="45"/>
        <v>1.1871345029239767E-2</v>
      </c>
      <c r="AY48">
        <v>50</v>
      </c>
      <c r="AZ48">
        <v>35</v>
      </c>
      <c r="BA48">
        <v>70</v>
      </c>
      <c r="BD48" s="20" cm="1">
        <f t="array" ref="BD48">SUMPRODUCT(('Old CCC projections data'!$F$1:$BN$1=$B11)*('Old CCC projections data'!$A$2:$A$271=BD$2)*('Old CCC projections data'!$D$2:$D$271=BD$3)*('Old CCC projections data'!$F$2:$BN$271))</f>
        <v>37575.194423660228</v>
      </c>
      <c r="BN48" s="20" cm="1">
        <f t="array" ref="BN48">SUMPRODUCT(('Old CCC projections data'!$F$1:$BN$1=$B11)*('Old CCC projections data'!$A$2:$A$271=BN$2)*('Old CCC projections data'!$D$2:$D$271=BN$3)*('Old CCC projections data'!$F$2:$BN$271))</f>
        <v>35989.651978621361</v>
      </c>
      <c r="CY48" s="20" t="str">
        <f t="shared" si="36"/>
        <v>Demo path - C price $150 3%</v>
      </c>
      <c r="CZ48" s="3">
        <f t="shared" si="34"/>
        <v>2038</v>
      </c>
      <c r="DA48" s="18">
        <f t="shared" si="31"/>
        <v>0</v>
      </c>
      <c r="DB48" s="18">
        <f ca="1">(I23+IF($DB$3&gt;0,NPV($DB$2,I24:OFFSET(I23,$DB$3,0)),0))/($DB$3+1)</f>
        <v>277.42753120171511</v>
      </c>
      <c r="DC48" s="18">
        <f t="shared" ca="1" si="20"/>
        <v>127.42753120171511</v>
      </c>
      <c r="DD48" s="18">
        <f t="shared" si="37"/>
        <v>150</v>
      </c>
      <c r="DE48" s="20">
        <f t="shared" si="35"/>
        <v>24570.879657466994</v>
      </c>
      <c r="DF48" s="20" cm="1">
        <f t="array" ref="DF48">SUMPRODUCT(($BG$2:$BM$2=CY48)*($B$5:$B$35=CZ48)*($BG$5:$BM$35))</f>
        <v>19029.113827849309</v>
      </c>
      <c r="DG48" s="20">
        <f t="shared" si="46"/>
        <v>5541.7658296176851</v>
      </c>
      <c r="DH48" s="20" cm="1">
        <f t="array" ref="DH48">IF(CZ48=2023,SUMPRODUCT(($B$5:$B$35=CZ48-1)*($BN$5:$BN$35))-SUMPRODUCT(($BG$2:$BM$2=CY48)*($B$5:$B$35=CZ48-1)*($BG$5:$BM$35)),DG47)</f>
        <v>5435.4915116658667</v>
      </c>
      <c r="DI48" s="18">
        <f t="shared" ca="1" si="47"/>
        <v>277.42753120171511</v>
      </c>
      <c r="DJ48" s="89">
        <f t="shared" si="48"/>
        <v>8.6200684707621971</v>
      </c>
      <c r="DK48" s="89">
        <f t="shared" si="23"/>
        <v>8.6007052299954925</v>
      </c>
      <c r="DL48" s="89">
        <f t="shared" ca="1" si="24"/>
        <v>5.6255597502585495</v>
      </c>
      <c r="DM48" s="20">
        <f t="shared" ca="1" si="25"/>
        <v>3600.2632274800153</v>
      </c>
      <c r="DN48" s="20">
        <f t="shared" ca="1" si="49"/>
        <v>5725.5534112700225</v>
      </c>
      <c r="DO48" s="20">
        <f t="shared" ca="1" si="27"/>
        <v>4662.9083193750193</v>
      </c>
      <c r="DP48" s="113"/>
      <c r="DQ48" s="2"/>
      <c r="DR48" s="3"/>
      <c r="DS48" t="s">
        <v>257</v>
      </c>
      <c r="DT48">
        <v>0.9877174415484925</v>
      </c>
      <c r="EE48" t="s">
        <v>246</v>
      </c>
      <c r="EF48" t="s">
        <v>279</v>
      </c>
      <c r="EG48" t="s">
        <v>280</v>
      </c>
    </row>
    <row r="49" spans="1:143" x14ac:dyDescent="0.25">
      <c r="A49">
        <v>0.5</v>
      </c>
      <c r="C49" s="190">
        <f>IF(C48*(1+A49*Model!$B$19*IF(Model!$B$28=0,1,((Model!$B$28-B49)/(Model!$B$28-$B$9))))&gt;Model!$B$44,C48*(1+A49*Model!$B$19*IF(Model!$B$28=0,1,((Model!$B$28-B49)/(Model!$B$28-$B$9)))),Model!$B$44)</f>
        <v>50</v>
      </c>
      <c r="D49" s="18" cm="1">
        <f t="array" ref="D49">SUMPRODUCT(('Old CCC projections data'!$F$1:$BN$1=$B49)*('Old CCC projections data'!$A$2:$A$271=D$2)*('Old CCC projections data'!$D$2:$D$271=D$3)*('Old CCC projections data'!$F$2:$BN$271))*Model!$B$47</f>
        <v>0</v>
      </c>
      <c r="E49" s="18" cm="1">
        <f t="array" ref="E49">SUMPRODUCT(('Old CCC projections data'!$F$1:$BN$1=$B49)*('Old CCC projections data'!$A$2:$A$271=E$2)*('Old CCC projections data'!$D$2:$D$271=E$3)*('Old CCC projections data'!$F$2:$BN$271))*Model!$B$47</f>
        <v>0</v>
      </c>
      <c r="H49" s="18" cm="1">
        <f t="array" ref="H49">SUMPRODUCT(('Old CCC projections data'!$F$1:$BN$1=$B49)*('Old CCC projections data'!$A$2:$A$271=H$2)*('Old CCC projections data'!$D$2:$D$271=H$3)*('Old CCC projections data'!$F$2:$BN$271))*Model!$B$47</f>
        <v>0</v>
      </c>
      <c r="I49" s="18">
        <f t="shared" si="39"/>
        <v>598.29779116586576</v>
      </c>
      <c r="J49" s="18">
        <f t="shared" si="40"/>
        <v>797.73038822115439</v>
      </c>
      <c r="K49" s="18">
        <f t="shared" si="41"/>
        <v>997.1629852764429</v>
      </c>
      <c r="L49" s="18">
        <f t="shared" si="42"/>
        <v>1196.5955823317315</v>
      </c>
      <c r="M49" s="18">
        <f t="shared" si="43"/>
        <v>199.4325970552886</v>
      </c>
      <c r="N49" s="189">
        <f t="shared" si="44"/>
        <v>466.86833729738493</v>
      </c>
      <c r="O49" s="18">
        <f t="shared" si="45"/>
        <v>1.1871345029239767E-2</v>
      </c>
      <c r="AY49">
        <v>50</v>
      </c>
      <c r="AZ49">
        <v>35</v>
      </c>
      <c r="BA49">
        <v>70</v>
      </c>
      <c r="BD49" s="20" cm="1">
        <f t="array" ref="BD49">SUMPRODUCT(('Old CCC projections data'!$F$1:$BN$1=$B12)*('Old CCC projections data'!$A$2:$A$271=BD$2)*('Old CCC projections data'!$D$2:$D$271=BD$3)*('Old CCC projections data'!$F$2:$BN$271))</f>
        <v>37735.144300637352</v>
      </c>
      <c r="BN49" s="20" cm="1">
        <f t="array" ref="BN49">SUMPRODUCT(('Old CCC projections data'!$F$1:$BN$1=$B12)*('Old CCC projections data'!$A$2:$A$271=BN$2)*('Old CCC projections data'!$D$2:$D$271=BN$3)*('Old CCC projections data'!$F$2:$BN$271))</f>
        <v>35793.252751753469</v>
      </c>
      <c r="CY49" s="20" t="str">
        <f t="shared" si="36"/>
        <v>Demo path - C price $150 3%</v>
      </c>
      <c r="CZ49" s="3">
        <f t="shared" si="34"/>
        <v>2039</v>
      </c>
      <c r="DA49" s="18">
        <f t="shared" si="31"/>
        <v>0</v>
      </c>
      <c r="DB49" s="18">
        <f ca="1">(I24+IF($DB$3&gt;0,NPV($DB$2,I25:OFFSET(I24,$DB$3,0)),0))/($DB$3+1)</f>
        <v>285.75035713776657</v>
      </c>
      <c r="DC49" s="18">
        <f t="shared" ca="1" si="20"/>
        <v>135.75035713776657</v>
      </c>
      <c r="DD49" s="18">
        <f t="shared" si="37"/>
        <v>150</v>
      </c>
      <c r="DE49" s="20">
        <f t="shared" si="35"/>
        <v>23633.677186249501</v>
      </c>
      <c r="DF49" s="20" cm="1">
        <f t="array" ref="DF49">SUMPRODUCT(($BG$2:$BM$2=CY49)*($B$5:$B$35=CZ49)*($BG$5:$BM$35))</f>
        <v>17868.031631273087</v>
      </c>
      <c r="DG49" s="20">
        <f t="shared" si="46"/>
        <v>5765.6455549764141</v>
      </c>
      <c r="DH49" s="20" cm="1">
        <f t="array" ref="DH49">IF(CZ49=2023,SUMPRODUCT(($B$5:$B$35=CZ49-1)*($BN$5:$BN$35))-SUMPRODUCT(($BG$2:$BM$2=CY49)*($B$5:$B$35=CZ49-1)*($BG$5:$BM$35)),DG48)</f>
        <v>5541.7658296176851</v>
      </c>
      <c r="DI49" s="18">
        <f t="shared" ca="1" si="47"/>
        <v>285.75035713776657</v>
      </c>
      <c r="DJ49" s="89">
        <f t="shared" si="48"/>
        <v>8.659672404747397</v>
      </c>
      <c r="DK49" s="89">
        <f t="shared" si="23"/>
        <v>8.6200684707621971</v>
      </c>
      <c r="DL49" s="89">
        <f t="shared" ca="1" si="24"/>
        <v>5.6551185525000935</v>
      </c>
      <c r="DM49" s="20">
        <f t="shared" ca="1" si="25"/>
        <v>3797.2372926069379</v>
      </c>
      <c r="DN49" s="20">
        <f t="shared" ca="1" si="49"/>
        <v>5849.782982362367</v>
      </c>
      <c r="DO49" s="20">
        <f t="shared" ca="1" si="27"/>
        <v>4823.5101374846527</v>
      </c>
      <c r="DP49" s="113"/>
      <c r="DQ49" s="2"/>
      <c r="DR49" s="3"/>
      <c r="DS49" t="s">
        <v>258</v>
      </c>
      <c r="DT49">
        <v>0.97558574433909961</v>
      </c>
      <c r="EC49">
        <v>1000</v>
      </c>
      <c r="ED49">
        <v>200</v>
      </c>
      <c r="EE49" s="20">
        <f>EXP(LN($EC49)*$DT$62+LN($ED49)*$DT$63+$DT$61)</f>
        <v>1829.7995244102067</v>
      </c>
      <c r="EF49" s="20">
        <f>EXP(LN($EC49)*$DT$62+LN($ED49+1)*$DT$63+$DT$61)</f>
        <v>1832.340759778273</v>
      </c>
      <c r="EG49" s="20">
        <f>(EF49-EE49)*1000</f>
        <v>2541.2353680662818</v>
      </c>
      <c r="EH49" s="20"/>
      <c r="EI49" s="13"/>
    </row>
    <row r="50" spans="1:143" x14ac:dyDescent="0.25">
      <c r="A50">
        <v>0.5</v>
      </c>
      <c r="C50" s="190">
        <f>IF(C49*(1+A50*Model!$B$19*IF(Model!$B$28=0,1,((Model!$B$28-B50)/(Model!$B$28-$B$9))))&gt;Model!$B$44,C49*(1+A50*Model!$B$19*IF(Model!$B$28=0,1,((Model!$B$28-B50)/(Model!$B$28-$B$9)))),Model!$B$44)</f>
        <v>50</v>
      </c>
      <c r="D50" s="18" cm="1">
        <f t="array" ref="D50">SUMPRODUCT(('Old CCC projections data'!$F$1:$BN$1=$B50)*('Old CCC projections data'!$A$2:$A$271=D$2)*('Old CCC projections data'!$D$2:$D$271=D$3)*('Old CCC projections data'!$F$2:$BN$271))*Model!$B$47</f>
        <v>0</v>
      </c>
      <c r="E50" s="18" cm="1">
        <f t="array" ref="E50">SUMPRODUCT(('Old CCC projections data'!$F$1:$BN$1=$B50)*('Old CCC projections data'!$A$2:$A$271=E$2)*('Old CCC projections data'!$D$2:$D$271=E$3)*('Old CCC projections data'!$F$2:$BN$271))*Model!$B$47</f>
        <v>0</v>
      </c>
      <c r="H50" s="18" cm="1">
        <f t="array" ref="H50">SUMPRODUCT(('Old CCC projections data'!$F$1:$BN$1=$B50)*('Old CCC projections data'!$A$2:$A$271=H$2)*('Old CCC projections data'!$D$2:$D$271=H$3)*('Old CCC projections data'!$F$2:$BN$271))*Model!$B$47</f>
        <v>0</v>
      </c>
      <c r="I50" s="18">
        <f t="shared" si="39"/>
        <v>616.24672490084174</v>
      </c>
      <c r="J50" s="18">
        <f t="shared" si="40"/>
        <v>821.66229986778899</v>
      </c>
      <c r="K50" s="18">
        <f t="shared" si="41"/>
        <v>1027.0778748347361</v>
      </c>
      <c r="L50" s="18">
        <f t="shared" si="42"/>
        <v>1232.4934498016835</v>
      </c>
      <c r="M50" s="18">
        <f t="shared" si="43"/>
        <v>205.41557496694725</v>
      </c>
      <c r="N50" s="189">
        <f t="shared" si="44"/>
        <v>480.87438741630649</v>
      </c>
      <c r="O50" s="18">
        <f t="shared" si="45"/>
        <v>1.1871345029239767E-2</v>
      </c>
      <c r="AY50">
        <v>50</v>
      </c>
      <c r="AZ50">
        <v>35</v>
      </c>
      <c r="BA50">
        <v>70</v>
      </c>
      <c r="BD50" s="20" cm="1">
        <f t="array" ref="BD50">SUMPRODUCT(('Old CCC projections data'!$F$1:$BN$1=$B13)*('Old CCC projections data'!$A$2:$A$271=BD$2)*('Old CCC projections data'!$D$2:$D$271=BD$3)*('Old CCC projections data'!$F$2:$BN$271))</f>
        <v>37843.558099366586</v>
      </c>
      <c r="BN50" s="20" cm="1">
        <f t="array" ref="BN50">SUMPRODUCT(('Old CCC projections data'!$F$1:$BN$1=$B13)*('Old CCC projections data'!$A$2:$A$271=BN$2)*('Old CCC projections data'!$D$2:$D$271=BN$3)*('Old CCC projections data'!$F$2:$BN$271))</f>
        <v>35511.189170281767</v>
      </c>
      <c r="CY50" s="20" t="str">
        <f t="shared" si="36"/>
        <v>Demo path - C price $150 3%</v>
      </c>
      <c r="CZ50" s="3">
        <f t="shared" si="34"/>
        <v>2040</v>
      </c>
      <c r="DA50" s="18">
        <f t="shared" si="31"/>
        <v>0</v>
      </c>
      <c r="DB50" s="18">
        <f ca="1">(I25+IF($DB$3&gt;0,NPV($DB$2,I26:OFFSET(I25,$DB$3,0)),0))/($DB$3+1)</f>
        <v>294.32286785189962</v>
      </c>
      <c r="DC50" s="18">
        <f t="shared" ca="1" si="20"/>
        <v>144.32286785189962</v>
      </c>
      <c r="DD50" s="18">
        <f t="shared" si="37"/>
        <v>150</v>
      </c>
      <c r="DE50" s="20">
        <f t="shared" si="35"/>
        <v>21832.628998595821</v>
      </c>
      <c r="DF50" s="20" cm="1">
        <f t="array" ref="DF50">SUMPRODUCT(($BG$2:$BM$2=CY50)*($B$5:$B$35=CZ50)*($BG$5:$BM$35))</f>
        <v>16013.68072781664</v>
      </c>
      <c r="DG50" s="20">
        <f t="shared" si="46"/>
        <v>5818.9482707791813</v>
      </c>
      <c r="DH50" s="20" cm="1">
        <f t="array" ref="DH50">IF(CZ50=2023,SUMPRODUCT(($B$5:$B$35=CZ50-1)*($BN$5:$BN$35))-SUMPRODUCT(($BG$2:$BM$2=CY50)*($B$5:$B$35=CZ50-1)*($BG$5:$BM$35)),DG49)</f>
        <v>5765.6455549764141</v>
      </c>
      <c r="DI50" s="18">
        <f t="shared" ca="1" si="47"/>
        <v>294.32286785189962</v>
      </c>
      <c r="DJ50" s="89">
        <f t="shared" si="48"/>
        <v>8.6688748149074435</v>
      </c>
      <c r="DK50" s="89">
        <f t="shared" si="23"/>
        <v>8.659672404747397</v>
      </c>
      <c r="DL50" s="89">
        <f t="shared" ca="1" si="24"/>
        <v>5.6846773547416385</v>
      </c>
      <c r="DM50" s="20">
        <f t="shared" ca="1" si="25"/>
        <v>3994.7982194962892</v>
      </c>
      <c r="DN50" s="20">
        <f t="shared" ca="1" si="49"/>
        <v>5975.7228731349505</v>
      </c>
      <c r="DO50" s="20">
        <f t="shared" ca="1" si="27"/>
        <v>4985.2605463156196</v>
      </c>
      <c r="DP50" s="113"/>
      <c r="DQ50" s="2"/>
      <c r="DR50" s="3"/>
      <c r="DS50" t="s">
        <v>259</v>
      </c>
      <c r="DT50">
        <v>0.97533274687111104</v>
      </c>
      <c r="EC50">
        <f>EC49+1000</f>
        <v>2000</v>
      </c>
      <c r="ED50">
        <f>ED49</f>
        <v>200</v>
      </c>
      <c r="EE50" s="20">
        <f t="shared" ref="EE50:EE68" si="50">EXP(LN($EC50)*$DT$62+LN($ED50)*$DT$63+$DT$61)</f>
        <v>2791.086059522996</v>
      </c>
      <c r="EF50" s="20">
        <f t="shared" ref="EF50:EF68" si="51">EXP(LN($EC50)*$DT$62+LN($ED50+1)*$DT$63+$DT$61)</f>
        <v>2794.9623347734573</v>
      </c>
      <c r="EG50" s="20">
        <f t="shared" ref="EG50:EG68" si="52">(EF50-EE50)*1000</f>
        <v>3876.2752504612763</v>
      </c>
      <c r="EH50" s="20">
        <f>EE50-EE49</f>
        <v>961.28653511278935</v>
      </c>
      <c r="EI50" s="13">
        <f>EH50/EC50</f>
        <v>0.48064326755639469</v>
      </c>
    </row>
    <row r="51" spans="1:143" x14ac:dyDescent="0.25">
      <c r="A51">
        <v>0.5</v>
      </c>
      <c r="C51" s="190">
        <f>IF(C50*(1+A51*Model!$B$19*IF(Model!$B$28=0,1,((Model!$B$28-B51)/(Model!$B$28-$B$9))))&gt;Model!$B$44,C50*(1+A51*Model!$B$19*IF(Model!$B$28=0,1,((Model!$B$28-B51)/(Model!$B$28-$B$9)))),Model!$B$44)</f>
        <v>50</v>
      </c>
      <c r="D51" s="18" cm="1">
        <f t="array" ref="D51">SUMPRODUCT(('Old CCC projections data'!$F$1:$BN$1=$B51)*('Old CCC projections data'!$A$2:$A$271=D$2)*('Old CCC projections data'!$D$2:$D$271=D$3)*('Old CCC projections data'!$F$2:$BN$271))*Model!$B$47</f>
        <v>0</v>
      </c>
      <c r="E51" s="18" cm="1">
        <f t="array" ref="E51">SUMPRODUCT(('Old CCC projections data'!$F$1:$BN$1=$B51)*('Old CCC projections data'!$A$2:$A$271=E$2)*('Old CCC projections data'!$D$2:$D$271=E$3)*('Old CCC projections data'!$F$2:$BN$271))*Model!$B$47</f>
        <v>0</v>
      </c>
      <c r="H51" s="18" cm="1">
        <f t="array" ref="H51">SUMPRODUCT(('Old CCC projections data'!$F$1:$BN$1=$B51)*('Old CCC projections data'!$A$2:$A$271=H$2)*('Old CCC projections data'!$D$2:$D$271=H$3)*('Old CCC projections data'!$F$2:$BN$271))*Model!$B$47</f>
        <v>0</v>
      </c>
      <c r="I51" s="18">
        <f t="shared" si="39"/>
        <v>634.73412664786701</v>
      </c>
      <c r="J51" s="18">
        <f t="shared" si="40"/>
        <v>846.31216886382265</v>
      </c>
      <c r="K51" s="18">
        <f t="shared" si="41"/>
        <v>1057.8902110797783</v>
      </c>
      <c r="L51" s="18">
        <f t="shared" si="42"/>
        <v>1269.468253295734</v>
      </c>
      <c r="M51" s="18">
        <f t="shared" si="43"/>
        <v>211.57804221595566</v>
      </c>
      <c r="N51" s="189">
        <f t="shared" si="44"/>
        <v>495.30061903879567</v>
      </c>
      <c r="O51" s="18">
        <f t="shared" si="45"/>
        <v>1.1871345029239767E-2</v>
      </c>
      <c r="AY51">
        <v>50</v>
      </c>
      <c r="AZ51">
        <v>35</v>
      </c>
      <c r="BA51">
        <v>70</v>
      </c>
      <c r="BD51" s="20" cm="1">
        <f t="array" ref="BD51">SUMPRODUCT(('Old CCC projections data'!$F$1:$BN$1=$B14)*('Old CCC projections data'!$A$2:$A$271=BD$2)*('Old CCC projections data'!$D$2:$D$271=BD$3)*('Old CCC projections data'!$F$2:$BN$271))</f>
        <v>37923.983384352803</v>
      </c>
      <c r="BN51" s="20" cm="1">
        <f t="array" ref="BN51">SUMPRODUCT(('Old CCC projections data'!$F$1:$BN$1=$B14)*('Old CCC projections data'!$A$2:$A$271=BN$2)*('Old CCC projections data'!$D$2:$D$271=BN$3)*('Old CCC projections data'!$F$2:$BN$271))</f>
        <v>35177.841893805635</v>
      </c>
      <c r="CY51" s="20" t="str">
        <f t="shared" si="36"/>
        <v>Demo path - C price $150 3%</v>
      </c>
      <c r="CZ51" s="3">
        <f t="shared" si="34"/>
        <v>2041</v>
      </c>
      <c r="DA51" s="18">
        <f t="shared" si="31"/>
        <v>0</v>
      </c>
      <c r="DB51" s="18">
        <f ca="1">(I26+IF($DB$3&gt;0,NPV($DB$2,I27:OFFSET(I26,$DB$3,0)),0))/($DB$3+1)</f>
        <v>303.15255388745658</v>
      </c>
      <c r="DC51" s="18">
        <f t="shared" ca="1" si="20"/>
        <v>153.15255388745658</v>
      </c>
      <c r="DD51" s="18">
        <f t="shared" si="37"/>
        <v>150</v>
      </c>
      <c r="DE51" s="20">
        <f t="shared" si="35"/>
        <v>21020.865912256821</v>
      </c>
      <c r="DF51" s="20" cm="1">
        <f t="array" ref="DF51">SUMPRODUCT(($BG$2:$BM$2=CY51)*($B$5:$B$35=CZ51)*($BG$5:$BM$35))</f>
        <v>15081.953238564503</v>
      </c>
      <c r="DG51" s="20">
        <f t="shared" si="46"/>
        <v>5938.9126736923172</v>
      </c>
      <c r="DH51" s="20" cm="1">
        <f t="array" ref="DH51">IF(CZ51=2023,SUMPRODUCT(($B$5:$B$35=CZ51-1)*($BN$5:$BN$35))-SUMPRODUCT(($BG$2:$BM$2=CY51)*($B$5:$B$35=CZ51-1)*($BG$5:$BM$35)),DG50)</f>
        <v>5818.9482707791813</v>
      </c>
      <c r="DI51" s="18">
        <f t="shared" ca="1" si="47"/>
        <v>303.15255388745658</v>
      </c>
      <c r="DJ51" s="89">
        <f t="shared" si="48"/>
        <v>8.6892813440337573</v>
      </c>
      <c r="DK51" s="89">
        <f t="shared" si="23"/>
        <v>8.6688748149074435</v>
      </c>
      <c r="DL51" s="89">
        <f t="shared" ca="1" si="24"/>
        <v>5.7142361569831825</v>
      </c>
      <c r="DM51" s="20">
        <f t="shared" ca="1" si="25"/>
        <v>4193.282021756916</v>
      </c>
      <c r="DN51" s="20">
        <f t="shared" ca="1" si="49"/>
        <v>6103.761196055535</v>
      </c>
      <c r="DO51" s="20">
        <f t="shared" ca="1" si="27"/>
        <v>5148.5216089062251</v>
      </c>
      <c r="DP51" s="113"/>
      <c r="DQ51" s="2"/>
      <c r="DR51" s="3"/>
      <c r="DS51" t="s">
        <v>260</v>
      </c>
      <c r="DT51">
        <v>0.10700449965638678</v>
      </c>
      <c r="EC51">
        <f t="shared" ref="EC51:EC68" si="53">EC50+1000</f>
        <v>3000</v>
      </c>
      <c r="ED51">
        <f t="shared" ref="ED51:ED68" si="54">ED50</f>
        <v>200</v>
      </c>
      <c r="EE51" s="20">
        <f t="shared" si="50"/>
        <v>3573.0380074646509</v>
      </c>
      <c r="EF51" s="20">
        <f t="shared" si="51"/>
        <v>3578.0002617634882</v>
      </c>
      <c r="EG51" s="20">
        <f t="shared" si="52"/>
        <v>4962.2542988372516</v>
      </c>
      <c r="EH51" s="20">
        <f t="shared" ref="EH51:EH68" si="55">EE51-EE50</f>
        <v>781.95194794165491</v>
      </c>
      <c r="EI51" s="13">
        <f t="shared" ref="EI51:EI68" si="56">EH51/EC51</f>
        <v>0.26065064931388499</v>
      </c>
      <c r="EK51" s="20">
        <f>EH51</f>
        <v>781.95194794165491</v>
      </c>
    </row>
    <row r="52" spans="1:143" ht="15.75" thickBot="1" x14ac:dyDescent="0.3">
      <c r="A52">
        <v>0.5</v>
      </c>
      <c r="C52" s="190">
        <f>IF(C51*(1+A52*Model!$B$19*IF(Model!$B$28=0,1,((Model!$B$28-B52)/(Model!$B$28-$B$9))))&gt;Model!$B$44,C51*(1+A52*Model!$B$19*IF(Model!$B$28=0,1,((Model!$B$28-B52)/(Model!$B$28-$B$9)))),Model!$B$44)</f>
        <v>50</v>
      </c>
      <c r="D52" s="18" cm="1">
        <f t="array" ref="D52">SUMPRODUCT(('Old CCC projections data'!$F$1:$BN$1=$B52)*('Old CCC projections data'!$A$2:$A$271=D$2)*('Old CCC projections data'!$D$2:$D$271=D$3)*('Old CCC projections data'!$F$2:$BN$271))*Model!$B$47</f>
        <v>0</v>
      </c>
      <c r="E52" s="18" cm="1">
        <f t="array" ref="E52">SUMPRODUCT(('Old CCC projections data'!$F$1:$BN$1=$B52)*('Old CCC projections data'!$A$2:$A$271=E$2)*('Old CCC projections data'!$D$2:$D$271=E$3)*('Old CCC projections data'!$F$2:$BN$271))*Model!$B$47</f>
        <v>0</v>
      </c>
      <c r="H52" s="18" cm="1">
        <f t="array" ref="H52">SUMPRODUCT(('Old CCC projections data'!$F$1:$BN$1=$B52)*('Old CCC projections data'!$A$2:$A$271=H$2)*('Old CCC projections data'!$D$2:$D$271=H$3)*('Old CCC projections data'!$F$2:$BN$271))*Model!$B$47</f>
        <v>0</v>
      </c>
      <c r="I52" s="18">
        <f t="shared" si="39"/>
        <v>653.77615044730305</v>
      </c>
      <c r="J52" s="18">
        <f t="shared" si="40"/>
        <v>871.70153392973737</v>
      </c>
      <c r="K52" s="18">
        <f t="shared" si="41"/>
        <v>1089.6269174121717</v>
      </c>
      <c r="L52" s="18">
        <f t="shared" si="42"/>
        <v>1307.5523008946061</v>
      </c>
      <c r="M52" s="18">
        <f t="shared" si="43"/>
        <v>217.92538348243434</v>
      </c>
      <c r="N52" s="189">
        <f t="shared" si="44"/>
        <v>510.15963760995953</v>
      </c>
      <c r="O52" s="18">
        <f t="shared" si="45"/>
        <v>1.1871345029239767E-2</v>
      </c>
      <c r="AY52">
        <v>50</v>
      </c>
      <c r="AZ52">
        <v>35</v>
      </c>
      <c r="BA52">
        <v>70</v>
      </c>
      <c r="BD52" s="20" cm="1">
        <f t="array" ref="BD52">SUMPRODUCT(('Old CCC projections data'!$F$1:$BN$1=$B15)*('Old CCC projections data'!$A$2:$A$271=BD$2)*('Old CCC projections data'!$D$2:$D$271=BD$3)*('Old CCC projections data'!$F$2:$BN$271))</f>
        <v>37152.1385402913</v>
      </c>
      <c r="BN52" s="20" cm="1">
        <f t="array" ref="BN52">SUMPRODUCT(('Old CCC projections data'!$F$1:$BN$1=$B15)*('Old CCC projections data'!$A$2:$A$271=BN$2)*('Old CCC projections data'!$D$2:$D$271=BN$3)*('Old CCC projections data'!$F$2:$BN$271))</f>
        <v>33772.256001092159</v>
      </c>
      <c r="CY52" s="20" t="str">
        <f t="shared" si="36"/>
        <v>Demo path - C price $150 3%</v>
      </c>
      <c r="CZ52" s="3">
        <f t="shared" si="34"/>
        <v>2042</v>
      </c>
      <c r="DA52" s="18">
        <f t="shared" si="31"/>
        <v>0</v>
      </c>
      <c r="DB52" s="18">
        <f ca="1">(I27+IF($DB$3&gt;0,NPV($DB$2,I28:OFFSET(I27,$DB$3,0)),0))/($DB$3+1)</f>
        <v>312.24713050408025</v>
      </c>
      <c r="DC52" s="18">
        <f t="shared" ca="1" si="20"/>
        <v>162.24713050408025</v>
      </c>
      <c r="DD52" s="18">
        <f t="shared" si="37"/>
        <v>150</v>
      </c>
      <c r="DE52" s="20">
        <f t="shared" si="35"/>
        <v>20178.380919926673</v>
      </c>
      <c r="DF52" s="20" cm="1">
        <f t="array" ref="DF52">SUMPRODUCT(($BG$2:$BM$2=CY52)*($B$5:$B$35=CZ52)*($BG$5:$BM$35))</f>
        <v>14220.398835839931</v>
      </c>
      <c r="DG52" s="20">
        <f t="shared" si="46"/>
        <v>5957.9820840867415</v>
      </c>
      <c r="DH52" s="20" cm="1">
        <f t="array" ref="DH52">IF(CZ52=2023,SUMPRODUCT(($B$5:$B$35=CZ52-1)*($BN$5:$BN$35))-SUMPRODUCT(($BG$2:$BM$2=CY52)*($B$5:$B$35=CZ52-1)*($BG$5:$BM$35)),DG51)</f>
        <v>5938.9126736923172</v>
      </c>
      <c r="DI52" s="18">
        <f t="shared" ca="1" si="47"/>
        <v>312.24713050408025</v>
      </c>
      <c r="DJ52" s="89">
        <f t="shared" si="48"/>
        <v>8.6924871262339192</v>
      </c>
      <c r="DK52" s="89">
        <f t="shared" si="23"/>
        <v>8.6892813440337573</v>
      </c>
      <c r="DL52" s="89">
        <f t="shared" ca="1" si="24"/>
        <v>5.7437949592247266</v>
      </c>
      <c r="DM52" s="20">
        <f t="shared" ca="1" si="25"/>
        <v>4393.0157448080481</v>
      </c>
      <c r="DN52" s="20">
        <f t="shared" ca="1" si="49"/>
        <v>6234.1615941015825</v>
      </c>
      <c r="DO52" s="20">
        <f t="shared" ca="1" si="27"/>
        <v>5313.5886694548153</v>
      </c>
      <c r="DP52" s="113"/>
      <c r="DQ52" s="2"/>
      <c r="DR52" s="3"/>
      <c r="DS52" s="14" t="s">
        <v>261</v>
      </c>
      <c r="DT52" s="14">
        <v>196</v>
      </c>
      <c r="EC52">
        <f t="shared" si="53"/>
        <v>4000</v>
      </c>
      <c r="ED52">
        <f t="shared" si="54"/>
        <v>200</v>
      </c>
      <c r="EE52" s="20">
        <f t="shared" si="50"/>
        <v>4257.385187688571</v>
      </c>
      <c r="EF52" s="20">
        <f t="shared" si="51"/>
        <v>4263.2978670122384</v>
      </c>
      <c r="EG52" s="20">
        <f t="shared" si="52"/>
        <v>5912.679323667362</v>
      </c>
      <c r="EH52" s="20">
        <f t="shared" si="55"/>
        <v>684.34718022392008</v>
      </c>
      <c r="EI52" s="13">
        <f t="shared" si="56"/>
        <v>0.17108679505598001</v>
      </c>
    </row>
    <row r="53" spans="1:143" x14ac:dyDescent="0.25">
      <c r="A53">
        <v>0.5</v>
      </c>
      <c r="C53" s="190">
        <f>IF(C52*(1+A53*Model!$B$19*IF(Model!$B$28=0,1,((Model!$B$28-B53)/(Model!$B$28-$B$9))))&gt;Model!$B$44,C52*(1+A53*Model!$B$19*IF(Model!$B$28=0,1,((Model!$B$28-B53)/(Model!$B$28-$B$9)))),Model!$B$44)</f>
        <v>50</v>
      </c>
      <c r="D53" s="18" cm="1">
        <f t="array" ref="D53">SUMPRODUCT(('Old CCC projections data'!$F$1:$BN$1=$B53)*('Old CCC projections data'!$A$2:$A$271=D$2)*('Old CCC projections data'!$D$2:$D$271=D$3)*('Old CCC projections data'!$F$2:$BN$271))*Model!$B$47</f>
        <v>0</v>
      </c>
      <c r="E53" s="18" cm="1">
        <f t="array" ref="E53">SUMPRODUCT(('Old CCC projections data'!$F$1:$BN$1=$B53)*('Old CCC projections data'!$A$2:$A$271=E$2)*('Old CCC projections data'!$D$2:$D$271=E$3)*('Old CCC projections data'!$F$2:$BN$271))*Model!$B$47</f>
        <v>0</v>
      </c>
      <c r="H53" s="18" cm="1">
        <f t="array" ref="H53">SUMPRODUCT(('Old CCC projections data'!$F$1:$BN$1=$B53)*('Old CCC projections data'!$A$2:$A$271=H$2)*('Old CCC projections data'!$D$2:$D$271=H$3)*('Old CCC projections data'!$F$2:$BN$271))*Model!$B$47</f>
        <v>0</v>
      </c>
      <c r="I53" s="18">
        <f t="shared" si="39"/>
        <v>673.38943496072216</v>
      </c>
      <c r="J53" s="18">
        <f t="shared" si="40"/>
        <v>897.85257994762947</v>
      </c>
      <c r="K53" s="18">
        <f t="shared" si="41"/>
        <v>1122.3157249345368</v>
      </c>
      <c r="L53" s="18">
        <f t="shared" si="42"/>
        <v>1346.7788699214443</v>
      </c>
      <c r="M53" s="18">
        <f t="shared" si="43"/>
        <v>224.46314498690737</v>
      </c>
      <c r="N53" s="189">
        <f t="shared" si="44"/>
        <v>525.46442673825834</v>
      </c>
      <c r="O53" s="18">
        <f t="shared" si="45"/>
        <v>1.1871345029239767E-2</v>
      </c>
      <c r="AY53">
        <v>50</v>
      </c>
      <c r="AZ53">
        <v>35</v>
      </c>
      <c r="BA53">
        <v>70</v>
      </c>
      <c r="BD53" s="20" cm="1">
        <f t="array" ref="BD53">SUMPRODUCT(('Old CCC projections data'!$F$1:$BN$1=$B16)*('Old CCC projections data'!$A$2:$A$271=BD$2)*('Old CCC projections data'!$D$2:$D$271=BD$3)*('Old CCC projections data'!$F$2:$BN$271))</f>
        <v>37177.220200382915</v>
      </c>
      <c r="BN53" s="20" cm="1">
        <f t="array" ref="BN53">SUMPRODUCT(('Old CCC projections data'!$F$1:$BN$1=$B16)*('Old CCC projections data'!$A$2:$A$271=BN$2)*('Old CCC projections data'!$D$2:$D$271=BN$3)*('Old CCC projections data'!$F$2:$BN$271))</f>
        <v>33277.933821705723</v>
      </c>
      <c r="CY53" s="20" t="str">
        <f t="shared" si="36"/>
        <v>Demo path - C price $150 3%</v>
      </c>
      <c r="CZ53" s="3">
        <f t="shared" si="34"/>
        <v>2043</v>
      </c>
      <c r="DA53" s="18">
        <f t="shared" si="31"/>
        <v>0</v>
      </c>
      <c r="DB53" s="18">
        <f ca="1">(I28+IF($DB$3&gt;0,NPV($DB$2,I29:OFFSET(I28,$DB$3,0)),0))/($DB$3+1)</f>
        <v>321.61454441920267</v>
      </c>
      <c r="DC53" s="18">
        <f t="shared" ca="1" si="20"/>
        <v>171.61454441920267</v>
      </c>
      <c r="DD53" s="18">
        <f t="shared" si="37"/>
        <v>150</v>
      </c>
      <c r="DE53" s="20">
        <f t="shared" si="35"/>
        <v>19320.318365199299</v>
      </c>
      <c r="DF53" s="20" cm="1">
        <f t="array" ref="DF53">SUMPRODUCT(($BG$2:$BM$2=CY53)*($B$5:$B$35=CZ53)*($BG$5:$BM$35))</f>
        <v>13424.78057080116</v>
      </c>
      <c r="DG53" s="20">
        <f t="shared" si="46"/>
        <v>5895.5377943981384</v>
      </c>
      <c r="DH53" s="20" cm="1">
        <f t="array" ref="DH53">IF(CZ53=2023,SUMPRODUCT(($B$5:$B$35=CZ53-1)*($BN$5:$BN$35))-SUMPRODUCT(($BG$2:$BM$2=CY53)*($B$5:$B$35=CZ53-1)*($BG$5:$BM$35)),DG52)</f>
        <v>5957.9820840867415</v>
      </c>
      <c r="DI53" s="18">
        <f t="shared" ca="1" si="47"/>
        <v>321.61454441920267</v>
      </c>
      <c r="DJ53" s="89">
        <f t="shared" si="48"/>
        <v>8.6819510377159048</v>
      </c>
      <c r="DK53" s="89">
        <f t="shared" si="23"/>
        <v>8.6924871262339192</v>
      </c>
      <c r="DL53" s="89">
        <f t="shared" ca="1" si="24"/>
        <v>5.7733537614662715</v>
      </c>
      <c r="DM53" s="20">
        <f t="shared" ca="1" si="25"/>
        <v>4594.3183364072402</v>
      </c>
      <c r="DN53" s="20">
        <f t="shared" ca="1" si="49"/>
        <v>6367.1106258086566</v>
      </c>
      <c r="DO53" s="20">
        <f t="shared" ca="1" si="27"/>
        <v>5480.7144811079488</v>
      </c>
      <c r="DP53" s="113"/>
      <c r="DQ53" s="2"/>
      <c r="DR53" s="3"/>
      <c r="EC53">
        <f t="shared" si="53"/>
        <v>5000</v>
      </c>
      <c r="ED53">
        <f t="shared" si="54"/>
        <v>200</v>
      </c>
      <c r="EE53" s="20">
        <f t="shared" si="50"/>
        <v>4877.2476545781401</v>
      </c>
      <c r="EF53" s="20">
        <f t="shared" si="51"/>
        <v>4884.0212022117958</v>
      </c>
      <c r="EG53" s="20">
        <f t="shared" si="52"/>
        <v>6773.547633655653</v>
      </c>
      <c r="EH53" s="20">
        <f t="shared" si="55"/>
        <v>619.86246688956908</v>
      </c>
      <c r="EI53" s="13">
        <f t="shared" si="56"/>
        <v>0.12397249337791381</v>
      </c>
      <c r="EJ53">
        <v>100</v>
      </c>
      <c r="EK53">
        <f t="shared" ref="EK53:EK58" si="57">LN(EJ53)</f>
        <v>4.6051701859880918</v>
      </c>
      <c r="EL53">
        <f t="shared" ref="EL53:EL58" si="58">LN(EJ53+1)</f>
        <v>4.6151205168412597</v>
      </c>
      <c r="EM53" s="23">
        <f t="shared" ref="EM53:EM58" si="59">(EL53-EK53)*1000</f>
        <v>9.9503308531678769</v>
      </c>
    </row>
    <row r="54" spans="1:143" ht="15.75" thickBot="1" x14ac:dyDescent="0.3">
      <c r="A54">
        <v>0.5</v>
      </c>
      <c r="C54" s="190">
        <f>IF(C53*(1+A54*Model!$B$19*IF(Model!$B$28=0,1,((Model!$B$28-B54)/(Model!$B$28-$B$9))))&gt;Model!$B$44,C53*(1+A54*Model!$B$19*IF(Model!$B$28=0,1,((Model!$B$28-B54)/(Model!$B$28-$B$9)))),Model!$B$44)</f>
        <v>50</v>
      </c>
      <c r="D54" s="18" cm="1">
        <f t="array" ref="D54">SUMPRODUCT(('Old CCC projections data'!$F$1:$BN$1=$B54)*('Old CCC projections data'!$A$2:$A$271=D$2)*('Old CCC projections data'!$D$2:$D$271=D$3)*('Old CCC projections data'!$F$2:$BN$271))*Model!$B$47</f>
        <v>0</v>
      </c>
      <c r="E54" s="18" cm="1">
        <f t="array" ref="E54">SUMPRODUCT(('Old CCC projections data'!$F$1:$BN$1=$B54)*('Old CCC projections data'!$A$2:$A$271=E$2)*('Old CCC projections data'!$D$2:$D$271=E$3)*('Old CCC projections data'!$F$2:$BN$271))*Model!$B$47</f>
        <v>0</v>
      </c>
      <c r="H54" s="18" cm="1">
        <f t="array" ref="H54">SUMPRODUCT(('Old CCC projections data'!$F$1:$BN$1=$B54)*('Old CCC projections data'!$A$2:$A$271=H$2)*('Old CCC projections data'!$D$2:$D$271=H$3)*('Old CCC projections data'!$F$2:$BN$271))*Model!$B$47</f>
        <v>0</v>
      </c>
      <c r="I54" s="18">
        <f t="shared" si="39"/>
        <v>693.59111800954383</v>
      </c>
      <c r="J54" s="18">
        <f t="shared" si="40"/>
        <v>924.78815734605837</v>
      </c>
      <c r="K54" s="18">
        <f t="shared" si="41"/>
        <v>1155.9851966825729</v>
      </c>
      <c r="L54" s="18">
        <f t="shared" si="42"/>
        <v>1387.1822360190877</v>
      </c>
      <c r="M54" s="18">
        <f t="shared" si="43"/>
        <v>231.19703933651459</v>
      </c>
      <c r="N54" s="189">
        <f t="shared" si="44"/>
        <v>541.22835954040613</v>
      </c>
      <c r="O54" s="18">
        <f t="shared" si="45"/>
        <v>1.1871345029239767E-2</v>
      </c>
      <c r="AY54">
        <v>50</v>
      </c>
      <c r="AZ54">
        <v>35</v>
      </c>
      <c r="BA54">
        <v>70</v>
      </c>
      <c r="BD54" s="20" cm="1">
        <f t="array" ref="BD54">SUMPRODUCT(('Old CCC projections data'!$F$1:$BN$1=$B17)*('Old CCC projections data'!$A$2:$A$271=BD$2)*('Old CCC projections data'!$D$2:$D$271=BD$3)*('Old CCC projections data'!$F$2:$BN$271))</f>
        <v>37183.203313534461</v>
      </c>
      <c r="BN54" s="20" cm="1">
        <f t="array" ref="BN54">SUMPRODUCT(('Old CCC projections data'!$F$1:$BN$1=$B17)*('Old CCC projections data'!$A$2:$A$271=BN$2)*('Old CCC projections data'!$D$2:$D$271=BN$3)*('Old CCC projections data'!$F$2:$BN$271))</f>
        <v>32759.871108837226</v>
      </c>
      <c r="CY54" s="20" t="str">
        <f t="shared" si="36"/>
        <v>Demo path - C price $150 3%</v>
      </c>
      <c r="CZ54" s="3">
        <f t="shared" si="34"/>
        <v>2044</v>
      </c>
      <c r="DA54" s="18">
        <f t="shared" si="31"/>
        <v>0</v>
      </c>
      <c r="DB54" s="18">
        <f ca="1">(I29+IF($DB$3&gt;0,NPV($DB$2,I30:OFFSET(I29,$DB$3,0)),0))/($DB$3+1)</f>
        <v>331.26298075177874</v>
      </c>
      <c r="DC54" s="18">
        <f t="shared" ca="1" si="20"/>
        <v>181.26298075177874</v>
      </c>
      <c r="DD54" s="18">
        <f t="shared" si="37"/>
        <v>150</v>
      </c>
      <c r="DE54" s="20">
        <f t="shared" si="35"/>
        <v>18472.725707396126</v>
      </c>
      <c r="DF54" s="20" cm="1">
        <f t="array" ref="DF54">SUMPRODUCT(($BG$2:$BM$2=CY54)*($B$5:$B$35=CZ54)*($BG$5:$BM$35))</f>
        <v>12617.583621999218</v>
      </c>
      <c r="DG54" s="20">
        <f t="shared" si="46"/>
        <v>5855.1420853969084</v>
      </c>
      <c r="DH54" s="20" cm="1">
        <f t="array" ref="DH54">IF(CZ54=2023,SUMPRODUCT(($B$5:$B$35=CZ54-1)*($BN$5:$BN$35))-SUMPRODUCT(($BG$2:$BM$2=CY54)*($B$5:$B$35=CZ54-1)*($BG$5:$BM$35)),DG53)</f>
        <v>5895.5377943981384</v>
      </c>
      <c r="DI54" s="18">
        <f t="shared" ca="1" si="47"/>
        <v>331.26298075177874</v>
      </c>
      <c r="DJ54" s="89">
        <f t="shared" si="48"/>
        <v>8.6750755430980711</v>
      </c>
      <c r="DK54" s="89">
        <f t="shared" si="23"/>
        <v>8.6819510377159048</v>
      </c>
      <c r="DL54" s="89">
        <f t="shared" ca="1" si="24"/>
        <v>5.8029125637078156</v>
      </c>
      <c r="DM54" s="20">
        <f t="shared" ca="1" si="25"/>
        <v>4797.5014751196741</v>
      </c>
      <c r="DN54" s="20">
        <f t="shared" ca="1" si="49"/>
        <v>6502.7473280788963</v>
      </c>
      <c r="DO54" s="20">
        <f t="shared" ca="1" si="27"/>
        <v>5650.1244015992852</v>
      </c>
      <c r="DP54" s="113"/>
      <c r="DQ54" s="2"/>
      <c r="DR54" s="3"/>
      <c r="DS54" t="s">
        <v>262</v>
      </c>
      <c r="EC54">
        <f t="shared" si="53"/>
        <v>6000</v>
      </c>
      <c r="ED54">
        <f t="shared" si="54"/>
        <v>200</v>
      </c>
      <c r="EE54" s="20">
        <f t="shared" si="50"/>
        <v>5450.1361705156551</v>
      </c>
      <c r="EF54" s="20">
        <f t="shared" si="51"/>
        <v>5457.705348784928</v>
      </c>
      <c r="EG54" s="20">
        <f t="shared" si="52"/>
        <v>7569.1782692729248</v>
      </c>
      <c r="EH54" s="20">
        <f t="shared" si="55"/>
        <v>572.88851593751497</v>
      </c>
      <c r="EI54" s="13">
        <f t="shared" si="56"/>
        <v>9.5481419322919162E-2</v>
      </c>
      <c r="EJ54">
        <f>EJ53+100</f>
        <v>200</v>
      </c>
      <c r="EK54">
        <f t="shared" si="57"/>
        <v>5.2983173665480363</v>
      </c>
      <c r="EL54">
        <f t="shared" si="58"/>
        <v>5.3033049080590757</v>
      </c>
      <c r="EM54" s="23">
        <f t="shared" si="59"/>
        <v>4.9875415110394172</v>
      </c>
    </row>
    <row r="55" spans="1:143" x14ac:dyDescent="0.25">
      <c r="A55">
        <v>0.5</v>
      </c>
      <c r="C55" s="190">
        <f>IF(C54*(1+A55*Model!$B$19*IF(Model!$B$28=0,1,((Model!$B$28-B55)/(Model!$B$28-$B$9))))&gt;Model!$B$44,C54*(1+A55*Model!$B$19*IF(Model!$B$28=0,1,((Model!$B$28-B55)/(Model!$B$28-$B$9)))),Model!$B$44)</f>
        <v>50</v>
      </c>
      <c r="D55" s="18" cm="1">
        <f t="array" ref="D55">SUMPRODUCT(('Old CCC projections data'!$F$1:$BN$1=$B55)*('Old CCC projections data'!$A$2:$A$271=D$2)*('Old CCC projections data'!$D$2:$D$271=D$3)*('Old CCC projections data'!$F$2:$BN$271))*Model!$B$47</f>
        <v>0</v>
      </c>
      <c r="E55" s="18" cm="1">
        <f t="array" ref="E55">SUMPRODUCT(('Old CCC projections data'!$F$1:$BN$1=$B55)*('Old CCC projections data'!$A$2:$A$271=E$2)*('Old CCC projections data'!$D$2:$D$271=E$3)*('Old CCC projections data'!$F$2:$BN$271))*Model!$B$47</f>
        <v>0</v>
      </c>
      <c r="H55" s="18" cm="1">
        <f t="array" ref="H55">SUMPRODUCT(('Old CCC projections data'!$F$1:$BN$1=$B55)*('Old CCC projections data'!$A$2:$A$271=H$2)*('Old CCC projections data'!$D$2:$D$271=H$3)*('Old CCC projections data'!$F$2:$BN$271))*Model!$B$47</f>
        <v>0</v>
      </c>
      <c r="I55" s="18">
        <f t="shared" si="39"/>
        <v>714.39885154983017</v>
      </c>
      <c r="J55" s="18">
        <f t="shared" si="40"/>
        <v>952.53180206644015</v>
      </c>
      <c r="K55" s="18">
        <f t="shared" si="41"/>
        <v>1190.6647525830501</v>
      </c>
      <c r="L55" s="18">
        <f t="shared" si="42"/>
        <v>1428.7977030996603</v>
      </c>
      <c r="M55" s="18">
        <f t="shared" si="43"/>
        <v>238.13295051661004</v>
      </c>
      <c r="N55" s="189">
        <f t="shared" si="44"/>
        <v>557.46521032661838</v>
      </c>
      <c r="O55" s="18">
        <f t="shared" si="45"/>
        <v>1.1871345029239767E-2</v>
      </c>
      <c r="AY55">
        <v>50</v>
      </c>
      <c r="AZ55">
        <v>35</v>
      </c>
      <c r="BA55">
        <v>70</v>
      </c>
      <c r="BD55" s="20" cm="1">
        <f t="array" ref="BD55">SUMPRODUCT(('Old CCC projections data'!$F$1:$BN$1=$B18)*('Old CCC projections data'!$A$2:$A$271=BD$2)*('Old CCC projections data'!$D$2:$D$271=BD$3)*('Old CCC projections data'!$F$2:$BN$271))</f>
        <v>37127.768437806968</v>
      </c>
      <c r="BN55" s="20" cm="1">
        <f t="array" ref="BN55">SUMPRODUCT(('Old CCC projections data'!$F$1:$BN$1=$B18)*('Old CCC projections data'!$A$2:$A$271=BN$2)*('Old CCC projections data'!$D$2:$D$271=BN$3)*('Old CCC projections data'!$F$2:$BN$271))</f>
        <v>32330.72470578823</v>
      </c>
      <c r="CY55" s="20" t="str">
        <f t="shared" si="36"/>
        <v>Demo path - C price $150 3%</v>
      </c>
      <c r="CZ55" s="3">
        <f t="shared" si="34"/>
        <v>2045</v>
      </c>
      <c r="DA55" s="18">
        <f t="shared" si="31"/>
        <v>0</v>
      </c>
      <c r="DB55" s="18">
        <f ca="1">(I30+IF($DB$3&gt;0,NPV($DB$2,I31:OFFSET(I30,$DB$3,0)),0))/($DB$3+1)</f>
        <v>341.20087017433207</v>
      </c>
      <c r="DC55" s="18">
        <f t="shared" ca="1" si="20"/>
        <v>191.20087017433207</v>
      </c>
      <c r="DD55" s="18">
        <f t="shared" si="37"/>
        <v>150</v>
      </c>
      <c r="DE55" s="20">
        <f t="shared" si="35"/>
        <v>17677.489690197111</v>
      </c>
      <c r="DF55" s="20" cm="1">
        <f t="array" ref="DF55">SUMPRODUCT(($BG$2:$BM$2=CY55)*($B$5:$B$35=CZ55)*($BG$5:$BM$35))</f>
        <v>11786.55965267783</v>
      </c>
      <c r="DG55" s="20">
        <f t="shared" si="46"/>
        <v>5890.9300375192815</v>
      </c>
      <c r="DH55" s="20" cm="1">
        <f t="array" ref="DH55">IF(CZ55=2023,SUMPRODUCT(($B$5:$B$35=CZ55-1)*($BN$5:$BN$35))-SUMPRODUCT(($BG$2:$BM$2=CY55)*($B$5:$B$35=CZ55-1)*($BG$5:$BM$35)),DG54)</f>
        <v>5855.1420853969084</v>
      </c>
      <c r="DI55" s="18">
        <f t="shared" ca="1" si="47"/>
        <v>341.20087017433207</v>
      </c>
      <c r="DJ55" s="89">
        <f t="shared" si="48"/>
        <v>8.6811691652874039</v>
      </c>
      <c r="DK55" s="89">
        <f t="shared" si="23"/>
        <v>8.6750755430980711</v>
      </c>
      <c r="DL55" s="89">
        <f t="shared" ca="1" si="24"/>
        <v>5.8324713659493597</v>
      </c>
      <c r="DM55" s="20">
        <f t="shared" ca="1" si="25"/>
        <v>5002.8703595455854</v>
      </c>
      <c r="DN55" s="20">
        <f t="shared" ca="1" si="49"/>
        <v>6641.1816456091374</v>
      </c>
      <c r="DO55" s="20">
        <f t="shared" ca="1" si="27"/>
        <v>5822.0260025773614</v>
      </c>
      <c r="DP55" s="113"/>
      <c r="DQ55" s="2"/>
      <c r="DR55" s="3"/>
      <c r="DS55" s="15"/>
      <c r="DT55" s="15" t="s">
        <v>263</v>
      </c>
      <c r="DU55" s="15" t="s">
        <v>264</v>
      </c>
      <c r="DV55" s="15" t="s">
        <v>265</v>
      </c>
      <c r="DW55" s="15" t="s">
        <v>266</v>
      </c>
      <c r="DX55" s="15" t="s">
        <v>267</v>
      </c>
      <c r="EC55">
        <f t="shared" si="53"/>
        <v>7000</v>
      </c>
      <c r="ED55">
        <f t="shared" si="54"/>
        <v>200</v>
      </c>
      <c r="EE55" s="20">
        <f t="shared" si="50"/>
        <v>5986.6985230415185</v>
      </c>
      <c r="EF55" s="20">
        <f t="shared" si="51"/>
        <v>5995.0128819763358</v>
      </c>
      <c r="EG55" s="20">
        <f t="shared" si="52"/>
        <v>8314.3589348173919</v>
      </c>
      <c r="EH55" s="20">
        <f t="shared" si="55"/>
        <v>536.56235252586339</v>
      </c>
      <c r="EI55" s="13">
        <f t="shared" si="56"/>
        <v>7.6651764646551906E-2</v>
      </c>
      <c r="EJ55">
        <f>EJ54+100</f>
        <v>300</v>
      </c>
      <c r="EK55">
        <f t="shared" si="57"/>
        <v>5.7037824746562009</v>
      </c>
      <c r="EL55">
        <f t="shared" si="58"/>
        <v>5.7071102647488754</v>
      </c>
      <c r="EM55" s="23">
        <f t="shared" si="59"/>
        <v>3.3277900926744763</v>
      </c>
    </row>
    <row r="56" spans="1:143" x14ac:dyDescent="0.25">
      <c r="A56">
        <v>0.5</v>
      </c>
      <c r="C56" s="190">
        <f>IF(C55*(1+A56*Model!$B$19*IF(Model!$B$28=0,1,((Model!$B$28-B56)/(Model!$B$28-$B$9))))&gt;Model!$B$44,C55*(1+A56*Model!$B$19*IF(Model!$B$28=0,1,((Model!$B$28-B56)/(Model!$B$28-$B$9)))),Model!$B$44)</f>
        <v>50</v>
      </c>
      <c r="D56" s="18" cm="1">
        <f t="array" ref="D56">SUMPRODUCT(('Old CCC projections data'!$F$1:$BN$1=$B56)*('Old CCC projections data'!$A$2:$A$271=D$2)*('Old CCC projections data'!$D$2:$D$271=D$3)*('Old CCC projections data'!$F$2:$BN$271))*Model!$B$47</f>
        <v>0</v>
      </c>
      <c r="E56" s="18" cm="1">
        <f t="array" ref="E56">SUMPRODUCT(('Old CCC projections data'!$F$1:$BN$1=$B56)*('Old CCC projections data'!$A$2:$A$271=E$2)*('Old CCC projections data'!$D$2:$D$271=E$3)*('Old CCC projections data'!$F$2:$BN$271))*Model!$B$47</f>
        <v>0</v>
      </c>
      <c r="H56" s="18" cm="1">
        <f t="array" ref="H56">SUMPRODUCT(('Old CCC projections data'!$F$1:$BN$1=$B56)*('Old CCC projections data'!$A$2:$A$271=H$2)*('Old CCC projections data'!$D$2:$D$271=H$3)*('Old CCC projections data'!$F$2:$BN$271))*Model!$B$47</f>
        <v>0</v>
      </c>
      <c r="I56" s="18">
        <f t="shared" si="39"/>
        <v>735.83081709632506</v>
      </c>
      <c r="J56" s="18">
        <f t="shared" si="40"/>
        <v>981.10775612843338</v>
      </c>
      <c r="K56" s="18">
        <f t="shared" si="41"/>
        <v>1226.3846951605417</v>
      </c>
      <c r="L56" s="18">
        <f t="shared" si="42"/>
        <v>1471.6616341926501</v>
      </c>
      <c r="M56" s="18">
        <f t="shared" si="43"/>
        <v>245.27693903210834</v>
      </c>
      <c r="N56" s="189">
        <f t="shared" si="44"/>
        <v>574.18916663641699</v>
      </c>
      <c r="O56" s="18">
        <f t="shared" si="45"/>
        <v>1.1871345029239767E-2</v>
      </c>
      <c r="AY56">
        <v>50</v>
      </c>
      <c r="AZ56">
        <v>35</v>
      </c>
      <c r="BA56">
        <v>70</v>
      </c>
      <c r="BD56" s="20" cm="1">
        <f t="array" ref="BD56">SUMPRODUCT(('Old CCC projections data'!$F$1:$BN$1=$B19)*('Old CCC projections data'!$A$2:$A$271=BD$2)*('Old CCC projections data'!$D$2:$D$271=BD$3)*('Old CCC projections data'!$F$2:$BN$271))</f>
        <v>37053.60044160892</v>
      </c>
      <c r="BN56" s="20" cm="1">
        <f t="array" ref="BN56">SUMPRODUCT(('Old CCC projections data'!$F$1:$BN$1=$B19)*('Old CCC projections data'!$A$2:$A$271=BN$2)*('Old CCC projections data'!$D$2:$D$271=BN$3)*('Old CCC projections data'!$F$2:$BN$271))</f>
        <v>31925.462225704643</v>
      </c>
      <c r="CY56" s="20" t="str">
        <f t="shared" si="36"/>
        <v>Demo path - C price $150 3%</v>
      </c>
      <c r="CZ56" s="3">
        <f t="shared" si="34"/>
        <v>2046</v>
      </c>
      <c r="DA56" s="18">
        <f t="shared" si="31"/>
        <v>0</v>
      </c>
      <c r="DB56" s="18">
        <f ca="1">(I31+IF($DB$3&gt;0,NPV($DB$2,I32:OFFSET(I31,$DB$3,0)),0))/($DB$3+1)</f>
        <v>351.43689627956206</v>
      </c>
      <c r="DC56" s="18">
        <f t="shared" ca="1" si="20"/>
        <v>201.43689627956206</v>
      </c>
      <c r="DD56" s="18">
        <f t="shared" si="37"/>
        <v>150</v>
      </c>
      <c r="DE56" s="20">
        <f t="shared" si="35"/>
        <v>16949.211978015726</v>
      </c>
      <c r="DF56" s="20" cm="1">
        <f t="array" ref="DF56">SUMPRODUCT(($BG$2:$BM$2=CY56)*($B$5:$B$35=CZ56)*($BG$5:$BM$35))</f>
        <v>10995.536684976492</v>
      </c>
      <c r="DG56" s="20">
        <f t="shared" si="46"/>
        <v>5953.675293039234</v>
      </c>
      <c r="DH56" s="20" cm="1">
        <f t="array" ref="DH56">IF(CZ56=2023,SUMPRODUCT(($B$5:$B$35=CZ56-1)*($BN$5:$BN$35))-SUMPRODUCT(($BG$2:$BM$2=CY56)*($B$5:$B$35=CZ56-1)*($BG$5:$BM$35)),DG55)</f>
        <v>5890.9300375192815</v>
      </c>
      <c r="DI56" s="18">
        <f t="shared" ca="1" si="47"/>
        <v>351.43689627956206</v>
      </c>
      <c r="DJ56" s="89">
        <f t="shared" si="48"/>
        <v>8.6917640041529491</v>
      </c>
      <c r="DK56" s="89">
        <f t="shared" si="23"/>
        <v>8.6811691652874039</v>
      </c>
      <c r="DL56" s="89">
        <f t="shared" ca="1" si="24"/>
        <v>5.8620301681909046</v>
      </c>
      <c r="DM56" s="20">
        <f t="shared" ca="1" si="25"/>
        <v>5210.7244609630579</v>
      </c>
      <c r="DN56" s="20">
        <f t="shared" ca="1" si="49"/>
        <v>6782.5059168908401</v>
      </c>
      <c r="DO56" s="20">
        <f t="shared" ca="1" si="27"/>
        <v>5996.6151889269495</v>
      </c>
      <c r="DP56" s="113"/>
      <c r="DQ56" s="2"/>
      <c r="DR56" s="3"/>
      <c r="DS56" t="s">
        <v>268</v>
      </c>
      <c r="DT56">
        <v>2</v>
      </c>
      <c r="DU56">
        <v>88.304604096100235</v>
      </c>
      <c r="DV56">
        <v>44.152302048050117</v>
      </c>
      <c r="DW56">
        <v>3856.1087274716929</v>
      </c>
      <c r="DX56">
        <v>2.5562104248968292E-156</v>
      </c>
      <c r="EC56">
        <f t="shared" si="53"/>
        <v>8000</v>
      </c>
      <c r="ED56">
        <f t="shared" si="54"/>
        <v>200</v>
      </c>
      <c r="EE56" s="20">
        <f t="shared" si="50"/>
        <v>6494.0056486283038</v>
      </c>
      <c r="EF56" s="20">
        <f t="shared" si="51"/>
        <v>6503.0245584129898</v>
      </c>
      <c r="EG56" s="20">
        <f t="shared" si="52"/>
        <v>9018.9097846860022</v>
      </c>
      <c r="EH56" s="20">
        <f t="shared" si="55"/>
        <v>507.30712558678533</v>
      </c>
      <c r="EI56" s="13">
        <f t="shared" si="56"/>
        <v>6.3413390698348171E-2</v>
      </c>
      <c r="EJ56">
        <f>EJ55+100</f>
        <v>400</v>
      </c>
      <c r="EK56">
        <f t="shared" si="57"/>
        <v>5.9914645471079817</v>
      </c>
      <c r="EL56">
        <f t="shared" si="58"/>
        <v>5.9939614273065693</v>
      </c>
      <c r="EM56" s="23">
        <f t="shared" si="59"/>
        <v>2.4968801985876254</v>
      </c>
    </row>
    <row r="57" spans="1:143" x14ac:dyDescent="0.25">
      <c r="A57">
        <v>0.5</v>
      </c>
      <c r="C57" s="190">
        <f>IF(C56*(1+A57*Model!$B$19*IF(Model!$B$28=0,1,((Model!$B$28-B57)/(Model!$B$28-$B$9))))&gt;Model!$B$44,C56*(1+A57*Model!$B$19*IF(Model!$B$28=0,1,((Model!$B$28-B57)/(Model!$B$28-$B$9)))),Model!$B$44)</f>
        <v>50</v>
      </c>
      <c r="D57" s="18" cm="1">
        <f t="array" ref="D57">SUMPRODUCT(('Old CCC projections data'!$F$1:$BN$1=$B57)*('Old CCC projections data'!$A$2:$A$271=D$2)*('Old CCC projections data'!$D$2:$D$271=D$3)*('Old CCC projections data'!$F$2:$BN$271))*Model!$B$47</f>
        <v>0</v>
      </c>
      <c r="E57" s="18" cm="1">
        <f t="array" ref="E57">SUMPRODUCT(('Old CCC projections data'!$F$1:$BN$1=$B57)*('Old CCC projections data'!$A$2:$A$271=E$2)*('Old CCC projections data'!$D$2:$D$271=E$3)*('Old CCC projections data'!$F$2:$BN$271))*Model!$B$47</f>
        <v>0</v>
      </c>
      <c r="H57" s="18" cm="1">
        <f t="array" ref="H57">SUMPRODUCT(('Old CCC projections data'!$F$1:$BN$1=$B57)*('Old CCC projections data'!$A$2:$A$271=H$2)*('Old CCC projections data'!$D$2:$D$271=H$3)*('Old CCC projections data'!$F$2:$BN$271))*Model!$B$47</f>
        <v>0</v>
      </c>
      <c r="I57" s="18">
        <f t="shared" si="39"/>
        <v>757.90574160921483</v>
      </c>
      <c r="J57" s="18">
        <f t="shared" si="40"/>
        <v>1010.5409888122864</v>
      </c>
      <c r="K57" s="18">
        <f t="shared" si="41"/>
        <v>1263.176236015358</v>
      </c>
      <c r="L57" s="18">
        <f t="shared" si="42"/>
        <v>1515.8114832184297</v>
      </c>
      <c r="M57" s="18">
        <f t="shared" si="43"/>
        <v>252.6352472030716</v>
      </c>
      <c r="N57" s="189">
        <f t="shared" si="44"/>
        <v>591.41484163550956</v>
      </c>
      <c r="O57" s="18">
        <f t="shared" si="45"/>
        <v>1.1871345029239767E-2</v>
      </c>
      <c r="AY57">
        <v>50</v>
      </c>
      <c r="AZ57">
        <v>35</v>
      </c>
      <c r="BA57">
        <v>70</v>
      </c>
      <c r="BD57" s="20" cm="1">
        <f t="array" ref="BD57">SUMPRODUCT(('Old CCC projections data'!$F$1:$BN$1=$B20)*('Old CCC projections data'!$A$2:$A$271=BD$2)*('Old CCC projections data'!$D$2:$D$271=BD$3)*('Old CCC projections data'!$F$2:$BN$271))</f>
        <v>36973.558999769266</v>
      </c>
      <c r="BN57" s="20" cm="1">
        <f t="array" ref="BN57">SUMPRODUCT(('Old CCC projections data'!$F$1:$BN$1=$B20)*('Old CCC projections data'!$A$2:$A$271=BN$2)*('Old CCC projections data'!$D$2:$D$271=BN$3)*('Old CCC projections data'!$F$2:$BN$271))</f>
        <v>31585.769004816138</v>
      </c>
      <c r="CY57" s="20" t="str">
        <f t="shared" si="36"/>
        <v>Demo path - C price $150 3%</v>
      </c>
      <c r="CZ57" s="3">
        <f t="shared" si="34"/>
        <v>2047</v>
      </c>
      <c r="DA57" s="18">
        <f t="shared" si="31"/>
        <v>0</v>
      </c>
      <c r="DB57" s="18">
        <f ca="1">(I32+IF($DB$3&gt;0,NPV($DB$2,I33:OFFSET(I32,$DB$3,0)),0))/($DB$3+1)</f>
        <v>361.98000316794912</v>
      </c>
      <c r="DC57" s="18">
        <f t="shared" ca="1" si="20"/>
        <v>211.98000316794912</v>
      </c>
      <c r="DD57" s="18">
        <f t="shared" si="37"/>
        <v>150</v>
      </c>
      <c r="DE57" s="20">
        <f t="shared" si="35"/>
        <v>16245.780919206421</v>
      </c>
      <c r="DF57" s="20" cm="1">
        <f t="array" ref="DF57">SUMPRODUCT(($BG$2:$BM$2=CY57)*($B$5:$B$35=CZ57)*($BG$5:$BM$35))</f>
        <v>10295.84222182116</v>
      </c>
      <c r="DG57" s="20">
        <f t="shared" si="46"/>
        <v>5949.9386973852615</v>
      </c>
      <c r="DH57" s="20" cm="1">
        <f t="array" ref="DH57">IF(CZ57=2023,SUMPRODUCT(($B$5:$B$35=CZ57-1)*($BN$5:$BN$35))-SUMPRODUCT(($BG$2:$BM$2=CY57)*($B$5:$B$35=CZ57-1)*($BG$5:$BM$35)),DG56)</f>
        <v>5953.675293039234</v>
      </c>
      <c r="DI57" s="18">
        <f t="shared" ca="1" si="47"/>
        <v>361.98000316794912</v>
      </c>
      <c r="DJ57" s="89">
        <f t="shared" si="48"/>
        <v>8.6911361955261395</v>
      </c>
      <c r="DK57" s="89">
        <f t="shared" si="23"/>
        <v>8.6917640041529491</v>
      </c>
      <c r="DL57" s="89">
        <f t="shared" ca="1" si="24"/>
        <v>5.8915889704324496</v>
      </c>
      <c r="DM57" s="20">
        <f t="shared" ca="1" si="25"/>
        <v>5421.3582418937631</v>
      </c>
      <c r="DN57" s="20">
        <f t="shared" ca="1" si="49"/>
        <v>6926.8020342762484</v>
      </c>
      <c r="DO57" s="20">
        <f t="shared" ca="1" si="27"/>
        <v>6174.0801380850062</v>
      </c>
      <c r="DP57" s="113"/>
      <c r="DQ57" s="2"/>
      <c r="DR57" s="3"/>
      <c r="DS57" t="s">
        <v>269</v>
      </c>
      <c r="DT57">
        <v>193</v>
      </c>
      <c r="DU57">
        <v>2.20984284871574</v>
      </c>
      <c r="DV57">
        <v>1.1449962946713679E-2</v>
      </c>
      <c r="EC57">
        <f t="shared" si="53"/>
        <v>9000</v>
      </c>
      <c r="ED57">
        <f t="shared" si="54"/>
        <v>200</v>
      </c>
      <c r="EE57" s="20">
        <f t="shared" si="50"/>
        <v>6977.0488146246526</v>
      </c>
      <c r="EF57" s="20">
        <f t="shared" si="51"/>
        <v>6986.7385773423275</v>
      </c>
      <c r="EG57" s="20">
        <f t="shared" si="52"/>
        <v>9689.7627176749666</v>
      </c>
      <c r="EH57" s="20">
        <f t="shared" si="55"/>
        <v>483.04316599634876</v>
      </c>
      <c r="EI57" s="13">
        <f t="shared" si="56"/>
        <v>5.3671462888483193E-2</v>
      </c>
      <c r="EJ57">
        <f>EJ56+100</f>
        <v>500</v>
      </c>
      <c r="EK57">
        <f t="shared" si="57"/>
        <v>6.2146080984221914</v>
      </c>
      <c r="EL57">
        <f t="shared" si="58"/>
        <v>6.2166061010848646</v>
      </c>
      <c r="EM57" s="23">
        <f t="shared" si="59"/>
        <v>1.9980026626731373</v>
      </c>
    </row>
    <row r="58" spans="1:143" ht="15.75" thickBot="1" x14ac:dyDescent="0.3">
      <c r="A58">
        <v>0.5</v>
      </c>
      <c r="C58" s="190">
        <f>IF(C57*(1+A58*Model!$B$19*IF(Model!$B$28=0,1,((Model!$B$28-B58)/(Model!$B$28-$B$9))))&gt;Model!$B$44,C57*(1+A58*Model!$B$19*IF(Model!$B$28=0,1,((Model!$B$28-B58)/(Model!$B$28-$B$9)))),Model!$B$44)</f>
        <v>50</v>
      </c>
      <c r="D58" s="18" cm="1">
        <f t="array" ref="D58">SUMPRODUCT(('Old CCC projections data'!$F$1:$BN$1=$B58)*('Old CCC projections data'!$A$2:$A$271=D$2)*('Old CCC projections data'!$D$2:$D$271=D$3)*('Old CCC projections data'!$F$2:$BN$271))*Model!$B$47</f>
        <v>0</v>
      </c>
      <c r="E58" s="18" cm="1">
        <f t="array" ref="E58">SUMPRODUCT(('Old CCC projections data'!$F$1:$BN$1=$B58)*('Old CCC projections data'!$A$2:$A$271=E$2)*('Old CCC projections data'!$D$2:$D$271=E$3)*('Old CCC projections data'!$F$2:$BN$271))*Model!$B$47</f>
        <v>0</v>
      </c>
      <c r="H58" s="18" cm="1">
        <f t="array" ref="H58">SUMPRODUCT(('Old CCC projections data'!$F$1:$BN$1=$B58)*('Old CCC projections data'!$A$2:$A$271=H$2)*('Old CCC projections data'!$D$2:$D$271=H$3)*('Old CCC projections data'!$F$2:$BN$271))*Model!$B$47</f>
        <v>0</v>
      </c>
      <c r="I58" s="18">
        <f t="shared" si="39"/>
        <v>780.64291385749129</v>
      </c>
      <c r="J58" s="18">
        <f t="shared" si="40"/>
        <v>1040.8572184766549</v>
      </c>
      <c r="K58" s="18">
        <f t="shared" si="41"/>
        <v>1301.0715230958187</v>
      </c>
      <c r="L58" s="18">
        <f t="shared" si="42"/>
        <v>1561.2858277149826</v>
      </c>
      <c r="M58" s="18">
        <f t="shared" si="43"/>
        <v>260.21430461916373</v>
      </c>
      <c r="N58" s="189">
        <f t="shared" si="44"/>
        <v>609.15728688457489</v>
      </c>
      <c r="O58" s="18">
        <f t="shared" si="45"/>
        <v>1.1871345029239767E-2</v>
      </c>
      <c r="AY58">
        <v>50</v>
      </c>
      <c r="AZ58">
        <v>35</v>
      </c>
      <c r="BA58">
        <v>70</v>
      </c>
      <c r="BD58" s="20" cm="1">
        <f t="array" ref="BD58">SUMPRODUCT(('Old CCC projections data'!$F$1:$BN$1=$B21)*('Old CCC projections data'!$A$2:$A$271=BD$2)*('Old CCC projections data'!$D$2:$D$271=BD$3)*('Old CCC projections data'!$F$2:$BN$271))</f>
        <v>36896.081509104682</v>
      </c>
      <c r="BN58" s="20" cm="1">
        <f t="array" ref="BN58">SUMPRODUCT(('Old CCC projections data'!$F$1:$BN$1=$B21)*('Old CCC projections data'!$A$2:$A$271=BN$2)*('Old CCC projections data'!$D$2:$D$271=BN$3)*('Old CCC projections data'!$F$2:$BN$271))</f>
        <v>26407.824287178031</v>
      </c>
      <c r="CY58" s="20" t="str">
        <f t="shared" si="36"/>
        <v>Demo path - C price $150 3%</v>
      </c>
      <c r="CZ58" s="3">
        <f t="shared" si="34"/>
        <v>2048</v>
      </c>
      <c r="DA58" s="18">
        <f t="shared" si="31"/>
        <v>0</v>
      </c>
      <c r="DB58" s="18">
        <f ca="1">(I33+IF($DB$3&gt;0,NPV($DB$2,I34:OFFSET(I33,$DB$3,0)),0))/($DB$3+1)</f>
        <v>372.83940326298756</v>
      </c>
      <c r="DC58" s="18">
        <f t="shared" ca="1" si="20"/>
        <v>222.83940326298756</v>
      </c>
      <c r="DD58" s="18">
        <f t="shared" si="37"/>
        <v>150</v>
      </c>
      <c r="DE58" s="20">
        <f t="shared" si="35"/>
        <v>15581.870841314774</v>
      </c>
      <c r="DF58" s="20" cm="1">
        <f t="array" ref="DF58">SUMPRODUCT(($BG$2:$BM$2=CY58)*($B$5:$B$35=CZ58)*($BG$5:$BM$35))</f>
        <v>9606.3565726863617</v>
      </c>
      <c r="DG58" s="20">
        <f t="shared" si="46"/>
        <v>5975.5142686284125</v>
      </c>
      <c r="DH58" s="20" cm="1">
        <f t="array" ref="DH58">IF(CZ58=2023,SUMPRODUCT(($B$5:$B$35=CZ58-1)*($BN$5:$BN$35))-SUMPRODUCT(($BG$2:$BM$2=CY58)*($B$5:$B$35=CZ58-1)*($BG$5:$BM$35)),DG57)</f>
        <v>5949.9386973852615</v>
      </c>
      <c r="DI58" s="18">
        <f t="shared" ca="1" si="47"/>
        <v>372.83940326298756</v>
      </c>
      <c r="DJ58" s="89">
        <f t="shared" si="48"/>
        <v>8.6954254431592286</v>
      </c>
      <c r="DK58" s="89">
        <f t="shared" si="23"/>
        <v>8.6911361955261395</v>
      </c>
      <c r="DL58" s="89">
        <f t="shared" ca="1" si="24"/>
        <v>5.9211477726739936</v>
      </c>
      <c r="DM58" s="20">
        <f t="shared" ca="1" si="25"/>
        <v>5635.0618429587767</v>
      </c>
      <c r="DN58" s="20">
        <f t="shared" ca="1" si="49"/>
        <v>7074.1459105942913</v>
      </c>
      <c r="DO58" s="20">
        <f t="shared" ca="1" si="27"/>
        <v>6354.603876776534</v>
      </c>
      <c r="DP58" s="113"/>
      <c r="DQ58" s="2"/>
      <c r="DR58" s="3"/>
      <c r="DS58" s="14" t="s">
        <v>121</v>
      </c>
      <c r="DT58" s="14">
        <v>195</v>
      </c>
      <c r="DU58" s="14">
        <v>90.514446944815973</v>
      </c>
      <c r="DV58" s="14"/>
      <c r="DW58" s="14"/>
      <c r="DX58" s="14"/>
      <c r="EC58">
        <f t="shared" si="53"/>
        <v>10000</v>
      </c>
      <c r="ED58">
        <f t="shared" si="54"/>
        <v>200</v>
      </c>
      <c r="EE58" s="20">
        <f t="shared" si="50"/>
        <v>7439.513321505563</v>
      </c>
      <c r="EF58" s="20">
        <f t="shared" si="51"/>
        <v>7449.8453574043624</v>
      </c>
      <c r="EG58" s="20">
        <f t="shared" si="52"/>
        <v>10332.035898799404</v>
      </c>
      <c r="EH58" s="20">
        <f t="shared" si="55"/>
        <v>462.46450688091045</v>
      </c>
      <c r="EI58" s="13">
        <f t="shared" si="56"/>
        <v>4.6246450688091044E-2</v>
      </c>
      <c r="EJ58">
        <f>EJ57+100</f>
        <v>600</v>
      </c>
      <c r="EK58">
        <f t="shared" si="57"/>
        <v>6.3969296552161463</v>
      </c>
      <c r="EL58">
        <f t="shared" si="58"/>
        <v>6.3985949345352076</v>
      </c>
      <c r="EM58" s="23">
        <f t="shared" si="59"/>
        <v>1.6652793190612414</v>
      </c>
    </row>
    <row r="59" spans="1:143" ht="15.75" thickBot="1" x14ac:dyDescent="0.3">
      <c r="A59">
        <v>0.5</v>
      </c>
      <c r="C59" s="190">
        <f>IF(C58*(1+A59*Model!$B$19*IF(Model!$B$28=0,1,((Model!$B$28-B59)/(Model!$B$28-$B$9))))&gt;Model!$B$44,C58*(1+A59*Model!$B$19*IF(Model!$B$28=0,1,((Model!$B$28-B59)/(Model!$B$28-$B$9)))),Model!$B$44)</f>
        <v>50</v>
      </c>
      <c r="D59" s="18" cm="1">
        <f t="array" ref="D59">SUMPRODUCT(('Old CCC projections data'!$F$1:$BN$1=$B59)*('Old CCC projections data'!$A$2:$A$271=D$2)*('Old CCC projections data'!$D$2:$D$271=D$3)*('Old CCC projections data'!$F$2:$BN$271))*Model!$B$47</f>
        <v>0</v>
      </c>
      <c r="E59" s="18" cm="1">
        <f t="array" ref="E59">SUMPRODUCT(('Old CCC projections data'!$F$1:$BN$1=$B59)*('Old CCC projections data'!$A$2:$A$271=E$2)*('Old CCC projections data'!$D$2:$D$271=E$3)*('Old CCC projections data'!$F$2:$BN$271))*Model!$B$47</f>
        <v>0</v>
      </c>
      <c r="H59" s="18" cm="1">
        <f t="array" ref="H59">SUMPRODUCT(('Old CCC projections data'!$F$1:$BN$1=$B59)*('Old CCC projections data'!$A$2:$A$271=H$2)*('Old CCC projections data'!$D$2:$D$271=H$3)*('Old CCC projections data'!$F$2:$BN$271))*Model!$B$47</f>
        <v>0</v>
      </c>
      <c r="I59" s="18">
        <f t="shared" si="39"/>
        <v>804.06220127321603</v>
      </c>
      <c r="J59" s="18">
        <f t="shared" si="40"/>
        <v>1072.0829350309546</v>
      </c>
      <c r="K59" s="18">
        <f t="shared" si="41"/>
        <v>1340.1036687886933</v>
      </c>
      <c r="L59" s="18">
        <f t="shared" si="42"/>
        <v>1608.1244025464321</v>
      </c>
      <c r="M59" s="18">
        <f t="shared" si="43"/>
        <v>268.02073375773864</v>
      </c>
      <c r="N59" s="189">
        <f t="shared" si="44"/>
        <v>627.43200549111214</v>
      </c>
      <c r="O59" s="18">
        <f t="shared" si="45"/>
        <v>1.1871345029239767E-2</v>
      </c>
      <c r="AY59">
        <v>50</v>
      </c>
      <c r="AZ59">
        <v>35</v>
      </c>
      <c r="BA59">
        <v>70</v>
      </c>
      <c r="BD59" s="20" cm="1">
        <f t="array" ref="BD59">SUMPRODUCT(('Old CCC projections data'!$F$1:$BN$1=$B22)*('Old CCC projections data'!$A$2:$A$271=BD$2)*('Old CCC projections data'!$D$2:$D$271=BD$3)*('Old CCC projections data'!$F$2:$BN$271))</f>
        <v>36845.022003655904</v>
      </c>
      <c r="BN59" s="20" cm="1">
        <f t="array" ref="BN59">SUMPRODUCT(('Old CCC projections data'!$F$1:$BN$1=$B22)*('Old CCC projections data'!$A$2:$A$271=BN$2)*('Old CCC projections data'!$D$2:$D$271=BN$3)*('Old CCC projections data'!$F$2:$BN$271))</f>
        <v>25490.617675668807</v>
      </c>
      <c r="CY59" s="20" t="str">
        <f t="shared" si="36"/>
        <v>Demo path - C price $150 3%</v>
      </c>
      <c r="CZ59" s="3">
        <f t="shared" si="34"/>
        <v>2049</v>
      </c>
      <c r="DA59" s="18">
        <f t="shared" si="31"/>
        <v>0</v>
      </c>
      <c r="DB59" s="18">
        <f ca="1">(I34+IF($DB$3&gt;0,NPV($DB$2,I35:OFFSET(I34,$DB$3,0)),0))/($DB$3+1)</f>
        <v>384.02458536087704</v>
      </c>
      <c r="DC59" s="18">
        <f t="shared" ca="1" si="20"/>
        <v>234.02458536087704</v>
      </c>
      <c r="DD59" s="18">
        <f t="shared" si="37"/>
        <v>150</v>
      </c>
      <c r="DE59" s="20">
        <f t="shared" si="35"/>
        <v>15012.992887840681</v>
      </c>
      <c r="DF59" s="20" cm="1">
        <f t="array" ref="DF59">SUMPRODUCT(($BG$2:$BM$2=CY59)*($B$5:$B$35=CZ59)*($BG$5:$BM$35))</f>
        <v>9054.8832303973377</v>
      </c>
      <c r="DG59" s="20">
        <f t="shared" si="46"/>
        <v>5958.1096574433432</v>
      </c>
      <c r="DH59" s="20" cm="1">
        <f t="array" ref="DH59">IF(CZ59=2023,SUMPRODUCT(($B$5:$B$35=CZ59-1)*($BN$5:$BN$35))-SUMPRODUCT(($BG$2:$BM$2=CY59)*($B$5:$B$35=CZ59-1)*($BG$5:$BM$35)),DG58)</f>
        <v>5975.5142686284125</v>
      </c>
      <c r="DI59" s="18">
        <f t="shared" ca="1" si="47"/>
        <v>384.02458536087704</v>
      </c>
      <c r="DJ59" s="89">
        <f t="shared" si="48"/>
        <v>8.692508538179947</v>
      </c>
      <c r="DK59" s="89">
        <f t="shared" si="23"/>
        <v>8.6954254431592286</v>
      </c>
      <c r="DL59" s="89">
        <f t="shared" ca="1" si="24"/>
        <v>5.9507065749155377</v>
      </c>
      <c r="DM59" s="20">
        <f t="shared" ca="1" si="25"/>
        <v>5852.1217402598359</v>
      </c>
      <c r="DN59" s="20">
        <f t="shared" ca="1" si="49"/>
        <v>7224.610269454126</v>
      </c>
      <c r="DO59" s="20">
        <f t="shared" ca="1" si="27"/>
        <v>6538.3660048569809</v>
      </c>
      <c r="DP59" s="113"/>
      <c r="DQ59" s="2"/>
      <c r="DR59" s="3"/>
      <c r="EC59">
        <f t="shared" si="53"/>
        <v>11000</v>
      </c>
      <c r="ED59">
        <f t="shared" si="54"/>
        <v>200</v>
      </c>
      <c r="EE59" s="20">
        <f t="shared" si="50"/>
        <v>7884.2158932265729</v>
      </c>
      <c r="EF59" s="20">
        <f t="shared" si="51"/>
        <v>7895.1655344359269</v>
      </c>
      <c r="EG59" s="20">
        <f t="shared" si="52"/>
        <v>10949.641209354013</v>
      </c>
      <c r="EH59" s="20">
        <f t="shared" si="55"/>
        <v>444.70257172100992</v>
      </c>
      <c r="EI59" s="13">
        <f t="shared" si="56"/>
        <v>4.0427506520091812E-2</v>
      </c>
    </row>
    <row r="60" spans="1:143" x14ac:dyDescent="0.25">
      <c r="A60">
        <v>0.5</v>
      </c>
      <c r="C60" s="190">
        <f>IF(C59*(1+A60*Model!$B$19*IF(Model!$B$28=0,1,((Model!$B$28-B60)/(Model!$B$28-$B$9))))&gt;Model!$B$44,C59*(1+A60*Model!$B$19*IF(Model!$B$28=0,1,((Model!$B$28-B60)/(Model!$B$28-$B$9)))),Model!$B$44)</f>
        <v>50</v>
      </c>
      <c r="D60" s="18" cm="1">
        <f t="array" ref="D60">SUMPRODUCT(('Old CCC projections data'!$F$1:$BN$1=$B60)*('Old CCC projections data'!$A$2:$A$271=D$2)*('Old CCC projections data'!$D$2:$D$271=D$3)*('Old CCC projections data'!$F$2:$BN$271))*Model!$B$47</f>
        <v>0</v>
      </c>
      <c r="E60" s="18" cm="1">
        <f t="array" ref="E60">SUMPRODUCT(('Old CCC projections data'!$F$1:$BN$1=$B60)*('Old CCC projections data'!$A$2:$A$271=E$2)*('Old CCC projections data'!$D$2:$D$271=E$3)*('Old CCC projections data'!$F$2:$BN$271))*Model!$B$47</f>
        <v>0</v>
      </c>
      <c r="H60" s="18" cm="1">
        <f t="array" ref="H60">SUMPRODUCT(('Old CCC projections data'!$F$1:$BN$1=$B60)*('Old CCC projections data'!$A$2:$A$271=H$2)*('Old CCC projections data'!$D$2:$D$271=H$3)*('Old CCC projections data'!$F$2:$BN$271))*Model!$B$47</f>
        <v>0</v>
      </c>
      <c r="I60" s="18">
        <f t="shared" si="39"/>
        <v>828.18406731141249</v>
      </c>
      <c r="J60" s="18">
        <f t="shared" si="40"/>
        <v>1104.2454230818832</v>
      </c>
      <c r="K60" s="18">
        <f t="shared" si="41"/>
        <v>1380.3067788523542</v>
      </c>
      <c r="L60" s="18">
        <f t="shared" si="42"/>
        <v>1656.368134622825</v>
      </c>
      <c r="M60" s="18">
        <f t="shared" si="43"/>
        <v>276.06135577047081</v>
      </c>
      <c r="N60" s="189">
        <f t="shared" si="44"/>
        <v>646.25496565584547</v>
      </c>
      <c r="O60" s="18">
        <f t="shared" si="45"/>
        <v>1.1871345029239767E-2</v>
      </c>
      <c r="AY60">
        <v>50</v>
      </c>
      <c r="AZ60">
        <v>35</v>
      </c>
      <c r="BA60">
        <v>70</v>
      </c>
      <c r="BD60" s="20" cm="1">
        <f t="array" ref="BD60">SUMPRODUCT(('Old CCC projections data'!$F$1:$BN$1=$B23)*('Old CCC projections data'!$A$2:$A$271=BD$2)*('Old CCC projections data'!$D$2:$D$271=BD$3)*('Old CCC projections data'!$F$2:$BN$271))</f>
        <v>36824.133694972144</v>
      </c>
      <c r="BN60" s="20" cm="1">
        <f t="array" ref="BN60">SUMPRODUCT(('Old CCC projections data'!$F$1:$BN$1=$B23)*('Old CCC projections data'!$A$2:$A$271=BN$2)*('Old CCC projections data'!$D$2:$D$271=BN$3)*('Old CCC projections data'!$F$2:$BN$271))</f>
        <v>24570.879657466994</v>
      </c>
      <c r="CY60" s="94" t="str">
        <f t="shared" si="36"/>
        <v>Demo path - C price $150 3%</v>
      </c>
      <c r="CZ60" s="3">
        <f t="shared" si="34"/>
        <v>2050</v>
      </c>
      <c r="DA60" s="18">
        <f t="shared" si="31"/>
        <v>0</v>
      </c>
      <c r="DB60" s="18">
        <f ca="1">(I35+IF($DB$3&gt;0,NPV($DB$2,I36:OFFSET(I35,$DB$3,0)),0))/($DB$3+1)</f>
        <v>395.54532292170347</v>
      </c>
      <c r="DC60" s="18">
        <f t="shared" ca="1" si="20"/>
        <v>245.54532292170347</v>
      </c>
      <c r="DD60" s="18">
        <f t="shared" si="37"/>
        <v>150</v>
      </c>
      <c r="DE60" s="20">
        <f t="shared" si="35"/>
        <v>14477.451467153383</v>
      </c>
      <c r="DF60" s="20" cm="1">
        <f t="array" ref="DF60">SUMPRODUCT(($BG$2:$BM$2=CY60)*($B$5:$B$35=CZ60)*($BG$5:$BM$35))</f>
        <v>8633.9944697394076</v>
      </c>
      <c r="DG60" s="20">
        <f t="shared" si="46"/>
        <v>5843.4569974139758</v>
      </c>
      <c r="DH60" s="20" cm="1">
        <f t="array" ref="DH60">IF(CZ60=2023,SUMPRODUCT(($B$5:$B$35=CZ60-1)*($BN$5:$BN$35))-SUMPRODUCT(($BG$2:$BM$2=CY60)*($B$5:$B$35=CZ60-1)*($BG$5:$BM$35)),DG59)</f>
        <v>5958.1096574433432</v>
      </c>
      <c r="DI60" s="18">
        <f t="shared" ca="1" si="47"/>
        <v>395.54532292170347</v>
      </c>
      <c r="DJ60" s="89">
        <f t="shared" si="48"/>
        <v>8.6730778523000094</v>
      </c>
      <c r="DK60" s="89">
        <f t="shared" si="23"/>
        <v>8.692508538179947</v>
      </c>
      <c r="DL60" s="89">
        <f t="shared" ca="1" si="24"/>
        <v>5.9802653771570826</v>
      </c>
      <c r="DM60" s="20">
        <f t="shared" ca="1" si="25"/>
        <v>6072.8213753978343</v>
      </c>
      <c r="DN60" s="20">
        <f t="shared" ca="1" si="49"/>
        <v>7378.2663925939778</v>
      </c>
      <c r="DO60" s="20">
        <f t="shared" ca="1" si="27"/>
        <v>6725.5438839959061</v>
      </c>
      <c r="DP60" s="113"/>
      <c r="DQ60" s="2"/>
      <c r="DR60" s="3"/>
      <c r="DS60" s="15"/>
      <c r="DT60" s="15" t="s">
        <v>270</v>
      </c>
      <c r="DU60" s="15" t="s">
        <v>260</v>
      </c>
      <c r="DV60" s="15" t="s">
        <v>271</v>
      </c>
      <c r="DW60" s="15" t="s">
        <v>272</v>
      </c>
      <c r="DX60" s="15" t="s">
        <v>273</v>
      </c>
      <c r="DY60" s="15" t="s">
        <v>274</v>
      </c>
      <c r="DZ60" s="15" t="s">
        <v>275</v>
      </c>
      <c r="EA60" s="15" t="s">
        <v>276</v>
      </c>
      <c r="EC60">
        <f t="shared" si="53"/>
        <v>12000</v>
      </c>
      <c r="ED60">
        <f t="shared" si="54"/>
        <v>200</v>
      </c>
      <c r="EE60" s="20">
        <f t="shared" si="50"/>
        <v>8313.3692435139637</v>
      </c>
      <c r="EF60" s="20">
        <f t="shared" si="51"/>
        <v>8324.9148951919669</v>
      </c>
      <c r="EG60" s="20">
        <f t="shared" si="52"/>
        <v>11545.651678003196</v>
      </c>
      <c r="EH60" s="20">
        <f t="shared" si="55"/>
        <v>429.15335028739082</v>
      </c>
      <c r="EI60" s="13">
        <f t="shared" si="56"/>
        <v>3.57627791906159E-2</v>
      </c>
    </row>
    <row r="61" spans="1:143" x14ac:dyDescent="0.25">
      <c r="A61">
        <v>0.5</v>
      </c>
      <c r="C61" s="190">
        <f>IF(C60*(1+A61*Model!$B$19*IF(Model!$B$28=0,1,((Model!$B$28-B61)/(Model!$B$28-$B$9))))&gt;Model!$B$44,C60*(1+A61*Model!$B$19*IF(Model!$B$28=0,1,((Model!$B$28-B61)/(Model!$B$28-$B$9)))),Model!$B$44)</f>
        <v>50</v>
      </c>
      <c r="D61" s="18" cm="1">
        <f t="array" ref="D61">SUMPRODUCT(('Old CCC projections data'!$F$1:$BN$1=$B61)*('Old CCC projections data'!$A$2:$A$271=D$2)*('Old CCC projections data'!$D$2:$D$271=D$3)*('Old CCC projections data'!$F$2:$BN$271))*Model!$B$47</f>
        <v>0</v>
      </c>
      <c r="E61" s="18" cm="1">
        <f t="array" ref="E61">SUMPRODUCT(('Old CCC projections data'!$F$1:$BN$1=$B61)*('Old CCC projections data'!$A$2:$A$271=E$2)*('Old CCC projections data'!$D$2:$D$271=E$3)*('Old CCC projections data'!$F$2:$BN$271))*Model!$B$47</f>
        <v>0</v>
      </c>
      <c r="H61" s="18" cm="1">
        <f t="array" ref="H61">SUMPRODUCT(('Old CCC projections data'!$F$1:$BN$1=$B61)*('Old CCC projections data'!$A$2:$A$271=H$2)*('Old CCC projections data'!$D$2:$D$271=H$3)*('Old CCC projections data'!$F$2:$BN$271))*Model!$B$47</f>
        <v>0</v>
      </c>
      <c r="I61" s="18">
        <f t="shared" ref="I61:N63" si="60">I60*1.03</f>
        <v>853.0295893307549</v>
      </c>
      <c r="J61" s="18">
        <f t="shared" si="60"/>
        <v>1137.3727857743397</v>
      </c>
      <c r="K61" s="18">
        <f t="shared" si="60"/>
        <v>1421.7159822179249</v>
      </c>
      <c r="L61" s="18">
        <f t="shared" si="60"/>
        <v>1706.0591786615098</v>
      </c>
      <c r="M61" s="18">
        <f t="shared" si="60"/>
        <v>284.34319644358493</v>
      </c>
      <c r="N61" s="189">
        <f t="shared" si="60"/>
        <v>665.64261462552088</v>
      </c>
      <c r="O61" s="18">
        <f t="shared" si="45"/>
        <v>1.1871345029239767E-2</v>
      </c>
      <c r="AY61">
        <v>50</v>
      </c>
      <c r="AZ61">
        <v>35</v>
      </c>
      <c r="BA61">
        <v>70</v>
      </c>
      <c r="BD61" s="20" cm="1">
        <f t="array" ref="BD61">SUMPRODUCT(('Old CCC projections data'!$F$1:$BN$1=$B24)*('Old CCC projections data'!$A$2:$A$271=BD$2)*('Old CCC projections data'!$D$2:$D$271=BD$3)*('Old CCC projections data'!$F$2:$BN$271))</f>
        <v>32513.76865292915</v>
      </c>
      <c r="BN61" s="20" cm="1">
        <f t="array" ref="BN61">SUMPRODUCT(('Old CCC projections data'!$F$1:$BN$1=$B24)*('Old CCC projections data'!$A$2:$A$271=BN$2)*('Old CCC projections data'!$D$2:$D$271=BN$3)*('Old CCC projections data'!$F$2:$BN$271))</f>
        <v>23633.677186249501</v>
      </c>
      <c r="CY61" s="20" t="str">
        <f>J2</f>
        <v>Demo path - C price $200 3%</v>
      </c>
      <c r="CZ61" s="3">
        <f t="shared" si="34"/>
        <v>2023</v>
      </c>
      <c r="DA61" s="18">
        <f t="shared" si="31"/>
        <v>0</v>
      </c>
      <c r="DB61" s="18">
        <f ca="1">(J8+IF($DB$3&gt;0,NPV($DB$2,J9:OFFSET(J8,$DB$3,0)),0))/($DB$3+1)</f>
        <v>237.42690058479536</v>
      </c>
      <c r="DC61" s="18">
        <f t="shared" ca="1" si="20"/>
        <v>37.426900584795362</v>
      </c>
      <c r="DD61" s="18">
        <v>200</v>
      </c>
      <c r="DE61" s="20">
        <f t="shared" si="35"/>
        <v>37354.602072444766</v>
      </c>
      <c r="DF61" s="20" cm="1">
        <f t="array" ref="DF61">SUMPRODUCT(($BG$2:$BM$2=CY61)*($B$5:$B$35=CZ61)*($BG$5:$BM$35))</f>
        <v>36820.305560037028</v>
      </c>
      <c r="DG61" s="20">
        <f t="shared" si="46"/>
        <v>534.29651240773819</v>
      </c>
      <c r="DH61" s="20" cm="1">
        <f t="array" ref="DH61">IF(CZ61=2023,SUMPRODUCT(($B$5:$B$35=CZ61-1)*($BN$5:$BN$35))-SUMPRODUCT(($BG$2:$BM$2=CY61)*($B$5:$B$35=CZ61-1)*($BG$5:$BM$35)),DG60)</f>
        <v>237.67122629309597</v>
      </c>
      <c r="DI61" s="18">
        <f t="shared" ca="1" si="47"/>
        <v>237.42690058479536</v>
      </c>
      <c r="DJ61" s="89">
        <f t="shared" si="48"/>
        <v>6.2809509515378519</v>
      </c>
      <c r="DK61" s="89">
        <f t="shared" si="23"/>
        <v>5.4708883165260955</v>
      </c>
      <c r="DL61" s="89">
        <f t="shared" ca="1" si="24"/>
        <v>5.4698597890871641</v>
      </c>
      <c r="DM61" s="20">
        <f t="shared" ca="1" si="25"/>
        <v>566.07661792098725</v>
      </c>
      <c r="DN61" s="20">
        <f t="shared" ca="1" si="49"/>
        <v>799.86325228790759</v>
      </c>
      <c r="DO61" s="20">
        <f t="shared" ca="1" si="27"/>
        <v>682.96993510444736</v>
      </c>
      <c r="DP61" s="113"/>
      <c r="DQ61" s="2"/>
      <c r="DR61" s="3"/>
      <c r="DS61" t="s">
        <v>277</v>
      </c>
      <c r="DT61">
        <v>1.8298457519041029</v>
      </c>
      <c r="DU61">
        <v>7.5132935890007718E-2</v>
      </c>
      <c r="DV61">
        <v>24.35477504277139</v>
      </c>
      <c r="DW61">
        <v>9.0946167528310629E-61</v>
      </c>
      <c r="DX61">
        <v>1.6816586825527093</v>
      </c>
      <c r="DY61">
        <v>1.9780328212554965</v>
      </c>
      <c r="DZ61">
        <v>1.6816586825527093</v>
      </c>
      <c r="EA61">
        <v>1.9780328212554965</v>
      </c>
      <c r="EC61">
        <f t="shared" si="53"/>
        <v>13000</v>
      </c>
      <c r="ED61">
        <f t="shared" si="54"/>
        <v>200</v>
      </c>
      <c r="EE61" s="20">
        <f t="shared" si="50"/>
        <v>8728.7508048976906</v>
      </c>
      <c r="EF61" s="20">
        <f t="shared" si="51"/>
        <v>8740.8733407102372</v>
      </c>
      <c r="EG61" s="20">
        <f t="shared" si="52"/>
        <v>12122.53581254663</v>
      </c>
      <c r="EH61" s="20">
        <f t="shared" si="55"/>
        <v>415.38156138372688</v>
      </c>
      <c r="EI61" s="13">
        <f t="shared" si="56"/>
        <v>3.1952427798748219E-2</v>
      </c>
    </row>
    <row r="62" spans="1:143" x14ac:dyDescent="0.25">
      <c r="A62">
        <v>0.5</v>
      </c>
      <c r="C62" s="190">
        <f>IF(C61*(1+A62*Model!$B$19*IF(Model!$B$28=0,1,((Model!$B$28-B62)/(Model!$B$28-$B$9))))&gt;Model!$B$44,C61*(1+A62*Model!$B$19*IF(Model!$B$28=0,1,((Model!$B$28-B62)/(Model!$B$28-$B$9)))),Model!$B$44)</f>
        <v>50</v>
      </c>
      <c r="D62" s="18" cm="1">
        <f t="array" ref="D62">SUMPRODUCT(('Old CCC projections data'!$F$1:$BN$1=$B62)*('Old CCC projections data'!$A$2:$A$271=D$2)*('Old CCC projections data'!$D$2:$D$271=D$3)*('Old CCC projections data'!$F$2:$BN$271))*Model!$B$47</f>
        <v>0</v>
      </c>
      <c r="E62" s="18" cm="1">
        <f t="array" ref="E62">SUMPRODUCT(('Old CCC projections data'!$F$1:$BN$1=$B62)*('Old CCC projections data'!$A$2:$A$271=E$2)*('Old CCC projections data'!$D$2:$D$271=E$3)*('Old CCC projections data'!$F$2:$BN$271))*Model!$B$47</f>
        <v>0</v>
      </c>
      <c r="H62" s="18" cm="1">
        <f t="array" ref="H62">SUMPRODUCT(('Old CCC projections data'!$F$1:$BN$1=$B62)*('Old CCC projections data'!$A$2:$A$271=H$2)*('Old CCC projections data'!$D$2:$D$271=H$3)*('Old CCC projections data'!$F$2:$BN$271))*Model!$B$47</f>
        <v>0</v>
      </c>
      <c r="I62" s="18">
        <f t="shared" si="60"/>
        <v>878.62047701067752</v>
      </c>
      <c r="J62" s="18">
        <f t="shared" si="60"/>
        <v>1171.4939693475699</v>
      </c>
      <c r="K62" s="18">
        <f t="shared" si="60"/>
        <v>1464.3674616844626</v>
      </c>
      <c r="L62" s="18">
        <f t="shared" si="60"/>
        <v>1757.240954021355</v>
      </c>
      <c r="M62" s="18">
        <f t="shared" si="60"/>
        <v>292.87349233689247</v>
      </c>
      <c r="N62" s="189">
        <f t="shared" si="60"/>
        <v>685.61189306428651</v>
      </c>
      <c r="O62" s="18">
        <f t="shared" si="45"/>
        <v>1.1871345029239767E-2</v>
      </c>
      <c r="AY62">
        <v>50</v>
      </c>
      <c r="AZ62">
        <v>35</v>
      </c>
      <c r="BA62">
        <v>70</v>
      </c>
      <c r="BD62" s="20" cm="1">
        <f t="array" ref="BD62">SUMPRODUCT(('Old CCC projections data'!$F$1:$BN$1=$B25)*('Old CCC projections data'!$A$2:$A$271=BD$2)*('Old CCC projections data'!$D$2:$D$271=BD$3)*('Old CCC projections data'!$F$2:$BN$271))</f>
        <v>31199.393159965352</v>
      </c>
      <c r="BN62" s="20" cm="1">
        <f t="array" ref="BN62">SUMPRODUCT(('Old CCC projections data'!$F$1:$BN$1=$B25)*('Old CCC projections data'!$A$2:$A$271=BN$2)*('Old CCC projections data'!$D$2:$D$271=BN$3)*('Old CCC projections data'!$F$2:$BN$271))</f>
        <v>21832.628998595821</v>
      </c>
      <c r="CY62" s="20" t="str">
        <f>CY61</f>
        <v>Demo path - C price $200 3%</v>
      </c>
      <c r="CZ62" s="3">
        <f t="shared" si="34"/>
        <v>2024</v>
      </c>
      <c r="DA62" s="18">
        <f t="shared" si="31"/>
        <v>0</v>
      </c>
      <c r="DB62" s="18">
        <f ca="1">(J9+IF($DB$3&gt;0,NPV($DB$2,J10:OFFSET(J9,$DB$3,0)),0))/($DB$3+1)</f>
        <v>244.54970760233917</v>
      </c>
      <c r="DC62" s="18">
        <f t="shared" ca="1" si="20"/>
        <v>44.549707602339168</v>
      </c>
      <c r="DD62" s="18">
        <f t="shared" si="37"/>
        <v>200</v>
      </c>
      <c r="DE62" s="20">
        <f t="shared" si="35"/>
        <v>36520.25063854071</v>
      </c>
      <c r="DF62" s="20" cm="1">
        <f t="array" ref="DF62">SUMPRODUCT(($BG$2:$BM$2=CY62)*($B$5:$B$35=CZ62)*($BG$5:$BM$35))</f>
        <v>34496.909196382592</v>
      </c>
      <c r="DG62" s="20">
        <f t="shared" si="46"/>
        <v>2023.3414421581183</v>
      </c>
      <c r="DH62" s="20" cm="1">
        <f t="array" ref="DH62">IF(CZ62=2023,SUMPRODUCT(($B$5:$B$35=CZ62-1)*($BN$5:$BN$35))-SUMPRODUCT(($BG$2:$BM$2=CY62)*($B$5:$B$35=CZ62-1)*($BG$5:$BM$35)),DG61)</f>
        <v>534.29651240773819</v>
      </c>
      <c r="DI62" s="18">
        <f t="shared" ca="1" si="47"/>
        <v>244.54970760233917</v>
      </c>
      <c r="DJ62" s="89">
        <f t="shared" si="48"/>
        <v>7.6125056030338047</v>
      </c>
      <c r="DK62" s="89">
        <f t="shared" si="23"/>
        <v>6.2809509515378519</v>
      </c>
      <c r="DL62" s="89">
        <f t="shared" ca="1" si="24"/>
        <v>5.4994185913287081</v>
      </c>
      <c r="DM62" s="20">
        <f t="shared" ca="1" si="25"/>
        <v>885.11402661287048</v>
      </c>
      <c r="DN62" s="20">
        <f t="shared" ca="1" si="49"/>
        <v>1688.9975061368687</v>
      </c>
      <c r="DO62" s="20">
        <f t="shared" ca="1" si="27"/>
        <v>1287.0557663748696</v>
      </c>
      <c r="DP62" s="113"/>
      <c r="DQ62" s="2"/>
      <c r="DR62" s="3"/>
      <c r="DS62" t="s">
        <v>281</v>
      </c>
      <c r="DT62">
        <v>0.60914101539490539</v>
      </c>
      <c r="DU62">
        <v>1.1875322607748165E-2</v>
      </c>
      <c r="DV62">
        <v>51.294691985669985</v>
      </c>
      <c r="DW62">
        <v>2.0868253996615208E-114</v>
      </c>
      <c r="DX62">
        <v>0.58571894045535033</v>
      </c>
      <c r="DY62">
        <v>0.63256309033446045</v>
      </c>
      <c r="DZ62">
        <v>0.58571894045535033</v>
      </c>
      <c r="EA62">
        <v>0.63256309033446045</v>
      </c>
      <c r="EC62">
        <f t="shared" si="53"/>
        <v>14000</v>
      </c>
      <c r="ED62">
        <f t="shared" si="54"/>
        <v>200</v>
      </c>
      <c r="EE62" s="20">
        <f t="shared" si="50"/>
        <v>9131.8150252629312</v>
      </c>
      <c r="EF62" s="20">
        <f t="shared" si="51"/>
        <v>9144.4973388209255</v>
      </c>
      <c r="EG62" s="20">
        <f t="shared" si="52"/>
        <v>12682.313557994348</v>
      </c>
      <c r="EH62" s="20">
        <f t="shared" si="55"/>
        <v>403.06422036524054</v>
      </c>
      <c r="EI62" s="13">
        <f t="shared" si="56"/>
        <v>2.879030145466004E-2</v>
      </c>
    </row>
    <row r="63" spans="1:143" ht="15.75" thickBot="1" x14ac:dyDescent="0.3">
      <c r="A63">
        <v>0.5</v>
      </c>
      <c r="C63" s="190">
        <f>IF(C62*(1+A63*Model!$B$19*IF(Model!$B$28=0,1,((Model!$B$28-B63)/(Model!$B$28-$B$9))))&gt;Model!$B$44,C62*(1+A63*Model!$B$19*IF(Model!$B$28=0,1,((Model!$B$28-B63)/(Model!$B$28-$B$9)))),Model!$B$44)</f>
        <v>50</v>
      </c>
      <c r="D63" s="18" cm="1">
        <f t="array" ref="D63">SUMPRODUCT(('Old CCC projections data'!$F$1:$BN$1=$B63)*('Old CCC projections data'!$A$2:$A$271=D$2)*('Old CCC projections data'!$D$2:$D$271=D$3)*('Old CCC projections data'!$F$2:$BN$271))*Model!$B$47</f>
        <v>0</v>
      </c>
      <c r="E63" s="18" cm="1">
        <f t="array" ref="E63">SUMPRODUCT(('Old CCC projections data'!$F$1:$BN$1=$B63)*('Old CCC projections data'!$A$2:$A$271=E$2)*('Old CCC projections data'!$D$2:$D$271=E$3)*('Old CCC projections data'!$F$2:$BN$271))*Model!$B$47</f>
        <v>0</v>
      </c>
      <c r="H63" s="18" cm="1">
        <f t="array" ref="H63">SUMPRODUCT(('Old CCC projections data'!$F$1:$BN$1=$B63)*('Old CCC projections data'!$A$2:$A$271=H$2)*('Old CCC projections data'!$D$2:$D$271=H$3)*('Old CCC projections data'!$F$2:$BN$271))*Model!$B$47</f>
        <v>0</v>
      </c>
      <c r="I63" s="18">
        <f t="shared" si="60"/>
        <v>904.9790913209979</v>
      </c>
      <c r="J63" s="18">
        <f t="shared" si="60"/>
        <v>1206.638788427997</v>
      </c>
      <c r="K63" s="18">
        <f t="shared" si="60"/>
        <v>1508.2984855349964</v>
      </c>
      <c r="L63" s="18">
        <f t="shared" si="60"/>
        <v>1809.9581826419958</v>
      </c>
      <c r="M63" s="18">
        <f t="shared" si="60"/>
        <v>301.65969710699926</v>
      </c>
      <c r="N63" s="189">
        <f t="shared" si="60"/>
        <v>706.18024985621514</v>
      </c>
      <c r="O63" s="18">
        <f t="shared" si="45"/>
        <v>1.1871345029239767E-2</v>
      </c>
      <c r="AY63">
        <v>50</v>
      </c>
      <c r="AZ63">
        <v>35</v>
      </c>
      <c r="BA63">
        <v>70</v>
      </c>
      <c r="BD63" s="20" cm="1">
        <f t="array" ref="BD63">SUMPRODUCT(('Old CCC projections data'!$F$1:$BN$1=$B26)*('Old CCC projections data'!$A$2:$A$271=BD$2)*('Old CCC projections data'!$D$2:$D$271=BD$3)*('Old CCC projections data'!$F$2:$BN$271))</f>
        <v>30588.855112490513</v>
      </c>
      <c r="BN63" s="20" cm="1">
        <f t="array" ref="BN63">SUMPRODUCT(('Old CCC projections data'!$F$1:$BN$1=$B26)*('Old CCC projections data'!$A$2:$A$271=BN$2)*('Old CCC projections data'!$D$2:$D$271=BN$3)*('Old CCC projections data'!$F$2:$BN$271))</f>
        <v>21020.865912256821</v>
      </c>
      <c r="CY63" s="20" t="str">
        <f t="shared" ref="CY63:CY88" si="61">CY62</f>
        <v>Demo path - C price $200 3%</v>
      </c>
      <c r="CZ63" s="3">
        <f t="shared" si="34"/>
        <v>2025</v>
      </c>
      <c r="DA63" s="18">
        <f t="shared" si="31"/>
        <v>0</v>
      </c>
      <c r="DB63" s="18">
        <f ca="1">(J10+IF($DB$3&gt;0,NPV($DB$2,J11:OFFSET(J10,$DB$3,0)),0))/($DB$3+1)</f>
        <v>251.88619883040928</v>
      </c>
      <c r="DC63" s="18">
        <f t="shared" ca="1" si="20"/>
        <v>51.886198830409285</v>
      </c>
      <c r="DD63" s="18">
        <f t="shared" si="37"/>
        <v>200</v>
      </c>
      <c r="DE63" s="20">
        <f t="shared" si="35"/>
        <v>36119.314820792293</v>
      </c>
      <c r="DF63" s="20" cm="1">
        <f t="array" ref="DF63">SUMPRODUCT(($BG$2:$BM$2=CY63)*($B$5:$B$35=CZ63)*($BG$5:$BM$35))</f>
        <v>33227.104559905834</v>
      </c>
      <c r="DG63" s="20">
        <f t="shared" si="46"/>
        <v>2892.2102608864589</v>
      </c>
      <c r="DH63" s="20" cm="1">
        <f t="array" ref="DH63">IF(CZ63=2023,SUMPRODUCT(($B$5:$B$35=CZ63-1)*($BN$5:$BN$35))-SUMPRODUCT(($BG$2:$BM$2=CY63)*($B$5:$B$35=CZ63-1)*($BG$5:$BM$35)),DG62)</f>
        <v>2023.3414421581183</v>
      </c>
      <c r="DI63" s="18">
        <f t="shared" ca="1" si="47"/>
        <v>251.88619883040928</v>
      </c>
      <c r="DJ63" s="89">
        <f t="shared" si="48"/>
        <v>7.9697762849534106</v>
      </c>
      <c r="DK63" s="89">
        <f t="shared" si="23"/>
        <v>7.6125056030338047</v>
      </c>
      <c r="DL63" s="89">
        <f t="shared" ca="1" si="24"/>
        <v>5.5289773935702531</v>
      </c>
      <c r="DM63" s="20">
        <f t="shared" ca="1" si="25"/>
        <v>1195.6522492161509</v>
      </c>
      <c r="DN63" s="20">
        <f t="shared" ca="1" si="49"/>
        <v>2684.9510322175274</v>
      </c>
      <c r="DO63" s="20">
        <f t="shared" ca="1" si="27"/>
        <v>1940.3016407168393</v>
      </c>
      <c r="DP63" s="113"/>
      <c r="DQ63" s="2"/>
      <c r="DR63" s="3"/>
      <c r="DS63" s="14" t="s">
        <v>282</v>
      </c>
      <c r="DT63" s="14">
        <v>0.27826171436944558</v>
      </c>
      <c r="DU63" s="14">
        <v>1.7117753776384439E-2</v>
      </c>
      <c r="DV63" s="14">
        <v>16.255737639674077</v>
      </c>
      <c r="DW63" s="14">
        <v>5.3406569012727018E-38</v>
      </c>
      <c r="DX63" s="14">
        <v>0.24449982637781026</v>
      </c>
      <c r="DY63" s="14">
        <v>0.3120236023610809</v>
      </c>
      <c r="DZ63" s="14">
        <v>0.24449982637781026</v>
      </c>
      <c r="EA63" s="14">
        <v>0.3120236023610809</v>
      </c>
      <c r="EC63">
        <f t="shared" si="53"/>
        <v>15000</v>
      </c>
      <c r="ED63">
        <f t="shared" si="54"/>
        <v>200</v>
      </c>
      <c r="EE63" s="20">
        <f t="shared" si="50"/>
        <v>9523.7707787920517</v>
      </c>
      <c r="EF63" s="20">
        <f t="shared" si="51"/>
        <v>9536.9974425973251</v>
      </c>
      <c r="EG63" s="20">
        <f t="shared" si="52"/>
        <v>13226.663805273347</v>
      </c>
      <c r="EH63" s="20">
        <f t="shared" si="55"/>
        <v>391.95575352912056</v>
      </c>
      <c r="EI63" s="13">
        <f t="shared" si="56"/>
        <v>2.6130383568608036E-2</v>
      </c>
    </row>
    <row r="64" spans="1:143" x14ac:dyDescent="0.25">
      <c r="A64">
        <v>0.5</v>
      </c>
      <c r="C64" s="190">
        <f>IF(C63*(1+A64*Model!$B$19*IF(Model!$B$28=0,1,((Model!$B$28-B64)/(Model!$B$28-$B$9))))&gt;Model!$B$44,C63*(1+A64*Model!$B$19*IF(Model!$B$28=0,1,((Model!$B$28-B64)/(Model!$B$28-$B$9)))),Model!$B$44)</f>
        <v>50</v>
      </c>
      <c r="H64" s="17"/>
      <c r="O64" s="18"/>
      <c r="AY64">
        <v>50</v>
      </c>
      <c r="AZ64">
        <v>35</v>
      </c>
      <c r="BA64">
        <v>70</v>
      </c>
      <c r="BD64" s="20" cm="1">
        <f t="array" ref="BD64">SUMPRODUCT(('Old CCC projections data'!$F$1:$BN$1=$B27)*('Old CCC projections data'!$A$2:$A$271=BD$2)*('Old CCC projections data'!$D$2:$D$271=BD$3)*('Old CCC projections data'!$F$2:$BN$271))</f>
        <v>30039.267644417927</v>
      </c>
      <c r="BN64" s="20" cm="1">
        <f t="array" ref="BN64">SUMPRODUCT(('Old CCC projections data'!$F$1:$BN$1=$B27)*('Old CCC projections data'!$A$2:$A$271=BN$2)*('Old CCC projections data'!$D$2:$D$271=BN$3)*('Old CCC projections data'!$F$2:$BN$271))</f>
        <v>20178.380919926673</v>
      </c>
      <c r="CY64" s="20" t="str">
        <f t="shared" si="61"/>
        <v>Demo path - C price $200 3%</v>
      </c>
      <c r="CZ64" s="3">
        <f t="shared" si="34"/>
        <v>2026</v>
      </c>
      <c r="DA64" s="18">
        <f t="shared" si="31"/>
        <v>0</v>
      </c>
      <c r="DB64" s="18">
        <f ca="1">(J11+IF($DB$3&gt;0,NPV($DB$2,J12:OFFSET(J11,$DB$3,0)),0))/($DB$3+1)</f>
        <v>259.44278479532164</v>
      </c>
      <c r="DC64" s="18">
        <f t="shared" ca="1" si="20"/>
        <v>59.442784795321643</v>
      </c>
      <c r="DD64" s="18">
        <f t="shared" si="37"/>
        <v>200</v>
      </c>
      <c r="DE64" s="20">
        <f t="shared" si="35"/>
        <v>35989.651978621361</v>
      </c>
      <c r="DF64" s="20" cm="1">
        <f t="array" ref="DF64">SUMPRODUCT(($BG$2:$BM$2=CY64)*($B$5:$B$35=CZ64)*($BG$5:$BM$35))</f>
        <v>32360.998474448734</v>
      </c>
      <c r="DG64" s="20">
        <f t="shared" si="46"/>
        <v>3628.6535041726274</v>
      </c>
      <c r="DH64" s="20" cm="1">
        <f t="array" ref="DH64">IF(CZ64=2023,SUMPRODUCT(($B$5:$B$35=CZ64-1)*($BN$5:$BN$35))-SUMPRODUCT(($BG$2:$BM$2=CY64)*($B$5:$B$35=CZ64-1)*($BG$5:$BM$35)),DG63)</f>
        <v>2892.2102608864589</v>
      </c>
      <c r="DI64" s="18">
        <f t="shared" ca="1" si="47"/>
        <v>259.44278479532164</v>
      </c>
      <c r="DJ64" s="89">
        <f t="shared" si="48"/>
        <v>8.1966169229556751</v>
      </c>
      <c r="DK64" s="89">
        <f t="shared" si="23"/>
        <v>7.9697762849534106</v>
      </c>
      <c r="DL64" s="89">
        <f t="shared" ca="1" si="24"/>
        <v>5.5585361958117971</v>
      </c>
      <c r="DM64" s="20">
        <f t="shared" ca="1" si="25"/>
        <v>1498.5173580525552</v>
      </c>
      <c r="DN64" s="20">
        <f t="shared" ca="1" si="49"/>
        <v>3590.3190882662543</v>
      </c>
      <c r="DO64" s="20">
        <f t="shared" ca="1" si="27"/>
        <v>2544.418223159405</v>
      </c>
      <c r="DP64" s="113"/>
      <c r="DQ64" s="2"/>
      <c r="DR64" s="3"/>
      <c r="EC64">
        <f t="shared" si="53"/>
        <v>16000</v>
      </c>
      <c r="ED64">
        <f t="shared" si="54"/>
        <v>200</v>
      </c>
      <c r="EE64" s="20">
        <f t="shared" si="50"/>
        <v>9905.6363249369242</v>
      </c>
      <c r="EF64" s="20">
        <f t="shared" si="51"/>
        <v>9919.3933256554847</v>
      </c>
      <c r="EG64" s="20">
        <f t="shared" si="52"/>
        <v>13757.000718560448</v>
      </c>
      <c r="EH64" s="20">
        <f t="shared" si="55"/>
        <v>381.8655461448725</v>
      </c>
      <c r="EI64" s="13">
        <f t="shared" si="56"/>
        <v>2.3866596634054531E-2</v>
      </c>
    </row>
    <row r="65" spans="1:139" x14ac:dyDescent="0.25">
      <c r="A65">
        <v>0.5</v>
      </c>
      <c r="C65" s="190">
        <f>IF(C64*(1+A65*Model!$B$19*IF(Model!$B$28=0,1,((Model!$B$28-B65)/(Model!$B$28-$B$9))))&gt;Model!$B$44,C64*(1+A65*Model!$B$19*IF(Model!$B$28=0,1,((Model!$B$28-B65)/(Model!$B$28-$B$9)))),Model!$B$44)</f>
        <v>50</v>
      </c>
      <c r="H65" s="17"/>
      <c r="O65" s="18"/>
      <c r="AY65">
        <v>50</v>
      </c>
      <c r="AZ65">
        <v>35</v>
      </c>
      <c r="BA65">
        <v>70</v>
      </c>
      <c r="BD65" s="20" cm="1">
        <f t="array" ref="BD65">SUMPRODUCT(('Old CCC projections data'!$F$1:$BN$1=$B28)*('Old CCC projections data'!$A$2:$A$271=BD$2)*('Old CCC projections data'!$D$2:$D$271=BD$3)*('Old CCC projections data'!$F$2:$BN$271))</f>
        <v>29471.142153678396</v>
      </c>
      <c r="BN65" s="20" cm="1">
        <f t="array" ref="BN65">SUMPRODUCT(('Old CCC projections data'!$F$1:$BN$1=$B28)*('Old CCC projections data'!$A$2:$A$271=BN$2)*('Old CCC projections data'!$D$2:$D$271=BN$3)*('Old CCC projections data'!$F$2:$BN$271))</f>
        <v>19320.318365199299</v>
      </c>
      <c r="CY65" s="20" t="str">
        <f t="shared" si="61"/>
        <v>Demo path - C price $200 3%</v>
      </c>
      <c r="CZ65" s="3">
        <f t="shared" si="34"/>
        <v>2027</v>
      </c>
      <c r="DA65" s="18">
        <f t="shared" si="31"/>
        <v>0</v>
      </c>
      <c r="DB65" s="18">
        <f ca="1">(J12+IF($DB$3&gt;0,NPV($DB$2,J13:OFFSET(J12,$DB$3,0)),0))/($DB$3+1)</f>
        <v>267.22606833918127</v>
      </c>
      <c r="DC65" s="18">
        <f t="shared" ca="1" si="20"/>
        <v>67.226068339181268</v>
      </c>
      <c r="DD65" s="18">
        <f t="shared" si="37"/>
        <v>200</v>
      </c>
      <c r="DE65" s="20">
        <f t="shared" si="35"/>
        <v>35793.252751753469</v>
      </c>
      <c r="DF65" s="20" cm="1">
        <f t="array" ref="DF65">SUMPRODUCT(($BG$2:$BM$2=CY65)*($B$5:$B$35=CZ65)*($BG$5:$BM$35))</f>
        <v>31428.599070286276</v>
      </c>
      <c r="DG65" s="20">
        <f t="shared" si="46"/>
        <v>4364.6536814671927</v>
      </c>
      <c r="DH65" s="20" cm="1">
        <f t="array" ref="DH65">IF(CZ65=2023,SUMPRODUCT(($B$5:$B$35=CZ65-1)*($BN$5:$BN$35))-SUMPRODUCT(($BG$2:$BM$2=CY65)*($B$5:$B$35=CZ65-1)*($BG$5:$BM$35)),DG64)</f>
        <v>3628.6535041726274</v>
      </c>
      <c r="DI65" s="18">
        <f t="shared" ca="1" si="47"/>
        <v>267.22606833918127</v>
      </c>
      <c r="DJ65" s="89">
        <f t="shared" si="48"/>
        <v>8.3812941252560691</v>
      </c>
      <c r="DK65" s="89">
        <f t="shared" si="23"/>
        <v>8.1966169229556751</v>
      </c>
      <c r="DL65" s="89">
        <f t="shared" ca="1" si="24"/>
        <v>5.5880949980533421</v>
      </c>
      <c r="DM65" s="20">
        <f t="shared" ca="1" si="25"/>
        <v>1794.4955344186837</v>
      </c>
      <c r="DN65" s="20">
        <f t="shared" ca="1" si="49"/>
        <v>4320.9250095855523</v>
      </c>
      <c r="DO65" s="20">
        <f t="shared" ca="1" si="27"/>
        <v>3057.710272002118</v>
      </c>
      <c r="DP65" s="113"/>
      <c r="DQ65" s="2"/>
      <c r="DR65" s="3"/>
      <c r="DT65" t="str">
        <f>ROUND(DT62,4)&amp;IF(DW62&lt;0.01,"***",IF(DW62&lt;0.05,"**",IF(DW62&lt;0.1,"*","")))&amp;" ("&amp;ROUND(DU62,4)&amp;")"</f>
        <v>0.6091*** (0.0119)</v>
      </c>
      <c r="EC65">
        <f t="shared" si="53"/>
        <v>17000</v>
      </c>
      <c r="ED65">
        <f t="shared" si="54"/>
        <v>200</v>
      </c>
      <c r="EE65" s="20">
        <f t="shared" si="50"/>
        <v>10278.279318810599</v>
      </c>
      <c r="EF65" s="20">
        <f t="shared" si="51"/>
        <v>10292.553848112517</v>
      </c>
      <c r="EG65" s="20">
        <f t="shared" si="52"/>
        <v>14274.529301917937</v>
      </c>
      <c r="EH65" s="20">
        <f t="shared" si="55"/>
        <v>372.64299387367464</v>
      </c>
      <c r="EI65" s="13">
        <f t="shared" si="56"/>
        <v>2.1920176110216155E-2</v>
      </c>
    </row>
    <row r="66" spans="1:139" x14ac:dyDescent="0.25">
      <c r="A66">
        <v>0.5</v>
      </c>
      <c r="C66" s="190">
        <f>IF(C65*(1+A66*Model!$B$19*IF(Model!$B$28=0,1,((Model!$B$28-B66)/(Model!$B$28-$B$9))))&gt;Model!$B$44,C65*(1+A66*Model!$B$19*IF(Model!$B$28=0,1,((Model!$B$28-B66)/(Model!$B$28-$B$9)))),Model!$B$44)</f>
        <v>50</v>
      </c>
      <c r="H66" s="17"/>
      <c r="O66" s="18"/>
      <c r="AY66">
        <v>50</v>
      </c>
      <c r="AZ66">
        <v>35</v>
      </c>
      <c r="BA66">
        <v>70</v>
      </c>
      <c r="BD66" s="20" cm="1">
        <f t="array" ref="BD66">SUMPRODUCT(('Old CCC projections data'!$F$1:$BN$1=$B29)*('Old CCC projections data'!$A$2:$A$271=BD$2)*('Old CCC projections data'!$D$2:$D$271=BD$3)*('Old CCC projections data'!$F$2:$BN$271))</f>
        <v>28841.465785084409</v>
      </c>
      <c r="BN66" s="20" cm="1">
        <f t="array" ref="BN66">SUMPRODUCT(('Old CCC projections data'!$F$1:$BN$1=$B29)*('Old CCC projections data'!$A$2:$A$271=BN$2)*('Old CCC projections data'!$D$2:$D$271=BN$3)*('Old CCC projections data'!$F$2:$BN$271))</f>
        <v>18472.725707396126</v>
      </c>
      <c r="CY66" s="20" t="str">
        <f t="shared" si="61"/>
        <v>Demo path - C price $200 3%</v>
      </c>
      <c r="CZ66" s="3">
        <f t="shared" si="34"/>
        <v>2028</v>
      </c>
      <c r="DA66" s="18">
        <f t="shared" si="31"/>
        <v>0</v>
      </c>
      <c r="DB66" s="18">
        <f ca="1">(J13+IF($DB$3&gt;0,NPV($DB$2,J14:OFFSET(J13,$DB$3,0)),0))/($DB$3+1)</f>
        <v>275.24285038935676</v>
      </c>
      <c r="DC66" s="18">
        <f t="shared" ca="1" si="20"/>
        <v>75.242850389356761</v>
      </c>
      <c r="DD66" s="18">
        <f t="shared" si="37"/>
        <v>200</v>
      </c>
      <c r="DE66" s="20">
        <f t="shared" si="35"/>
        <v>35511.189170281767</v>
      </c>
      <c r="DF66" s="20" cm="1">
        <f t="array" ref="DF66">SUMPRODUCT(($BG$2:$BM$2=CY66)*($B$5:$B$35=CZ66)*($BG$5:$BM$35))</f>
        <v>30435.302765531254</v>
      </c>
      <c r="DG66" s="20">
        <f t="shared" si="46"/>
        <v>5075.8864047505122</v>
      </c>
      <c r="DH66" s="20" cm="1">
        <f t="array" ref="DH66">IF(CZ66=2023,SUMPRODUCT(($B$5:$B$35=CZ66-1)*($BN$5:$BN$35))-SUMPRODUCT(($BG$2:$BM$2=CY66)*($B$5:$B$35=CZ66-1)*($BG$5:$BM$35)),DG65)</f>
        <v>4364.6536814671927</v>
      </c>
      <c r="DI66" s="18">
        <f t="shared" ca="1" si="47"/>
        <v>275.24285038935676</v>
      </c>
      <c r="DJ66" s="89">
        <f t="shared" si="48"/>
        <v>8.5322564496931097</v>
      </c>
      <c r="DK66" s="89">
        <f t="shared" si="23"/>
        <v>8.3812941252560691</v>
      </c>
      <c r="DL66" s="89">
        <f t="shared" ca="1" si="24"/>
        <v>5.6176538002948861</v>
      </c>
      <c r="DM66" s="20">
        <f t="shared" ca="1" si="25"/>
        <v>2084.3357408994557</v>
      </c>
      <c r="DN66" s="20">
        <f t="shared" ca="1" si="49"/>
        <v>4876.973354770932</v>
      </c>
      <c r="DO66" s="20">
        <f t="shared" ca="1" si="27"/>
        <v>3480.6545478351936</v>
      </c>
      <c r="DP66" s="113"/>
      <c r="DQ66" s="2"/>
      <c r="DR66" s="3"/>
      <c r="DT66" t="str">
        <f>ROUND(DT63,4)&amp;IF(DW63&lt;0.01,"***",IF(DW63&lt;0.05,"**",IF(DW63&lt;0.1,"*","")))&amp;" ("&amp;ROUND(DU63,4)&amp;")"</f>
        <v>0.2783*** (0.0171)</v>
      </c>
      <c r="EC66">
        <f t="shared" si="53"/>
        <v>18000</v>
      </c>
      <c r="ED66">
        <f t="shared" si="54"/>
        <v>200</v>
      </c>
      <c r="EE66" s="20">
        <f t="shared" si="50"/>
        <v>10642.446575882217</v>
      </c>
      <c r="EF66" s="20">
        <f t="shared" si="51"/>
        <v>10657.226862618878</v>
      </c>
      <c r="EG66" s="20">
        <f t="shared" si="52"/>
        <v>14780.286736660855</v>
      </c>
      <c r="EH66" s="20">
        <f t="shared" si="55"/>
        <v>364.16725707161822</v>
      </c>
      <c r="EI66" s="13">
        <f t="shared" si="56"/>
        <v>2.0231514281756569E-2</v>
      </c>
    </row>
    <row r="67" spans="1:139" x14ac:dyDescent="0.25">
      <c r="A67">
        <v>0.5</v>
      </c>
      <c r="C67" s="190">
        <f>IF(C66*(1+A67*Model!$B$19*IF(Model!$B$28=0,1,((Model!$B$28-B67)/(Model!$B$28-$B$9))))&gt;Model!$B$44,C66*(1+A67*Model!$B$19*IF(Model!$B$28=0,1,((Model!$B$28-B67)/(Model!$B$28-$B$9)))),Model!$B$44)</f>
        <v>50</v>
      </c>
      <c r="H67" s="17"/>
      <c r="O67" s="18"/>
      <c r="BD67" s="20" cm="1">
        <f t="array" ref="BD67">SUMPRODUCT(('Old CCC projections data'!$F$1:$BN$1=$B30)*('Old CCC projections data'!$A$2:$A$271=BD$2)*('Old CCC projections data'!$D$2:$D$271=BD$3)*('Old CCC projections data'!$F$2:$BN$271))</f>
        <v>28215.784941402893</v>
      </c>
      <c r="BN67" s="20" cm="1">
        <f t="array" ref="BN67">SUMPRODUCT(('Old CCC projections data'!$F$1:$BN$1=$B30)*('Old CCC projections data'!$A$2:$A$271=BN$2)*('Old CCC projections data'!$D$2:$D$271=BN$3)*('Old CCC projections data'!$F$2:$BN$271))</f>
        <v>17677.489690197111</v>
      </c>
      <c r="CY67" s="20" t="str">
        <f t="shared" si="61"/>
        <v>Demo path - C price $200 3%</v>
      </c>
      <c r="CZ67" s="3">
        <f t="shared" si="34"/>
        <v>2029</v>
      </c>
      <c r="DA67" s="18">
        <f t="shared" si="31"/>
        <v>0</v>
      </c>
      <c r="DB67" s="18">
        <f ca="1">(J14+IF($DB$3&gt;0,NPV($DB$2,J15:OFFSET(J14,$DB$3,0)),0))/($DB$3+1)</f>
        <v>283.50013590103748</v>
      </c>
      <c r="DC67" s="18">
        <f t="shared" ca="1" si="20"/>
        <v>83.500135901037481</v>
      </c>
      <c r="DD67" s="18">
        <f t="shared" si="37"/>
        <v>200</v>
      </c>
      <c r="DE67" s="20">
        <f t="shared" si="35"/>
        <v>35177.841893805635</v>
      </c>
      <c r="DF67" s="20" cm="1">
        <f t="array" ref="DF67">SUMPRODUCT(($BG$2:$BM$2=CY67)*($B$5:$B$35=CZ67)*($BG$5:$BM$35))</f>
        <v>29443.756026152165</v>
      </c>
      <c r="DG67" s="20">
        <f t="shared" si="46"/>
        <v>5734.0858676534699</v>
      </c>
      <c r="DH67" s="20" cm="1">
        <f t="array" ref="DH67">IF(CZ67=2023,SUMPRODUCT(($B$5:$B$35=CZ67-1)*($BN$5:$BN$35))-SUMPRODUCT(($BG$2:$BM$2=CY67)*($B$5:$B$35=CZ67-1)*($BG$5:$BM$35)),DG66)</f>
        <v>5075.8864047505122</v>
      </c>
      <c r="DI67" s="18">
        <f t="shared" ca="1" si="47"/>
        <v>283.50013590103748</v>
      </c>
      <c r="DJ67" s="89">
        <f t="shared" si="48"/>
        <v>8.654183621506192</v>
      </c>
      <c r="DK67" s="89">
        <f t="shared" si="23"/>
        <v>8.5322564496931097</v>
      </c>
      <c r="DL67" s="89">
        <f t="shared" ca="1" si="24"/>
        <v>5.6472126025364311</v>
      </c>
      <c r="DM67" s="20">
        <f t="shared" ca="1" si="25"/>
        <v>2368.7522423871633</v>
      </c>
      <c r="DN67" s="20">
        <f t="shared" ca="1" si="49"/>
        <v>5293.5529284963568</v>
      </c>
      <c r="DO67" s="20">
        <f t="shared" ca="1" si="27"/>
        <v>3831.15258544176</v>
      </c>
      <c r="DP67" s="113"/>
      <c r="DQ67" s="2"/>
      <c r="DR67" s="3"/>
      <c r="DT67" t="str">
        <f>ROUND(DT61,4)&amp;IF(DW61&lt;0.01,"***",IF(DW61&lt;0.05,"**",IF(DW61&lt;0.1,"*","")))&amp;" ("&amp;ROUND(DU61,4)&amp;")"</f>
        <v>1.8298*** (0.0751)</v>
      </c>
      <c r="DU67" s="18"/>
      <c r="DV67" s="20"/>
      <c r="EC67">
        <f t="shared" si="53"/>
        <v>19000</v>
      </c>
      <c r="ED67">
        <f t="shared" si="54"/>
        <v>200</v>
      </c>
      <c r="EE67" s="20">
        <f t="shared" si="50"/>
        <v>10998.786635906014</v>
      </c>
      <c r="EF67" s="20">
        <f t="shared" si="51"/>
        <v>11014.061809624289</v>
      </c>
      <c r="EG67" s="20">
        <f t="shared" si="52"/>
        <v>15275.173718275255</v>
      </c>
      <c r="EH67" s="20">
        <f t="shared" si="55"/>
        <v>356.34006002379647</v>
      </c>
      <c r="EI67" s="13">
        <f t="shared" si="56"/>
        <v>1.8754740001252445E-2</v>
      </c>
    </row>
    <row r="68" spans="1:139" x14ac:dyDescent="0.25">
      <c r="A68">
        <v>0.5</v>
      </c>
      <c r="C68" s="190">
        <f>IF(C67*(1+A68*Model!$B$19*IF(Model!$B$28=0,1,((Model!$B$28-B68)/(Model!$B$28-$B$9))))&gt;Model!$B$44,C67*(1+A68*Model!$B$19*IF(Model!$B$28=0,1,((Model!$B$28-B68)/(Model!$B$28-$B$9)))),Model!$B$44)</f>
        <v>50</v>
      </c>
      <c r="H68" s="17"/>
      <c r="O68" s="18"/>
      <c r="BD68" s="20" cm="1">
        <f t="array" ref="BD68">SUMPRODUCT(('Old CCC projections data'!$F$1:$BN$1=$B31)*('Old CCC projections data'!$A$2:$A$271=BD$2)*('Old CCC projections data'!$D$2:$D$271=BD$3)*('Old CCC projections data'!$F$2:$BN$271))</f>
        <v>27525.555885332815</v>
      </c>
      <c r="BN68" s="20" cm="1">
        <f t="array" ref="BN68">SUMPRODUCT(('Old CCC projections data'!$F$1:$BN$1=$B31)*('Old CCC projections data'!$A$2:$A$271=BN$2)*('Old CCC projections data'!$D$2:$D$271=BN$3)*('Old CCC projections data'!$F$2:$BN$271))</f>
        <v>16949.211978015726</v>
      </c>
      <c r="CY68" s="20" t="str">
        <f t="shared" si="61"/>
        <v>Demo path - C price $200 3%</v>
      </c>
      <c r="CZ68" s="3">
        <f t="shared" si="34"/>
        <v>2030</v>
      </c>
      <c r="DA68" s="18">
        <f t="shared" si="31"/>
        <v>0</v>
      </c>
      <c r="DB68" s="18">
        <f ca="1">(J15+IF($DB$3&gt;0,NPV($DB$2,J16:OFFSET(J15,$DB$3,0)),0))/($DB$3+1)</f>
        <v>292.00513997806854</v>
      </c>
      <c r="DC68" s="18">
        <f t="shared" ca="1" si="20"/>
        <v>92.005139978068541</v>
      </c>
      <c r="DD68" s="18">
        <f t="shared" si="37"/>
        <v>200</v>
      </c>
      <c r="DE68" s="20">
        <f t="shared" si="35"/>
        <v>33772.256001092159</v>
      </c>
      <c r="DF68" s="20" cm="1">
        <f t="array" ref="DF68">SUMPRODUCT(($BG$2:$BM$2=CY68)*($B$5:$B$35=CZ68)*($BG$5:$BM$35))</f>
        <v>27381.215154339345</v>
      </c>
      <c r="DG68" s="20">
        <f t="shared" si="46"/>
        <v>6391.0408467528141</v>
      </c>
      <c r="DH68" s="20" cm="1">
        <f t="array" ref="DH68">IF(CZ68=2023,SUMPRODUCT(($B$5:$B$35=CZ68-1)*($BN$5:$BN$35))-SUMPRODUCT(($BG$2:$BM$2=CY68)*($B$5:$B$35=CZ68-1)*($BG$5:$BM$35)),DG67)</f>
        <v>5734.0858676534699</v>
      </c>
      <c r="DI68" s="18">
        <f t="shared" ca="1" si="47"/>
        <v>292.00513997806854</v>
      </c>
      <c r="DJ68" s="89">
        <f t="shared" si="48"/>
        <v>8.7626524209227412</v>
      </c>
      <c r="DK68" s="89">
        <f t="shared" si="23"/>
        <v>8.654183621506192</v>
      </c>
      <c r="DL68" s="89">
        <f t="shared" ca="1" si="24"/>
        <v>5.6767714047779751</v>
      </c>
      <c r="DM68" s="20">
        <f t="shared" ca="1" si="25"/>
        <v>2648.4269851145191</v>
      </c>
      <c r="DN68" s="20">
        <f t="shared" ca="1" si="49"/>
        <v>5610.5170401718688</v>
      </c>
      <c r="DO68" s="20">
        <f t="shared" ca="1" si="27"/>
        <v>4129.4720126431939</v>
      </c>
      <c r="DP68" s="113"/>
      <c r="DQ68" s="2"/>
      <c r="DR68" s="3"/>
      <c r="DT68" s="119">
        <f>DT50</f>
        <v>0.97533274687111104</v>
      </c>
      <c r="DU68" s="18"/>
      <c r="DV68" s="20"/>
      <c r="EC68">
        <f t="shared" si="53"/>
        <v>20000</v>
      </c>
      <c r="ED68">
        <f t="shared" si="54"/>
        <v>200</v>
      </c>
      <c r="EE68" s="20">
        <f t="shared" si="50"/>
        <v>11347.867153907289</v>
      </c>
      <c r="EF68" s="20">
        <f t="shared" si="51"/>
        <v>11363.62713251638</v>
      </c>
      <c r="EG68" s="20">
        <f t="shared" si="52"/>
        <v>15759.978609090467</v>
      </c>
      <c r="EH68" s="20">
        <f t="shared" si="55"/>
        <v>349.08051800127578</v>
      </c>
      <c r="EI68" s="13">
        <f t="shared" si="56"/>
        <v>1.7454025900063789E-2</v>
      </c>
    </row>
    <row r="69" spans="1:139" x14ac:dyDescent="0.25">
      <c r="A69">
        <v>0.5</v>
      </c>
      <c r="C69" s="190">
        <f>IF(C68*(1+A69*Model!$B$19*IF(Model!$B$28=0,1,((Model!$B$28-B69)/(Model!$B$28-$B$9))))&gt;Model!$B$44,C68*(1+A69*Model!$B$19*IF(Model!$B$28=0,1,((Model!$B$28-B69)/(Model!$B$28-$B$9)))),Model!$B$44)</f>
        <v>50</v>
      </c>
      <c r="H69" s="17"/>
      <c r="O69" s="18"/>
      <c r="BD69" s="20" cm="1">
        <f t="array" ref="BD69">SUMPRODUCT(('Old CCC projections data'!$F$1:$BN$1=$B32)*('Old CCC projections data'!$A$2:$A$271=BD$2)*('Old CCC projections data'!$D$2:$D$271=BD$3)*('Old CCC projections data'!$F$2:$BN$271))</f>
        <v>26835.933009880133</v>
      </c>
      <c r="BN69" s="20" cm="1">
        <f t="array" ref="BN69">SUMPRODUCT(('Old CCC projections data'!$F$1:$BN$1=$B32)*('Old CCC projections data'!$A$2:$A$271=BN$2)*('Old CCC projections data'!$D$2:$D$271=BN$3)*('Old CCC projections data'!$F$2:$BN$271))</f>
        <v>16245.780919206421</v>
      </c>
      <c r="CY69" s="20" t="str">
        <f t="shared" si="61"/>
        <v>Demo path - C price $200 3%</v>
      </c>
      <c r="CZ69" s="3">
        <f t="shared" si="34"/>
        <v>2031</v>
      </c>
      <c r="DA69" s="18">
        <f t="shared" si="31"/>
        <v>0</v>
      </c>
      <c r="DB69" s="18">
        <f ca="1">(J16+IF($DB$3&gt;0,NPV($DB$2,J17:OFFSET(J16,$DB$3,0)),0))/($DB$3+1)</f>
        <v>300.76529417741057</v>
      </c>
      <c r="DC69" s="18">
        <f t="shared" ca="1" si="20"/>
        <v>100.76529417741057</v>
      </c>
      <c r="DD69" s="18">
        <f t="shared" si="37"/>
        <v>200</v>
      </c>
      <c r="DE69" s="20">
        <f t="shared" si="35"/>
        <v>32544.850715439803</v>
      </c>
      <c r="DF69" s="20" cm="1">
        <f t="array" ref="DF69">SUMPRODUCT(($BG$2:$BM$2=CY69)*($B$5:$B$35=CZ69)*($BG$5:$BM$35))</f>
        <v>26108.890979217442</v>
      </c>
      <c r="DG69" s="20">
        <f t="shared" ref="DG69:DG100" si="62">DE69-DF69</f>
        <v>6435.9597362223612</v>
      </c>
      <c r="DH69" s="20" cm="1">
        <f t="array" ref="DH69">IF(CZ69=2023,SUMPRODUCT(($B$5:$B$35=CZ69-1)*($BN$5:$BN$35))-SUMPRODUCT(($BG$2:$BM$2=CY69)*($B$5:$B$35=CZ69-1)*($BG$5:$BM$35)),DG68)</f>
        <v>6391.0408467528141</v>
      </c>
      <c r="DI69" s="18">
        <f t="shared" ref="DI69:DI100" ca="1" si="63">DB69</f>
        <v>300.76529417741057</v>
      </c>
      <c r="DJ69" s="89">
        <f t="shared" si="48"/>
        <v>8.7696562520675894</v>
      </c>
      <c r="DK69" s="89">
        <f t="shared" si="23"/>
        <v>8.7626524209227412</v>
      </c>
      <c r="DL69" s="89">
        <f t="shared" ca="1" si="24"/>
        <v>5.7063302070195192</v>
      </c>
      <c r="DM69" s="20">
        <f t="shared" ca="1" si="25"/>
        <v>2924.01184246093</v>
      </c>
      <c r="DN69" s="20">
        <f t="shared" ca="1" si="49"/>
        <v>5860.8314460831807</v>
      </c>
      <c r="DO69" s="20">
        <f t="shared" ca="1" si="27"/>
        <v>4392.4216442720553</v>
      </c>
      <c r="DP69" s="113"/>
      <c r="DQ69" s="2"/>
      <c r="DR69" s="3"/>
      <c r="DT69" s="20"/>
      <c r="DU69" s="18"/>
      <c r="DV69" s="20"/>
      <c r="EE69" s="120"/>
      <c r="EF69" s="3"/>
      <c r="EG69" s="2"/>
    </row>
    <row r="70" spans="1:139" x14ac:dyDescent="0.25">
      <c r="A70">
        <v>0.5</v>
      </c>
      <c r="C70" s="190">
        <f>IF(C69*(1+A70*Model!$B$19*IF(Model!$B$28=0,1,((Model!$B$28-B70)/(Model!$B$28-$B$9))))&gt;Model!$B$44,C69*(1+A70*Model!$B$19*IF(Model!$B$28=0,1,((Model!$B$28-B70)/(Model!$B$28-$B$9)))),Model!$B$44)</f>
        <v>50</v>
      </c>
      <c r="H70" s="17"/>
      <c r="O70" s="18"/>
      <c r="BD70" s="20" cm="1">
        <f t="array" ref="BD70">SUMPRODUCT(('Old CCC projections data'!$F$1:$BN$1=$B33)*('Old CCC projections data'!$A$2:$A$271=BD$2)*('Old CCC projections data'!$D$2:$D$271=BD$3)*('Old CCC projections data'!$F$2:$BN$271))</f>
        <v>26103.582338314554</v>
      </c>
      <c r="BN70" s="20" cm="1">
        <f t="array" ref="BN70">SUMPRODUCT(('Old CCC projections data'!$F$1:$BN$1=$B33)*('Old CCC projections data'!$A$2:$A$271=BN$2)*('Old CCC projections data'!$D$2:$D$271=BN$3)*('Old CCC projections data'!$F$2:$BN$271))</f>
        <v>15581.870841314774</v>
      </c>
      <c r="CY70" s="20" t="str">
        <f t="shared" si="61"/>
        <v>Demo path - C price $200 3%</v>
      </c>
      <c r="CZ70" s="3">
        <f t="shared" si="34"/>
        <v>2032</v>
      </c>
      <c r="DA70" s="18">
        <f t="shared" si="31"/>
        <v>0</v>
      </c>
      <c r="DB70" s="18">
        <f ca="1">(J17+IF($DB$3&gt;0,NPV($DB$2,J18:OFFSET(J17,$DB$3,0)),0))/($DB$3+1)</f>
        <v>309.78825300273297</v>
      </c>
      <c r="DC70" s="18">
        <f t="shared" ref="DC70:DC133" ca="1" si="64">DB70-DD70</f>
        <v>109.78825300273297</v>
      </c>
      <c r="DD70" s="18">
        <f t="shared" si="37"/>
        <v>200</v>
      </c>
      <c r="DE70" s="20">
        <f t="shared" si="35"/>
        <v>31317.445429787447</v>
      </c>
      <c r="DF70" s="20" cm="1">
        <f t="array" ref="DF70">SUMPRODUCT(($BG$2:$BM$2=CY70)*($B$5:$B$35=CZ70)*($BG$5:$BM$35))</f>
        <v>24791.912765791385</v>
      </c>
      <c r="DG70" s="20">
        <f t="shared" si="62"/>
        <v>6525.5326639960622</v>
      </c>
      <c r="DH70" s="20" cm="1">
        <f t="array" ref="DH70">IF(CZ70=2023,SUMPRODUCT(($B$5:$B$35=CZ70-1)*($BN$5:$BN$35))-SUMPRODUCT(($BG$2:$BM$2=CY70)*($B$5:$B$35=CZ70-1)*($BG$5:$BM$35)),DG69)</f>
        <v>6435.9597362223612</v>
      </c>
      <c r="DI70" s="18">
        <f t="shared" ca="1" si="63"/>
        <v>309.78825300273297</v>
      </c>
      <c r="DJ70" s="89">
        <f t="shared" ref="DJ70:DJ101" si="65">LN(DG70)</f>
        <v>8.7834778631878923</v>
      </c>
      <c r="DK70" s="89">
        <f t="shared" ref="DK70:DK133" si="66">LN(DH70)</f>
        <v>8.7696562520675894</v>
      </c>
      <c r="DL70" s="89">
        <f t="shared" ref="DL70:DL133" ca="1" si="67">LN(DI70)</f>
        <v>5.7358890092610642</v>
      </c>
      <c r="DM70" s="20">
        <f t="shared" ref="DM70:DM133" ca="1" si="68">IF($DP$1="Yes",$DT$32+IF(CZ70=2023,DH70,DM69)*$DT$33+DI70*$DT$34,$DT$88*IF(CZ70=2023,DH70,DM69)+$DT$89*DI70)</f>
        <v>3196.1307357751575</v>
      </c>
      <c r="DN70" s="20">
        <f t="shared" ref="DN70:DN101" ca="1" si="69">EXP($DT$61+IF(CZ70=2023,DK70,LN(DN69))*$DT$62+DL70*$DT$63)</f>
        <v>6068.4590740943058</v>
      </c>
      <c r="DO70" s="20">
        <f t="shared" ref="DO70:DO133" ca="1" si="70">AVERAGE(DM70:DN70)</f>
        <v>4632.2949049347317</v>
      </c>
      <c r="DP70" s="113"/>
      <c r="DQ70" s="2"/>
      <c r="DR70" s="3"/>
      <c r="DT70" s="20"/>
      <c r="DU70" s="18"/>
      <c r="DV70" s="20"/>
      <c r="EE70" s="120"/>
      <c r="EF70" s="3"/>
      <c r="EG70" s="2"/>
    </row>
    <row r="71" spans="1:139" x14ac:dyDescent="0.25">
      <c r="A71">
        <v>0.5</v>
      </c>
      <c r="C71" s="190">
        <f>IF(C70*(1+A71*Model!$B$19*IF(Model!$B$28=0,1,((Model!$B$28-B71)/(Model!$B$28-$B$9))))&gt;Model!$B$44,C70*(1+A71*Model!$B$19*IF(Model!$B$28=0,1,((Model!$B$28-B71)/(Model!$B$28-$B$9)))),Model!$B$44)</f>
        <v>50</v>
      </c>
      <c r="H71" s="17"/>
      <c r="O71" s="18"/>
      <c r="BD71" s="20" cm="1">
        <f t="array" ref="BD71">SUMPRODUCT(('Old CCC projections data'!$F$1:$BN$1=$B34)*('Old CCC projections data'!$A$2:$A$271=BD$2)*('Old CCC projections data'!$D$2:$D$271=BD$3)*('Old CCC projections data'!$F$2:$BN$271))</f>
        <v>25351.848593558083</v>
      </c>
      <c r="BN71" s="20" cm="1">
        <f t="array" ref="BN71">SUMPRODUCT(('Old CCC projections data'!$F$1:$BN$1=$B34)*('Old CCC projections data'!$A$2:$A$271=BN$2)*('Old CCC projections data'!$D$2:$D$271=BN$3)*('Old CCC projections data'!$F$2:$BN$271))</f>
        <v>15012.992887840681</v>
      </c>
      <c r="CY71" s="20" t="str">
        <f t="shared" si="61"/>
        <v>Demo path - C price $200 3%</v>
      </c>
      <c r="CZ71" s="3">
        <f t="shared" si="34"/>
        <v>2033</v>
      </c>
      <c r="DA71" s="18">
        <f t="shared" ref="DA71:DA134" si="71">DA70</f>
        <v>0</v>
      </c>
      <c r="DB71" s="18">
        <f ca="1">(J18+IF($DB$3&gt;0,NPV($DB$2,J19:OFFSET(J18,$DB$3,0)),0))/($DB$3+1)</f>
        <v>319.08190059281497</v>
      </c>
      <c r="DC71" s="18">
        <f t="shared" ca="1" si="64"/>
        <v>119.08190059281497</v>
      </c>
      <c r="DD71" s="18">
        <f t="shared" si="37"/>
        <v>200</v>
      </c>
      <c r="DE71" s="20">
        <f t="shared" si="35"/>
        <v>30090.040144135091</v>
      </c>
      <c r="DF71" s="20" cm="1">
        <f t="array" ref="DF71">SUMPRODUCT(($BG$2:$BM$2=CY71)*($B$5:$B$35=CZ71)*($BG$5:$BM$35))</f>
        <v>23559.735427754382</v>
      </c>
      <c r="DG71" s="20">
        <f t="shared" si="62"/>
        <v>6530.3047163807096</v>
      </c>
      <c r="DH71" s="20" cm="1">
        <f t="array" ref="DH71">IF(CZ71=2023,SUMPRODUCT(($B$5:$B$35=CZ71-1)*($BN$5:$BN$35))-SUMPRODUCT(($BG$2:$BM$2=CY71)*($B$5:$B$35=CZ71-1)*($BG$5:$BM$35)),DG70)</f>
        <v>6525.5326639960622</v>
      </c>
      <c r="DI71" s="18">
        <f t="shared" ca="1" si="63"/>
        <v>319.08190059281497</v>
      </c>
      <c r="DJ71" s="89">
        <f t="shared" si="65"/>
        <v>8.7842088852522959</v>
      </c>
      <c r="DK71" s="89">
        <f t="shared" si="66"/>
        <v>8.7834778631878923</v>
      </c>
      <c r="DL71" s="89">
        <f t="shared" ca="1" si="67"/>
        <v>5.7654478115026082</v>
      </c>
      <c r="DM71" s="20">
        <f t="shared" ca="1" si="68"/>
        <v>3465.3816379725781</v>
      </c>
      <c r="DN71" s="20">
        <f t="shared" ca="1" si="69"/>
        <v>6249.7156447470916</v>
      </c>
      <c r="DO71" s="20">
        <f t="shared" ca="1" si="70"/>
        <v>4857.5486413598346</v>
      </c>
      <c r="DP71" s="113"/>
      <c r="DQ71" s="2"/>
      <c r="DR71" s="3"/>
      <c r="DS71" t="s">
        <v>283</v>
      </c>
      <c r="EE71" s="120"/>
      <c r="EF71" s="3"/>
      <c r="EG71" s="2"/>
    </row>
    <row r="72" spans="1:139" ht="15.75" thickBot="1" x14ac:dyDescent="0.3">
      <c r="A72">
        <v>0.5</v>
      </c>
      <c r="C72" s="190">
        <f>IF(C71*(1+A72*Model!$B$19*IF(Model!$B$28=0,1,((Model!$B$28-B72)/(Model!$B$28-$B$9))))&gt;Model!$B$44,C71*(1+A72*Model!$B$19*IF(Model!$B$28=0,1,((Model!$B$28-B72)/(Model!$B$28-$B$9)))),Model!$B$44)</f>
        <v>50</v>
      </c>
      <c r="H72" s="17"/>
      <c r="O72" s="18"/>
      <c r="BD72" s="20" cm="1">
        <f t="array" ref="BD72">SUMPRODUCT(('Old CCC projections data'!$F$1:$BN$1=$B35)*('Old CCC projections data'!$A$2:$A$271=BD$2)*('Old CCC projections data'!$D$2:$D$271=BD$3)*('Old CCC projections data'!$F$2:$BN$271))</f>
        <v>24636.914249776957</v>
      </c>
      <c r="BN72" s="20" cm="1">
        <f t="array" ref="BN72">SUMPRODUCT(('Old CCC projections data'!$F$1:$BN$1=$B35)*('Old CCC projections data'!$A$2:$A$271=BN$2)*('Old CCC projections data'!$D$2:$D$271=BN$3)*('Old CCC projections data'!$F$2:$BN$271))</f>
        <v>14477.451467153383</v>
      </c>
      <c r="CY72" s="20" t="str">
        <f t="shared" si="61"/>
        <v>Demo path - C price $200 3%</v>
      </c>
      <c r="CZ72" s="3">
        <f t="shared" si="34"/>
        <v>2034</v>
      </c>
      <c r="DA72" s="18">
        <f t="shared" si="71"/>
        <v>0</v>
      </c>
      <c r="DB72" s="18">
        <f ca="1">(J19+IF($DB$3&gt;0,NPV($DB$2,J20:OFFSET(J19,$DB$3,0)),0))/($DB$3+1)</f>
        <v>328.65435761059945</v>
      </c>
      <c r="DC72" s="18">
        <f t="shared" ca="1" si="64"/>
        <v>128.65435761059945</v>
      </c>
      <c r="DD72" s="18">
        <f t="shared" si="37"/>
        <v>200</v>
      </c>
      <c r="DE72" s="20">
        <f t="shared" si="35"/>
        <v>28862.634858482736</v>
      </c>
      <c r="DF72" s="20" cm="1">
        <f t="array" ref="DF72">SUMPRODUCT(($BG$2:$BM$2=CY72)*($B$5:$B$35=CZ72)*($BG$5:$BM$35))</f>
        <v>22306.484640939918</v>
      </c>
      <c r="DG72" s="20">
        <f t="shared" si="62"/>
        <v>6556.1502175428177</v>
      </c>
      <c r="DH72" s="20" cm="1">
        <f t="array" ref="DH72">IF(CZ72=2023,SUMPRODUCT(($B$5:$B$35=CZ72-1)*($BN$5:$BN$35))-SUMPRODUCT(($BG$2:$BM$2=CY72)*($B$5:$B$35=CZ72-1)*($BG$5:$BM$35)),DG71)</f>
        <v>6530.3047163807096</v>
      </c>
      <c r="DI72" s="18">
        <f t="shared" ca="1" si="63"/>
        <v>328.65435761059945</v>
      </c>
      <c r="DJ72" s="89">
        <f t="shared" si="65"/>
        <v>8.7881588525882286</v>
      </c>
      <c r="DK72" s="89">
        <f t="shared" si="66"/>
        <v>8.7842088852522959</v>
      </c>
      <c r="DL72" s="89">
        <f t="shared" ca="1" si="67"/>
        <v>5.7950066137441532</v>
      </c>
      <c r="DM72" s="20">
        <f t="shared" ca="1" si="68"/>
        <v>3732.3384672095517</v>
      </c>
      <c r="DN72" s="20">
        <f t="shared" ca="1" si="69"/>
        <v>6415.3196912489502</v>
      </c>
      <c r="DO72" s="20">
        <f t="shared" ca="1" si="70"/>
        <v>5073.829079229251</v>
      </c>
      <c r="DP72" s="113"/>
      <c r="DQ72" s="2"/>
      <c r="DR72" s="3"/>
      <c r="EE72" s="120"/>
      <c r="EF72" s="3"/>
      <c r="EG72" s="2"/>
    </row>
    <row r="73" spans="1:139" x14ac:dyDescent="0.25">
      <c r="A73">
        <v>0.5</v>
      </c>
      <c r="C73" s="190">
        <f>IF(C72*(1+A73*Model!$B$19*IF(Model!$B$28=0,1,((Model!$B$28-B73)/(Model!$B$28-$B$9))))&gt;Model!$B$44,C72*(1+A73*Model!$B$19*IF(Model!$B$28=0,1,((Model!$B$28-B73)/(Model!$B$28-$B$9)))),Model!$B$44)</f>
        <v>50</v>
      </c>
      <c r="H73" s="17"/>
      <c r="O73" s="18"/>
      <c r="BN73" s="20"/>
      <c r="CY73" s="20" t="str">
        <f t="shared" si="61"/>
        <v>Demo path - C price $200 3%</v>
      </c>
      <c r="CZ73" s="3">
        <f t="shared" si="34"/>
        <v>2035</v>
      </c>
      <c r="DA73" s="18">
        <f t="shared" si="71"/>
        <v>0</v>
      </c>
      <c r="DB73" s="18">
        <f ca="1">(J20+IF($DB$3&gt;0,NPV($DB$2,J21:OFFSET(J20,$DB$3,0)),0))/($DB$3+1)</f>
        <v>338.51398833891739</v>
      </c>
      <c r="DC73" s="18">
        <f t="shared" ca="1" si="64"/>
        <v>138.51398833891739</v>
      </c>
      <c r="DD73" s="18">
        <f t="shared" si="37"/>
        <v>200</v>
      </c>
      <c r="DE73" s="20">
        <f t="shared" si="35"/>
        <v>27635.22957283038</v>
      </c>
      <c r="DF73" s="20" cm="1">
        <f t="array" ref="DF73">SUMPRODUCT(($BG$2:$BM$2=CY73)*($B$5:$B$35=CZ73)*($BG$5:$BM$35))</f>
        <v>21145.330022051854</v>
      </c>
      <c r="DG73" s="20">
        <f t="shared" si="62"/>
        <v>6489.8995507785257</v>
      </c>
      <c r="DH73" s="20" cm="1">
        <f t="array" ref="DH73">IF(CZ73=2023,SUMPRODUCT(($B$5:$B$35=CZ73-1)*($BN$5:$BN$35))-SUMPRODUCT(($BG$2:$BM$2=CY73)*($B$5:$B$35=CZ73-1)*($BG$5:$BM$35)),DG72)</f>
        <v>6556.1502175428177</v>
      </c>
      <c r="DI73" s="18">
        <f t="shared" ca="1" si="63"/>
        <v>338.51398833891739</v>
      </c>
      <c r="DJ73" s="89">
        <f t="shared" si="65"/>
        <v>8.7780023320403799</v>
      </c>
      <c r="DK73" s="89">
        <f t="shared" si="66"/>
        <v>8.7881588525882286</v>
      </c>
      <c r="DL73" s="89">
        <f t="shared" ca="1" si="67"/>
        <v>5.8245654159856972</v>
      </c>
      <c r="DM73" s="20">
        <f t="shared" ca="1" si="68"/>
        <v>3997.5528775092284</v>
      </c>
      <c r="DN73" s="20">
        <f t="shared" ca="1" si="69"/>
        <v>6572.1741464415018</v>
      </c>
      <c r="DO73" s="20">
        <f t="shared" ca="1" si="70"/>
        <v>5284.8635119753653</v>
      </c>
      <c r="DP73" s="113"/>
      <c r="DQ73" s="2"/>
      <c r="DR73" s="3"/>
      <c r="DS73" s="16" t="s">
        <v>256</v>
      </c>
      <c r="DT73" s="16"/>
      <c r="EE73" s="120"/>
      <c r="EF73" s="3"/>
      <c r="EG73" s="2"/>
    </row>
    <row r="74" spans="1:139" x14ac:dyDescent="0.25">
      <c r="A74">
        <v>0.5</v>
      </c>
      <c r="C74" s="190">
        <f>IF(C73*(1+A74*Model!$B$19*IF(Model!$B$28=0,1,((Model!$B$28-B74)/(Model!$B$28-$B$9))))&gt;Model!$B$44,C73*(1+A74*Model!$B$19*IF(Model!$B$28=0,1,((Model!$B$28-B74)/(Model!$B$28-$B$9)))),Model!$B$44)</f>
        <v>50</v>
      </c>
      <c r="H74" s="17"/>
      <c r="O74" s="18"/>
      <c r="BN74" s="20"/>
      <c r="CY74" s="20" t="str">
        <f t="shared" si="61"/>
        <v>Demo path - C price $200 3%</v>
      </c>
      <c r="CZ74" s="3">
        <f t="shared" si="34"/>
        <v>2036</v>
      </c>
      <c r="DA74" s="18">
        <f t="shared" si="71"/>
        <v>0</v>
      </c>
      <c r="DB74" s="18">
        <f ca="1">(J21+IF($DB$3&gt;0,NPV($DB$2,J22:OFFSET(J21,$DB$3,0)),0))/($DB$3+1)</f>
        <v>348.66940798908485</v>
      </c>
      <c r="DC74" s="18">
        <f t="shared" ca="1" si="64"/>
        <v>148.66940798908485</v>
      </c>
      <c r="DD74" s="18">
        <f t="shared" si="37"/>
        <v>200</v>
      </c>
      <c r="DE74" s="20">
        <f t="shared" si="35"/>
        <v>26407.824287178031</v>
      </c>
      <c r="DF74" s="20" cm="1">
        <f t="array" ref="DF74">SUMPRODUCT(($BG$2:$BM$2=CY74)*($B$5:$B$35=CZ74)*($BG$5:$BM$35))</f>
        <v>19980.135828641982</v>
      </c>
      <c r="DG74" s="20">
        <f t="shared" si="62"/>
        <v>6427.6884585360494</v>
      </c>
      <c r="DH74" s="20" cm="1">
        <f t="array" ref="DH74">IF(CZ74=2023,SUMPRODUCT(($B$5:$B$35=CZ74-1)*($BN$5:$BN$35))-SUMPRODUCT(($BG$2:$BM$2=CY74)*($B$5:$B$35=CZ74-1)*($BG$5:$BM$35)),DG73)</f>
        <v>6489.8995507785257</v>
      </c>
      <c r="DI74" s="18">
        <f t="shared" ca="1" si="63"/>
        <v>348.66940798908485</v>
      </c>
      <c r="DJ74" s="89">
        <f t="shared" si="65"/>
        <v>8.7683702593692541</v>
      </c>
      <c r="DK74" s="89">
        <f t="shared" si="66"/>
        <v>8.7780023320403799</v>
      </c>
      <c r="DL74" s="89">
        <f t="shared" ca="1" si="67"/>
        <v>5.8541242182272413</v>
      </c>
      <c r="DM74" s="20">
        <f t="shared" ca="1" si="68"/>
        <v>4261.5559528108133</v>
      </c>
      <c r="DN74" s="20">
        <f t="shared" ca="1" si="69"/>
        <v>6724.6784483069869</v>
      </c>
      <c r="DO74" s="20">
        <f t="shared" ca="1" si="70"/>
        <v>5493.1172005588996</v>
      </c>
      <c r="DP74" s="113"/>
      <c r="DQ74" s="2"/>
      <c r="DR74" s="3"/>
      <c r="DS74" t="s">
        <v>257</v>
      </c>
      <c r="DT74">
        <v>0.99755813187536579</v>
      </c>
      <c r="EE74" s="120"/>
      <c r="EF74" s="3"/>
      <c r="EG74" s="2"/>
    </row>
    <row r="75" spans="1:139" x14ac:dyDescent="0.25">
      <c r="A75">
        <v>0.5</v>
      </c>
      <c r="C75" s="190">
        <f>IF(C74*(1+A75*Model!$B$19*IF(Model!$B$28=0,1,((Model!$B$28-B75)/(Model!$B$28-$B$9))))&gt;Model!$B$44,C74*(1+A75*Model!$B$19*IF(Model!$B$28=0,1,((Model!$B$28-B75)/(Model!$B$28-$B$9)))),Model!$B$44)</f>
        <v>50</v>
      </c>
      <c r="H75" s="17"/>
      <c r="O75" s="18"/>
      <c r="BN75" s="20"/>
      <c r="CY75" s="20" t="str">
        <f t="shared" si="61"/>
        <v>Demo path - C price $200 3%</v>
      </c>
      <c r="CZ75" s="3">
        <f t="shared" si="34"/>
        <v>2037</v>
      </c>
      <c r="DA75" s="18">
        <f t="shared" si="71"/>
        <v>0</v>
      </c>
      <c r="DB75" s="18">
        <f ca="1">(J22+IF($DB$3&gt;0,NPV($DB$2,J23:OFFSET(J22,$DB$3,0)),0))/($DB$3+1)</f>
        <v>359.12949022875745</v>
      </c>
      <c r="DC75" s="18">
        <f t="shared" ca="1" si="64"/>
        <v>159.12949022875745</v>
      </c>
      <c r="DD75" s="18">
        <f t="shared" si="37"/>
        <v>200</v>
      </c>
      <c r="DE75" s="20">
        <f t="shared" si="35"/>
        <v>25490.617675668807</v>
      </c>
      <c r="DF75" s="20" cm="1">
        <f t="array" ref="DF75">SUMPRODUCT(($BG$2:$BM$2=CY75)*($B$5:$B$35=CZ75)*($BG$5:$BM$35))</f>
        <v>18872.039342157655</v>
      </c>
      <c r="DG75" s="20">
        <f t="shared" si="62"/>
        <v>6618.5783335111519</v>
      </c>
      <c r="DH75" s="20" cm="1">
        <f t="array" ref="DH75">IF(CZ75=2023,SUMPRODUCT(($B$5:$B$35=CZ75-1)*($BN$5:$BN$35))-SUMPRODUCT(($BG$2:$BM$2=CY75)*($B$5:$B$35=CZ75-1)*($BG$5:$BM$35)),DG74)</f>
        <v>6427.6884585360494</v>
      </c>
      <c r="DI75" s="18">
        <f t="shared" ca="1" si="63"/>
        <v>359.12949022875745</v>
      </c>
      <c r="DJ75" s="89">
        <f t="shared" si="65"/>
        <v>8.7976358726222248</v>
      </c>
      <c r="DK75" s="89">
        <f t="shared" si="66"/>
        <v>8.7683702593692541</v>
      </c>
      <c r="DL75" s="89">
        <f t="shared" ca="1" si="67"/>
        <v>5.8836830204687862</v>
      </c>
      <c r="DM75" s="20">
        <f t="shared" ca="1" si="68"/>
        <v>4524.8598105363453</v>
      </c>
      <c r="DN75" s="20">
        <f t="shared" ca="1" si="69"/>
        <v>6875.6248700485039</v>
      </c>
      <c r="DO75" s="20">
        <f t="shared" ca="1" si="70"/>
        <v>5700.2423402924251</v>
      </c>
      <c r="DP75" s="113"/>
      <c r="DQ75" s="2"/>
      <c r="DR75" s="3"/>
      <c r="DS75" t="s">
        <v>258</v>
      </c>
      <c r="DT75">
        <v>0.99512222647066972</v>
      </c>
      <c r="EE75" s="120"/>
      <c r="EF75" s="3"/>
      <c r="EG75" s="2"/>
    </row>
    <row r="76" spans="1:139" x14ac:dyDescent="0.25">
      <c r="A76">
        <v>0.5</v>
      </c>
      <c r="C76" s="190">
        <f>IF(C75*(1+A76*Model!$B$19*IF(Model!$B$28=0,1,((Model!$B$28-B76)/(Model!$B$28-$B$9))))&gt;Model!$B$44,C75*(1+A76*Model!$B$19*IF(Model!$B$28=0,1,((Model!$B$28-B76)/(Model!$B$28-$B$9)))),Model!$B$44)</f>
        <v>50</v>
      </c>
      <c r="H76" s="17"/>
      <c r="O76" s="18"/>
      <c r="BN76" s="20"/>
      <c r="CY76" s="20" t="str">
        <f t="shared" si="61"/>
        <v>Demo path - C price $200 3%</v>
      </c>
      <c r="CZ76" s="3">
        <f t="shared" si="34"/>
        <v>2038</v>
      </c>
      <c r="DA76" s="18">
        <f t="shared" si="71"/>
        <v>0</v>
      </c>
      <c r="DB76" s="18">
        <f ca="1">(J23+IF($DB$3&gt;0,NPV($DB$2,J24:OFFSET(J23,$DB$3,0)),0))/($DB$3+1)</f>
        <v>369.90337493562032</v>
      </c>
      <c r="DC76" s="18">
        <f t="shared" ca="1" si="64"/>
        <v>169.90337493562032</v>
      </c>
      <c r="DD76" s="18">
        <f t="shared" si="37"/>
        <v>200</v>
      </c>
      <c r="DE76" s="20">
        <f t="shared" si="35"/>
        <v>24570.879657466994</v>
      </c>
      <c r="DF76" s="20" cm="1">
        <f t="array" ref="DF76">SUMPRODUCT(($BG$2:$BM$2=CY76)*($B$5:$B$35=CZ76)*($BG$5:$BM$35))</f>
        <v>17794.654652244855</v>
      </c>
      <c r="DG76" s="20">
        <f t="shared" si="62"/>
        <v>6776.2250052221389</v>
      </c>
      <c r="DH76" s="20" cm="1">
        <f t="array" ref="DH76">IF(CZ76=2023,SUMPRODUCT(($B$5:$B$35=CZ76-1)*($BN$5:$BN$35))-SUMPRODUCT(($BG$2:$BM$2=CY76)*($B$5:$B$35=CZ76-1)*($BG$5:$BM$35)),DG75)</f>
        <v>6618.5783335111519</v>
      </c>
      <c r="DI76" s="18">
        <f t="shared" ca="1" si="63"/>
        <v>369.90337493562032</v>
      </c>
      <c r="DJ76" s="89">
        <f t="shared" si="65"/>
        <v>8.8211754419821915</v>
      </c>
      <c r="DK76" s="89">
        <f t="shared" si="66"/>
        <v>8.7976358726222248</v>
      </c>
      <c r="DL76" s="89">
        <f t="shared" ca="1" si="67"/>
        <v>5.9132418227103312</v>
      </c>
      <c r="DM76" s="20">
        <f t="shared" ca="1" si="68"/>
        <v>4787.9591204139551</v>
      </c>
      <c r="DN76" s="20">
        <f t="shared" ca="1" si="69"/>
        <v>7026.7871432380243</v>
      </c>
      <c r="DO76" s="20">
        <f t="shared" ca="1" si="70"/>
        <v>5907.3731318259897</v>
      </c>
      <c r="DP76" s="113"/>
      <c r="DQ76" s="2"/>
      <c r="DR76" s="3"/>
      <c r="DS76" t="s">
        <v>259</v>
      </c>
      <c r="DT76">
        <v>0.98994244413288968</v>
      </c>
      <c r="EE76" s="120"/>
      <c r="EF76" s="3"/>
      <c r="EG76" s="2"/>
    </row>
    <row r="77" spans="1:139" x14ac:dyDescent="0.25">
      <c r="A77">
        <v>0.5</v>
      </c>
      <c r="C77" s="190">
        <f>IF(C76*(1+A77*Model!$B$19*IF(Model!$B$28=0,1,((Model!$B$28-B77)/(Model!$B$28-$B$9))))&gt;Model!$B$44,C76*(1+A77*Model!$B$19*IF(Model!$B$28=0,1,((Model!$B$28-B77)/(Model!$B$28-$B$9)))),Model!$B$44)</f>
        <v>50</v>
      </c>
      <c r="H77" s="17"/>
      <c r="O77" s="18"/>
      <c r="BN77" s="20"/>
      <c r="CY77" s="20" t="str">
        <f t="shared" si="61"/>
        <v>Demo path - C price $200 3%</v>
      </c>
      <c r="CZ77" s="3">
        <f t="shared" si="34"/>
        <v>2039</v>
      </c>
      <c r="DA77" s="18">
        <f t="shared" si="71"/>
        <v>0</v>
      </c>
      <c r="DB77" s="18">
        <f ca="1">(J24+IF($DB$3&gt;0,NPV($DB$2,J25:OFFSET(J24,$DB$3,0)),0))/($DB$3+1)</f>
        <v>381.00047618368876</v>
      </c>
      <c r="DC77" s="18">
        <f t="shared" ca="1" si="64"/>
        <v>181.00047618368876</v>
      </c>
      <c r="DD77" s="18">
        <f t="shared" si="37"/>
        <v>200</v>
      </c>
      <c r="DE77" s="20">
        <f t="shared" si="35"/>
        <v>23633.677186249501</v>
      </c>
      <c r="DF77" s="20" cm="1">
        <f t="array" ref="DF77">SUMPRODUCT(($BG$2:$BM$2=CY77)*($B$5:$B$35=CZ77)*($BG$5:$BM$35))</f>
        <v>16729.637897576293</v>
      </c>
      <c r="DG77" s="20">
        <f t="shared" si="62"/>
        <v>6904.0392886732079</v>
      </c>
      <c r="DH77" s="20" cm="1">
        <f t="array" ref="DH77">IF(CZ77=2023,SUMPRODUCT(($B$5:$B$35=CZ77-1)*($BN$5:$BN$35))-SUMPRODUCT(($BG$2:$BM$2=CY77)*($B$5:$B$35=CZ77-1)*($BG$5:$BM$35)),DG76)</f>
        <v>6776.2250052221389</v>
      </c>
      <c r="DI77" s="18">
        <f t="shared" ca="1" si="63"/>
        <v>381.00047618368876</v>
      </c>
      <c r="DJ77" s="89">
        <f t="shared" si="65"/>
        <v>8.8398619234587184</v>
      </c>
      <c r="DK77" s="89">
        <f t="shared" si="66"/>
        <v>8.8211754419821915</v>
      </c>
      <c r="DL77" s="89">
        <f t="shared" ca="1" si="67"/>
        <v>5.9428006249518743</v>
      </c>
      <c r="DM77" s="20">
        <f t="shared" ca="1" si="68"/>
        <v>5051.3325439630189</v>
      </c>
      <c r="DN77" s="20">
        <f t="shared" ca="1" si="69"/>
        <v>7179.2985558379705</v>
      </c>
      <c r="DO77" s="20">
        <f t="shared" ca="1" si="70"/>
        <v>6115.3155499004952</v>
      </c>
      <c r="DP77" s="113"/>
      <c r="DQ77" s="2"/>
      <c r="DR77" s="3"/>
      <c r="DS77" t="s">
        <v>260</v>
      </c>
      <c r="DT77">
        <v>374.98682223022331</v>
      </c>
      <c r="EE77" s="120"/>
      <c r="EF77" s="3"/>
      <c r="EG77" s="2"/>
    </row>
    <row r="78" spans="1:139" ht="15.75" thickBot="1" x14ac:dyDescent="0.3">
      <c r="A78">
        <v>0.5</v>
      </c>
      <c r="C78" s="190">
        <f>IF(C77*(1+A78*Model!$B$19*IF(Model!$B$28=0,1,((Model!$B$28-B78)/(Model!$B$28-$B$9))))&gt;Model!$B$44,C77*(1+A78*Model!$B$19*IF(Model!$B$28=0,1,((Model!$B$28-B78)/(Model!$B$28-$B$9)))),Model!$B$44)</f>
        <v>50</v>
      </c>
      <c r="H78" s="17"/>
      <c r="O78" s="18"/>
      <c r="BN78" s="20"/>
      <c r="CY78" s="20" t="str">
        <f t="shared" si="61"/>
        <v>Demo path - C price $200 3%</v>
      </c>
      <c r="CZ78" s="3">
        <f t="shared" si="34"/>
        <v>2040</v>
      </c>
      <c r="DA78" s="18">
        <f t="shared" si="71"/>
        <v>0</v>
      </c>
      <c r="DB78" s="18">
        <f ca="1">(J25+IF($DB$3&gt;0,NPV($DB$2,J26:OFFSET(J25,$DB$3,0)),0))/($DB$3+1)</f>
        <v>392.43049046919953</v>
      </c>
      <c r="DC78" s="18">
        <f t="shared" ca="1" si="64"/>
        <v>192.43049046919953</v>
      </c>
      <c r="DD78" s="18">
        <f t="shared" si="37"/>
        <v>200</v>
      </c>
      <c r="DE78" s="20">
        <f t="shared" si="35"/>
        <v>21832.628998595821</v>
      </c>
      <c r="DF78" s="20" cm="1">
        <f t="array" ref="DF78">SUMPRODUCT(($BG$2:$BM$2=CY78)*($B$5:$B$35=CZ78)*($BG$5:$BM$35))</f>
        <v>14808.778492472065</v>
      </c>
      <c r="DG78" s="20">
        <f t="shared" si="62"/>
        <v>7023.8505061237556</v>
      </c>
      <c r="DH78" s="20" cm="1">
        <f t="array" ref="DH78">IF(CZ78=2023,SUMPRODUCT(($B$5:$B$35=CZ78-1)*($BN$5:$BN$35))-SUMPRODUCT(($BG$2:$BM$2=CY78)*($B$5:$B$35=CZ78-1)*($BG$5:$BM$35)),DG77)</f>
        <v>6904.0392886732079</v>
      </c>
      <c r="DI78" s="18">
        <f t="shared" ca="1" si="63"/>
        <v>392.43049046919953</v>
      </c>
      <c r="DJ78" s="89">
        <f t="shared" si="65"/>
        <v>8.8570668517917284</v>
      </c>
      <c r="DK78" s="89">
        <f t="shared" si="66"/>
        <v>8.8398619234587184</v>
      </c>
      <c r="DL78" s="89">
        <f t="shared" ca="1" si="67"/>
        <v>5.9723594271934193</v>
      </c>
      <c r="DM78" s="20">
        <f t="shared" ca="1" si="68"/>
        <v>5315.4440997333295</v>
      </c>
      <c r="DN78" s="20">
        <f t="shared" ca="1" si="69"/>
        <v>7333.8917250167224</v>
      </c>
      <c r="DO78" s="20">
        <f t="shared" ca="1" si="70"/>
        <v>6324.6679123750255</v>
      </c>
      <c r="DP78" s="113"/>
      <c r="DQ78" s="2"/>
      <c r="DR78" s="3"/>
      <c r="DS78" s="14" t="s">
        <v>261</v>
      </c>
      <c r="DT78" s="14">
        <v>196</v>
      </c>
      <c r="EE78" s="120"/>
      <c r="EF78" s="3"/>
      <c r="EG78" s="2"/>
    </row>
    <row r="79" spans="1:139" x14ac:dyDescent="0.25">
      <c r="A79">
        <v>0.5</v>
      </c>
      <c r="C79" s="190">
        <f>IF(C78*(1+A79*Model!$B$19*IF(Model!$B$28=0,1,((Model!$B$28-B79)/(Model!$B$28-$B$9))))&gt;Model!$B$44,C78*(1+A79*Model!$B$19*IF(Model!$B$28=0,1,((Model!$B$28-B79)/(Model!$B$28-$B$9)))),Model!$B$44)</f>
        <v>50</v>
      </c>
      <c r="H79" s="17"/>
      <c r="O79" s="18"/>
      <c r="BN79" s="20"/>
      <c r="CY79" s="20" t="str">
        <f t="shared" si="61"/>
        <v>Demo path - C price $200 3%</v>
      </c>
      <c r="CZ79" s="3">
        <f t="shared" si="34"/>
        <v>2041</v>
      </c>
      <c r="DA79" s="18">
        <f t="shared" si="71"/>
        <v>0</v>
      </c>
      <c r="DB79" s="18">
        <f ca="1">(J26+IF($DB$3&gt;0,NPV($DB$2,J27:OFFSET(J26,$DB$3,0)),0))/($DB$3+1)</f>
        <v>404.20340518327538</v>
      </c>
      <c r="DC79" s="18">
        <f t="shared" ca="1" si="64"/>
        <v>204.20340518327538</v>
      </c>
      <c r="DD79" s="18">
        <f t="shared" si="37"/>
        <v>200</v>
      </c>
      <c r="DE79" s="20">
        <f t="shared" si="35"/>
        <v>21020.865912256821</v>
      </c>
      <c r="DF79" s="20" cm="1">
        <f t="array" ref="DF79">SUMPRODUCT(($BG$2:$BM$2=CY79)*($B$5:$B$35=CZ79)*($BG$5:$BM$35))</f>
        <v>13918.299510039895</v>
      </c>
      <c r="DG79" s="20">
        <f t="shared" si="62"/>
        <v>7102.5664022169258</v>
      </c>
      <c r="DH79" s="20" cm="1">
        <f t="array" ref="DH79">IF(CZ79=2023,SUMPRODUCT(($B$5:$B$35=CZ79-1)*($BN$5:$BN$35))-SUMPRODUCT(($BG$2:$BM$2=CY79)*($B$5:$B$35=CZ79-1)*($BG$5:$BM$35)),DG78)</f>
        <v>7023.8505061237556</v>
      </c>
      <c r="DI79" s="18">
        <f t="shared" ca="1" si="63"/>
        <v>404.20340518327538</v>
      </c>
      <c r="DJ79" s="89">
        <f t="shared" si="65"/>
        <v>8.8682114628176105</v>
      </c>
      <c r="DK79" s="89">
        <f t="shared" si="66"/>
        <v>8.8570668517917284</v>
      </c>
      <c r="DL79" s="89">
        <f t="shared" ca="1" si="67"/>
        <v>6.0019182294349633</v>
      </c>
      <c r="DM79" s="20">
        <f t="shared" ca="1" si="68"/>
        <v>5580.7444590961077</v>
      </c>
      <c r="DN79" s="20">
        <f t="shared" ca="1" si="69"/>
        <v>7491.0495022529294</v>
      </c>
      <c r="DO79" s="20">
        <f t="shared" ca="1" si="70"/>
        <v>6535.896980674519</v>
      </c>
      <c r="DP79" s="113"/>
      <c r="DQ79" s="2"/>
      <c r="DR79" s="3"/>
      <c r="EE79" s="120"/>
      <c r="EF79" s="3"/>
      <c r="EG79" s="2"/>
    </row>
    <row r="80" spans="1:139" ht="15.75" thickBot="1" x14ac:dyDescent="0.3">
      <c r="A80">
        <v>0.5</v>
      </c>
      <c r="C80" s="190">
        <f>IF(C79*(1+A80*Model!$B$19*IF(Model!$B$28=0,1,((Model!$B$28-B80)/(Model!$B$28-$B$9))))&gt;Model!$B$44,C79*(1+A80*Model!$B$19*IF(Model!$B$28=0,1,((Model!$B$28-B80)/(Model!$B$28-$B$9)))),Model!$B$44)</f>
        <v>50</v>
      </c>
      <c r="H80" s="17"/>
      <c r="O80" s="18"/>
      <c r="BN80" s="20"/>
      <c r="CY80" s="20" t="str">
        <f t="shared" si="61"/>
        <v>Demo path - C price $200 3%</v>
      </c>
      <c r="CZ80" s="3">
        <f t="shared" si="34"/>
        <v>2042</v>
      </c>
      <c r="DA80" s="18">
        <f t="shared" si="71"/>
        <v>0</v>
      </c>
      <c r="DB80" s="18">
        <f ca="1">(J27+IF($DB$3&gt;0,NPV($DB$2,J28:OFFSET(J27,$DB$3,0)),0))/($DB$3+1)</f>
        <v>416.32950733877368</v>
      </c>
      <c r="DC80" s="18">
        <f t="shared" ca="1" si="64"/>
        <v>216.32950733877368</v>
      </c>
      <c r="DD80" s="18">
        <f t="shared" si="37"/>
        <v>200</v>
      </c>
      <c r="DE80" s="20">
        <f t="shared" si="35"/>
        <v>20178.380919926673</v>
      </c>
      <c r="DF80" s="20" cm="1">
        <f t="array" ref="DF80">SUMPRODUCT(($BG$2:$BM$2=CY80)*($B$5:$B$35=CZ80)*($BG$5:$BM$35))</f>
        <v>12890.677655791927</v>
      </c>
      <c r="DG80" s="20">
        <f t="shared" si="62"/>
        <v>7287.703264134745</v>
      </c>
      <c r="DH80" s="20" cm="1">
        <f t="array" ref="DH80">IF(CZ80=2023,SUMPRODUCT(($B$5:$B$35=CZ80-1)*($BN$5:$BN$35))-SUMPRODUCT(($BG$2:$BM$2=CY80)*($B$5:$B$35=CZ80-1)*($BG$5:$BM$35)),DG79)</f>
        <v>7102.5664022169258</v>
      </c>
      <c r="DI80" s="18">
        <f t="shared" ca="1" si="63"/>
        <v>416.32950733877368</v>
      </c>
      <c r="DJ80" s="89">
        <f t="shared" si="65"/>
        <v>8.8939437224323417</v>
      </c>
      <c r="DK80" s="89">
        <f t="shared" si="66"/>
        <v>8.8682114628176105</v>
      </c>
      <c r="DL80" s="89">
        <f t="shared" ca="1" si="67"/>
        <v>6.0314770316765083</v>
      </c>
      <c r="DM80" s="20">
        <f t="shared" ca="1" si="68"/>
        <v>5847.6721771083894</v>
      </c>
      <c r="DN80" s="20">
        <f t="shared" ca="1" si="69"/>
        <v>7651.0995207250417</v>
      </c>
      <c r="DO80" s="20">
        <f t="shared" ca="1" si="70"/>
        <v>6749.385848916716</v>
      </c>
      <c r="DP80" s="113"/>
      <c r="DQ80" s="2"/>
      <c r="DR80" s="3"/>
      <c r="DS80" t="s">
        <v>262</v>
      </c>
      <c r="EE80" s="120"/>
      <c r="EF80" s="3"/>
      <c r="EG80" s="2"/>
    </row>
    <row r="81" spans="1:137" x14ac:dyDescent="0.25">
      <c r="A81">
        <v>0.5</v>
      </c>
      <c r="C81" s="190">
        <f>IF(C80*(1+A81*Model!$B$19*IF(Model!$B$28=0,1,((Model!$B$28-B81)/(Model!$B$28-$B$9))))&gt;Model!$B$44,C80*(1+A81*Model!$B$19*IF(Model!$B$28=0,1,((Model!$B$28-B81)/(Model!$B$28-$B$9)))),Model!$B$44)</f>
        <v>50</v>
      </c>
      <c r="H81" s="17"/>
      <c r="O81" s="18"/>
      <c r="CY81" s="20" t="str">
        <f t="shared" si="61"/>
        <v>Demo path - C price $200 3%</v>
      </c>
      <c r="CZ81" s="3">
        <f t="shared" si="34"/>
        <v>2043</v>
      </c>
      <c r="DA81" s="18">
        <f t="shared" si="71"/>
        <v>0</v>
      </c>
      <c r="DB81" s="18">
        <f ca="1">(J28+IF($DB$3&gt;0,NPV($DB$2,J29:OFFSET(J28,$DB$3,0)),0))/($DB$3+1)</f>
        <v>428.81939255893684</v>
      </c>
      <c r="DC81" s="18">
        <f t="shared" ca="1" si="64"/>
        <v>228.81939255893684</v>
      </c>
      <c r="DD81" s="18">
        <f t="shared" si="37"/>
        <v>200</v>
      </c>
      <c r="DE81" s="20">
        <f t="shared" si="35"/>
        <v>19320.318365199299</v>
      </c>
      <c r="DF81" s="20" cm="1">
        <f t="array" ref="DF81">SUMPRODUCT(($BG$2:$BM$2=CY81)*($B$5:$B$35=CZ81)*($BG$5:$BM$35))</f>
        <v>12133.163152619427</v>
      </c>
      <c r="DG81" s="20">
        <f t="shared" si="62"/>
        <v>7187.1552125798717</v>
      </c>
      <c r="DH81" s="20" cm="1">
        <f t="array" ref="DH81">IF(CZ81=2023,SUMPRODUCT(($B$5:$B$35=CZ81-1)*($BN$5:$BN$35))-SUMPRODUCT(($BG$2:$BM$2=CY81)*($B$5:$B$35=CZ81-1)*($BG$5:$BM$35)),DG80)</f>
        <v>7287.703264134745</v>
      </c>
      <c r="DI81" s="18">
        <f t="shared" ca="1" si="63"/>
        <v>428.81939255893684</v>
      </c>
      <c r="DJ81" s="89">
        <f t="shared" si="65"/>
        <v>8.8800507135313183</v>
      </c>
      <c r="DK81" s="89">
        <f t="shared" si="66"/>
        <v>8.8939437224323417</v>
      </c>
      <c r="DL81" s="89">
        <f t="shared" ca="1" si="67"/>
        <v>6.0610358339180523</v>
      </c>
      <c r="DM81" s="20">
        <f t="shared" ca="1" si="68"/>
        <v>6116.6548627127713</v>
      </c>
      <c r="DN81" s="20">
        <f t="shared" ca="1" si="69"/>
        <v>7814.2732746788643</v>
      </c>
      <c r="DO81" s="20">
        <f t="shared" ca="1" si="70"/>
        <v>6965.4640686958173</v>
      </c>
      <c r="DP81" s="113"/>
      <c r="DQ81" s="2"/>
      <c r="DR81" s="3"/>
      <c r="DS81" s="15"/>
      <c r="DT81" s="15" t="s">
        <v>263</v>
      </c>
      <c r="DU81" s="15" t="s">
        <v>264</v>
      </c>
      <c r="DV81" s="15" t="s">
        <v>265</v>
      </c>
      <c r="DW81" s="15" t="s">
        <v>266</v>
      </c>
      <c r="DX81" s="15" t="s">
        <v>267</v>
      </c>
      <c r="EE81" s="120"/>
      <c r="EF81" s="3"/>
      <c r="EG81" s="2"/>
    </row>
    <row r="82" spans="1:137" x14ac:dyDescent="0.25">
      <c r="A82">
        <v>0.5</v>
      </c>
      <c r="C82" s="190">
        <f>IF(C81*(1+A82*Model!$B$19*IF(Model!$B$28=0,1,((Model!$B$28-B82)/(Model!$B$28-$B$9))))&gt;Model!$B$44,C81*(1+A82*Model!$B$19*IF(Model!$B$28=0,1,((Model!$B$28-B82)/(Model!$B$28-$B$9)))),Model!$B$44)</f>
        <v>50</v>
      </c>
      <c r="H82" s="17"/>
      <c r="O82" s="18"/>
      <c r="CY82" s="20" t="str">
        <f t="shared" si="61"/>
        <v>Demo path - C price $200 3%</v>
      </c>
      <c r="CZ82" s="3">
        <f t="shared" si="34"/>
        <v>2044</v>
      </c>
      <c r="DA82" s="18">
        <f t="shared" si="71"/>
        <v>0</v>
      </c>
      <c r="DB82" s="18">
        <f ca="1">(J29+IF($DB$3&gt;0,NPV($DB$2,J30:OFFSET(J29,$DB$3,0)),0))/($DB$3+1)</f>
        <v>441.68397433570516</v>
      </c>
      <c r="DC82" s="18">
        <f t="shared" ca="1" si="64"/>
        <v>241.68397433570516</v>
      </c>
      <c r="DD82" s="18">
        <f t="shared" si="37"/>
        <v>200</v>
      </c>
      <c r="DE82" s="20">
        <f t="shared" si="35"/>
        <v>18472.725707396126</v>
      </c>
      <c r="DF82" s="20" cm="1">
        <f t="array" ref="DF82">SUMPRODUCT(($BG$2:$BM$2=CY82)*($B$5:$B$35=CZ82)*($BG$5:$BM$35))</f>
        <v>11413.460778896255</v>
      </c>
      <c r="DG82" s="20">
        <f t="shared" si="62"/>
        <v>7059.2649284998715</v>
      </c>
      <c r="DH82" s="20" cm="1">
        <f t="array" ref="DH82">IF(CZ82=2023,SUMPRODUCT(($B$5:$B$35=CZ82-1)*($BN$5:$BN$35))-SUMPRODUCT(($BG$2:$BM$2=CY82)*($B$5:$B$35=CZ82-1)*($BG$5:$BM$35)),DG81)</f>
        <v>7187.1552125798717</v>
      </c>
      <c r="DI82" s="18">
        <f t="shared" ca="1" si="63"/>
        <v>441.68397433570516</v>
      </c>
      <c r="DJ82" s="89">
        <f t="shared" si="65"/>
        <v>8.862096207290433</v>
      </c>
      <c r="DK82" s="89">
        <f t="shared" si="66"/>
        <v>8.8800507135313183</v>
      </c>
      <c r="DL82" s="89">
        <f t="shared" ca="1" si="67"/>
        <v>6.0905946361595973</v>
      </c>
      <c r="DM82" s="20">
        <f t="shared" ca="1" si="68"/>
        <v>6388.1102922909031</v>
      </c>
      <c r="DN82" s="20">
        <f t="shared" ca="1" si="69"/>
        <v>7980.7429794508253</v>
      </c>
      <c r="DO82" s="20">
        <f t="shared" ca="1" si="70"/>
        <v>7184.4266358708646</v>
      </c>
      <c r="DP82" s="113"/>
      <c r="DQ82" s="2"/>
      <c r="DR82" s="3"/>
      <c r="DS82" t="s">
        <v>268</v>
      </c>
      <c r="DT82">
        <v>2</v>
      </c>
      <c r="DU82">
        <v>5565299433.884676</v>
      </c>
      <c r="DV82">
        <v>2782649716.942338</v>
      </c>
      <c r="DW82">
        <v>19789.122104016089</v>
      </c>
      <c r="DX82">
        <v>4.9871757100074144E-224</v>
      </c>
      <c r="EE82" s="120"/>
      <c r="EF82" s="3"/>
      <c r="EG82" s="2"/>
    </row>
    <row r="83" spans="1:137" x14ac:dyDescent="0.25">
      <c r="A83">
        <v>0.5</v>
      </c>
      <c r="C83" s="190">
        <f>IF(C82*(1+A83*Model!$B$19*IF(Model!$B$28=0,1,((Model!$B$28-B83)/(Model!$B$28-$B$9))))&gt;Model!$B$44,C82*(1+A83*Model!$B$19*IF(Model!$B$28=0,1,((Model!$B$28-B83)/(Model!$B$28-$B$9)))),Model!$B$44)</f>
        <v>50</v>
      </c>
      <c r="H83" s="17"/>
      <c r="O83" s="18"/>
      <c r="CY83" s="20" t="str">
        <f t="shared" si="61"/>
        <v>Demo path - C price $200 3%</v>
      </c>
      <c r="CZ83" s="3">
        <f t="shared" si="34"/>
        <v>2045</v>
      </c>
      <c r="DA83" s="18">
        <f t="shared" si="71"/>
        <v>0</v>
      </c>
      <c r="DB83" s="18">
        <f ca="1">(J30+IF($DB$3&gt;0,NPV($DB$2,J31:OFFSET(J30,$DB$3,0)),0))/($DB$3+1)</f>
        <v>454.93449356577634</v>
      </c>
      <c r="DC83" s="18">
        <f t="shared" ca="1" si="64"/>
        <v>254.93449356577634</v>
      </c>
      <c r="DD83" s="18">
        <f t="shared" si="37"/>
        <v>200</v>
      </c>
      <c r="DE83" s="20">
        <f t="shared" si="35"/>
        <v>17677.489690197111</v>
      </c>
      <c r="DF83" s="20" cm="1">
        <f t="array" ref="DF83">SUMPRODUCT(($BG$2:$BM$2=CY83)*($B$5:$B$35=CZ83)*($BG$5:$BM$35))</f>
        <v>10784.500382592327</v>
      </c>
      <c r="DG83" s="20">
        <f t="shared" si="62"/>
        <v>6892.9893076047847</v>
      </c>
      <c r="DH83" s="20" cm="1">
        <f t="array" ref="DH83">IF(CZ83=2023,SUMPRODUCT(($B$5:$B$35=CZ83-1)*($BN$5:$BN$35))-SUMPRODUCT(($BG$2:$BM$2=CY83)*($B$5:$B$35=CZ83-1)*($BG$5:$BM$35)),DG82)</f>
        <v>7059.2649284998715</v>
      </c>
      <c r="DI83" s="18">
        <f t="shared" ca="1" si="63"/>
        <v>454.93449356577634</v>
      </c>
      <c r="DJ83" s="89">
        <f t="shared" si="65"/>
        <v>8.8382601316882763</v>
      </c>
      <c r="DK83" s="89">
        <f t="shared" si="66"/>
        <v>8.862096207290433</v>
      </c>
      <c r="DL83" s="89">
        <f t="shared" ca="1" si="67"/>
        <v>6.1201534384011413</v>
      </c>
      <c r="DM83" s="20">
        <f t="shared" ca="1" si="68"/>
        <v>6662.4474703603664</v>
      </c>
      <c r="DN83" s="20">
        <f t="shared" ca="1" si="69"/>
        <v>8150.6445503428649</v>
      </c>
      <c r="DO83" s="20">
        <f t="shared" ca="1" si="70"/>
        <v>7406.5460103516161</v>
      </c>
      <c r="DP83" s="113"/>
      <c r="DQ83" s="2"/>
      <c r="DR83" s="3"/>
      <c r="DS83" t="s">
        <v>269</v>
      </c>
      <c r="DT83">
        <v>194</v>
      </c>
      <c r="DU83">
        <v>27279332.668186292</v>
      </c>
      <c r="DV83">
        <v>140615.11684632109</v>
      </c>
      <c r="EE83" s="120"/>
      <c r="EF83" s="3"/>
      <c r="EG83" s="2"/>
    </row>
    <row r="84" spans="1:137" ht="15.75" thickBot="1" x14ac:dyDescent="0.3">
      <c r="A84">
        <v>0.5</v>
      </c>
      <c r="C84" s="190">
        <f>IF(C83*(1+A84*Model!$B$19*IF(Model!$B$28=0,1,((Model!$B$28-B84)/(Model!$B$28-$B$9))))&gt;Model!$B$44,C83*(1+A84*Model!$B$19*IF(Model!$B$28=0,1,((Model!$B$28-B84)/(Model!$B$28-$B$9)))),Model!$B$44)</f>
        <v>50</v>
      </c>
      <c r="H84" s="17"/>
      <c r="O84" s="18"/>
      <c r="CY84" s="20" t="str">
        <f t="shared" si="61"/>
        <v>Demo path - C price $200 3%</v>
      </c>
      <c r="CZ84" s="3">
        <f t="shared" si="34"/>
        <v>2046</v>
      </c>
      <c r="DA84" s="18">
        <f t="shared" si="71"/>
        <v>0</v>
      </c>
      <c r="DB84" s="18">
        <f ca="1">(J31+IF($DB$3&gt;0,NPV($DB$2,J32:OFFSET(J31,$DB$3,0)),0))/($DB$3+1)</f>
        <v>468.58252837274944</v>
      </c>
      <c r="DC84" s="18">
        <f t="shared" ca="1" si="64"/>
        <v>268.58252837274944</v>
      </c>
      <c r="DD84" s="18">
        <f t="shared" si="37"/>
        <v>200</v>
      </c>
      <c r="DE84" s="20">
        <f t="shared" si="35"/>
        <v>16949.211978015726</v>
      </c>
      <c r="DF84" s="20" cm="1">
        <f t="array" ref="DF84">SUMPRODUCT(($BG$2:$BM$2=CY84)*($B$5:$B$35=CZ84)*($BG$5:$BM$35))</f>
        <v>9907.4112208977986</v>
      </c>
      <c r="DG84" s="20">
        <f t="shared" si="62"/>
        <v>7041.8007571179278</v>
      </c>
      <c r="DH84" s="20" cm="1">
        <f t="array" ref="DH84">IF(CZ84=2023,SUMPRODUCT(($B$5:$B$35=CZ84-1)*($BN$5:$BN$35))-SUMPRODUCT(($BG$2:$BM$2=CY84)*($B$5:$B$35=CZ84-1)*($BG$5:$BM$35)),DG83)</f>
        <v>6892.9893076047847</v>
      </c>
      <c r="DI84" s="18">
        <f t="shared" ca="1" si="63"/>
        <v>468.58252837274944</v>
      </c>
      <c r="DJ84" s="89">
        <f t="shared" si="65"/>
        <v>8.8596192058069079</v>
      </c>
      <c r="DK84" s="89">
        <f t="shared" si="66"/>
        <v>8.8382601316882763</v>
      </c>
      <c r="DL84" s="89">
        <f t="shared" ca="1" si="67"/>
        <v>6.1497122406426854</v>
      </c>
      <c r="DM84" s="20">
        <f t="shared" ca="1" si="68"/>
        <v>6940.0676409899061</v>
      </c>
      <c r="DN84" s="20">
        <f t="shared" ca="1" si="69"/>
        <v>8324.0919240426156</v>
      </c>
      <c r="DO84" s="20">
        <f t="shared" ca="1" si="70"/>
        <v>7632.0797825162608</v>
      </c>
      <c r="DP84" s="113"/>
      <c r="DQ84" s="2"/>
      <c r="DR84" s="3"/>
      <c r="DS84" s="14" t="s">
        <v>121</v>
      </c>
      <c r="DT84" s="14">
        <v>196</v>
      </c>
      <c r="DU84" s="14">
        <v>5592578766.5528622</v>
      </c>
      <c r="DV84" s="14"/>
      <c r="DW84" s="14"/>
      <c r="DX84" s="14"/>
      <c r="EE84" s="120"/>
      <c r="EF84" s="3"/>
      <c r="EG84" s="2"/>
    </row>
    <row r="85" spans="1:137" ht="15.75" thickBot="1" x14ac:dyDescent="0.3">
      <c r="A85">
        <v>0.5</v>
      </c>
      <c r="C85" s="190">
        <f>IF(C84*(1+A85*Model!$B$19*IF(Model!$B$28=0,1,((Model!$B$28-B85)/(Model!$B$28-$B$9))))&gt;Model!$B$44,C84*(1+A85*Model!$B$19*IF(Model!$B$28=0,1,((Model!$B$28-B85)/(Model!$B$28-$B$9)))),Model!$B$44)</f>
        <v>50</v>
      </c>
      <c r="H85" s="17"/>
      <c r="O85" s="18"/>
      <c r="CY85" s="20" t="str">
        <f t="shared" si="61"/>
        <v>Demo path - C price $200 3%</v>
      </c>
      <c r="CZ85" s="3">
        <f t="shared" si="34"/>
        <v>2047</v>
      </c>
      <c r="DA85" s="18">
        <f t="shared" si="71"/>
        <v>0</v>
      </c>
      <c r="DB85" s="18">
        <f ca="1">(J32+IF($DB$3&gt;0,NPV($DB$2,J33:OFFSET(J32,$DB$3,0)),0))/($DB$3+1)</f>
        <v>482.64000422393201</v>
      </c>
      <c r="DC85" s="18">
        <f t="shared" ca="1" si="64"/>
        <v>282.64000422393201</v>
      </c>
      <c r="DD85" s="18">
        <f t="shared" si="37"/>
        <v>200</v>
      </c>
      <c r="DE85" s="20">
        <f t="shared" si="35"/>
        <v>16245.780919206421</v>
      </c>
      <c r="DF85" s="20" cm="1">
        <f t="array" ref="DF85">SUMPRODUCT(($BG$2:$BM$2=CY85)*($B$5:$B$35=CZ85)*($BG$5:$BM$35))</f>
        <v>9385.5115780931355</v>
      </c>
      <c r="DG85" s="20">
        <f t="shared" si="62"/>
        <v>6860.2693411132859</v>
      </c>
      <c r="DH85" s="20" cm="1">
        <f t="array" ref="DH85">IF(CZ85=2023,SUMPRODUCT(($B$5:$B$35=CZ85-1)*($BN$5:$BN$35))-SUMPRODUCT(($BG$2:$BM$2=CY85)*($B$5:$B$35=CZ85-1)*($BG$5:$BM$35)),DG84)</f>
        <v>7041.8007571179278</v>
      </c>
      <c r="DI85" s="18">
        <f t="shared" ca="1" si="63"/>
        <v>482.64000422393201</v>
      </c>
      <c r="DJ85" s="89">
        <f t="shared" si="65"/>
        <v>8.8335019825021348</v>
      </c>
      <c r="DK85" s="89">
        <f t="shared" si="66"/>
        <v>8.8596192058069079</v>
      </c>
      <c r="DL85" s="89">
        <f t="shared" ca="1" si="67"/>
        <v>6.1792710428842303</v>
      </c>
      <c r="DM85" s="20">
        <f t="shared" ca="1" si="68"/>
        <v>7221.3652533064815</v>
      </c>
      <c r="DN85" s="20">
        <f t="shared" ca="1" si="69"/>
        <v>8501.1859860891054</v>
      </c>
      <c r="DO85" s="20">
        <f t="shared" ca="1" si="70"/>
        <v>7861.2756196977934</v>
      </c>
      <c r="DP85" s="113"/>
      <c r="DQ85" s="2"/>
      <c r="DR85" s="3"/>
      <c r="EE85" s="120"/>
      <c r="EF85" s="3"/>
      <c r="EG85" s="2"/>
    </row>
    <row r="86" spans="1:137" x14ac:dyDescent="0.25">
      <c r="A86">
        <v>0.5</v>
      </c>
      <c r="C86" s="190">
        <f>IF(C85*(1+A86*Model!$B$19*IF(Model!$B$28=0,1,((Model!$B$28-B86)/(Model!$B$28-$B$9))))&gt;Model!$B$44,C85*(1+A86*Model!$B$19*IF(Model!$B$28=0,1,((Model!$B$28-B86)/(Model!$B$28-$B$9)))),Model!$B$44)</f>
        <v>50</v>
      </c>
      <c r="H86" s="17"/>
      <c r="O86" s="18"/>
      <c r="CY86" s="20" t="str">
        <f t="shared" si="61"/>
        <v>Demo path - C price $200 3%</v>
      </c>
      <c r="CZ86" s="3">
        <f t="shared" si="34"/>
        <v>2048</v>
      </c>
      <c r="DA86" s="18">
        <f t="shared" si="71"/>
        <v>0</v>
      </c>
      <c r="DB86" s="18">
        <f ca="1">(J33+IF($DB$3&gt;0,NPV($DB$2,J34:OFFSET(J33,$DB$3,0)),0))/($DB$3+1)</f>
        <v>497.11920435065002</v>
      </c>
      <c r="DC86" s="18">
        <f t="shared" ca="1" si="64"/>
        <v>297.11920435065002</v>
      </c>
      <c r="DD86" s="18">
        <f t="shared" si="37"/>
        <v>200</v>
      </c>
      <c r="DE86" s="20">
        <f t="shared" si="35"/>
        <v>15581.870841314774</v>
      </c>
      <c r="DF86" s="20" cm="1">
        <f t="array" ref="DF86">SUMPRODUCT(($BG$2:$BM$2=CY86)*($B$5:$B$35=CZ86)*($BG$5:$BM$35))</f>
        <v>8913.7592883952475</v>
      </c>
      <c r="DG86" s="20">
        <f t="shared" si="62"/>
        <v>6668.1115529195267</v>
      </c>
      <c r="DH86" s="20" cm="1">
        <f t="array" ref="DH86">IF(CZ86=2023,SUMPRODUCT(($B$5:$B$35=CZ86-1)*($BN$5:$BN$35))-SUMPRODUCT(($BG$2:$BM$2=CY86)*($B$5:$B$35=CZ86-1)*($BG$5:$BM$35)),DG85)</f>
        <v>6860.2693411132859</v>
      </c>
      <c r="DI86" s="18">
        <f t="shared" ca="1" si="63"/>
        <v>497.11920435065002</v>
      </c>
      <c r="DJ86" s="89">
        <f t="shared" si="65"/>
        <v>8.8050919733227566</v>
      </c>
      <c r="DK86" s="89">
        <f t="shared" si="66"/>
        <v>8.8335019825021348</v>
      </c>
      <c r="DL86" s="89">
        <f t="shared" ca="1" si="67"/>
        <v>6.2088298451257744</v>
      </c>
      <c r="DM86" s="20">
        <f t="shared" ca="1" si="68"/>
        <v>7506.7288842785565</v>
      </c>
      <c r="DN86" s="20">
        <f t="shared" ca="1" si="69"/>
        <v>8682.0201398529316</v>
      </c>
      <c r="DO86" s="20">
        <f t="shared" ca="1" si="70"/>
        <v>8094.3745120657441</v>
      </c>
      <c r="DP86" s="113"/>
      <c r="DQ86" s="2"/>
      <c r="DR86" s="3"/>
      <c r="DS86" s="15"/>
      <c r="DT86" s="15" t="s">
        <v>270</v>
      </c>
      <c r="DU86" s="15" t="s">
        <v>260</v>
      </c>
      <c r="DV86" s="15" t="s">
        <v>271</v>
      </c>
      <c r="DW86" s="15" t="s">
        <v>272</v>
      </c>
      <c r="DX86" s="15" t="s">
        <v>273</v>
      </c>
      <c r="DY86" s="15" t="s">
        <v>274</v>
      </c>
      <c r="DZ86" s="15" t="s">
        <v>275</v>
      </c>
      <c r="EA86" s="15" t="s">
        <v>276</v>
      </c>
      <c r="EE86" s="120"/>
      <c r="EF86" s="3"/>
      <c r="EG86" s="2"/>
    </row>
    <row r="87" spans="1:137" x14ac:dyDescent="0.25">
      <c r="A87">
        <v>0.5</v>
      </c>
      <c r="C87" s="190">
        <f>IF(C86*(1+A87*Model!$B$19*IF(Model!$B$28=0,1,((Model!$B$28-B87)/(Model!$B$28-$B$9))))&gt;Model!$B$44,C86*(1+A87*Model!$B$19*IF(Model!$B$28=0,1,((Model!$B$28-B87)/(Model!$B$28-$B$9)))),Model!$B$44)</f>
        <v>50</v>
      </c>
      <c r="H87" s="17"/>
      <c r="O87" s="18"/>
      <c r="CY87" s="20" t="str">
        <f t="shared" si="61"/>
        <v>Demo path - C price $200 3%</v>
      </c>
      <c r="CZ87" s="3">
        <f t="shared" si="34"/>
        <v>2049</v>
      </c>
      <c r="DA87" s="18">
        <f t="shared" si="71"/>
        <v>0</v>
      </c>
      <c r="DB87" s="18">
        <f ca="1">(J34+IF($DB$3&gt;0,NPV($DB$2,J35:OFFSET(J34,$DB$3,0)),0))/($DB$3+1)</f>
        <v>512.03278048116954</v>
      </c>
      <c r="DC87" s="18">
        <f t="shared" ca="1" si="64"/>
        <v>312.03278048116954</v>
      </c>
      <c r="DD87" s="18">
        <f t="shared" si="37"/>
        <v>200</v>
      </c>
      <c r="DE87" s="20">
        <f t="shared" si="35"/>
        <v>15012.992887840681</v>
      </c>
      <c r="DF87" s="20" cm="1">
        <f t="array" ref="DF87">SUMPRODUCT(($BG$2:$BM$2=CY87)*($B$5:$B$35=CZ87)*($BG$5:$BM$35))</f>
        <v>8499.2177929467816</v>
      </c>
      <c r="DG87" s="20">
        <f t="shared" si="62"/>
        <v>6513.7750948938992</v>
      </c>
      <c r="DH87" s="20" cm="1">
        <f t="array" ref="DH87">IF(CZ87=2023,SUMPRODUCT(($B$5:$B$35=CZ87-1)*($BN$5:$BN$35))-SUMPRODUCT(($BG$2:$BM$2=CY87)*($B$5:$B$35=CZ87-1)*($BG$5:$BM$35)),DG86)</f>
        <v>6668.1115529195267</v>
      </c>
      <c r="DI87" s="18">
        <f t="shared" ca="1" si="63"/>
        <v>512.03278048116954</v>
      </c>
      <c r="DJ87" s="89">
        <f t="shared" si="65"/>
        <v>8.7816744588191735</v>
      </c>
      <c r="DK87" s="89">
        <f t="shared" si="66"/>
        <v>8.8050919733227566</v>
      </c>
      <c r="DL87" s="89">
        <f t="shared" ca="1" si="67"/>
        <v>6.2383886473673194</v>
      </c>
      <c r="DM87" s="20">
        <f t="shared" ca="1" si="68"/>
        <v>7796.5421217826715</v>
      </c>
      <c r="DN87" s="20">
        <f t="shared" ca="1" si="69"/>
        <v>8866.6837852848403</v>
      </c>
      <c r="DO87" s="20">
        <f t="shared" ca="1" si="70"/>
        <v>8331.6129535337568</v>
      </c>
      <c r="DP87" s="113"/>
      <c r="DQ87" s="2"/>
      <c r="DR87" s="3"/>
      <c r="DS87" t="s">
        <v>277</v>
      </c>
      <c r="DT87">
        <v>0</v>
      </c>
      <c r="DU87" t="e">
        <v>#N/A</v>
      </c>
      <c r="DV87" t="e">
        <v>#N/A</v>
      </c>
      <c r="DW87" t="e">
        <v>#N/A</v>
      </c>
      <c r="DX87" t="e">
        <v>#N/A</v>
      </c>
      <c r="DY87" t="e">
        <v>#N/A</v>
      </c>
      <c r="DZ87" t="e">
        <v>#N/A</v>
      </c>
      <c r="EA87" t="e">
        <v>#N/A</v>
      </c>
      <c r="EE87" s="120"/>
      <c r="EF87" s="3"/>
      <c r="EG87" s="2"/>
    </row>
    <row r="88" spans="1:137" x14ac:dyDescent="0.25">
      <c r="A88">
        <v>0.5</v>
      </c>
      <c r="C88" s="190">
        <f>IF(C87*(1+A88*Model!$B$19*IF(Model!$B$28=0,1,((Model!$B$28-B88)/(Model!$B$28-$B$9))))&gt;Model!$B$44,C87*(1+A88*Model!$B$19*IF(Model!$B$28=0,1,((Model!$B$28-B88)/(Model!$B$28-$B$9)))),Model!$B$44)</f>
        <v>50</v>
      </c>
      <c r="H88" s="17"/>
      <c r="O88" s="18"/>
      <c r="CY88" s="94" t="str">
        <f t="shared" si="61"/>
        <v>Demo path - C price $200 3%</v>
      </c>
      <c r="CZ88" s="3">
        <f t="shared" si="34"/>
        <v>2050</v>
      </c>
      <c r="DA88" s="18">
        <f t="shared" si="71"/>
        <v>0</v>
      </c>
      <c r="DB88" s="18">
        <f ca="1">(J35+IF($DB$3&gt;0,NPV($DB$2,J36:OFFSET(J35,$DB$3,0)),0))/($DB$3+1)</f>
        <v>527.39376389560471</v>
      </c>
      <c r="DC88" s="18">
        <f t="shared" ca="1" si="64"/>
        <v>327.39376389560471</v>
      </c>
      <c r="DD88" s="18">
        <f t="shared" si="37"/>
        <v>200</v>
      </c>
      <c r="DE88" s="20">
        <f t="shared" si="35"/>
        <v>14477.451467153383</v>
      </c>
      <c r="DF88" s="20" cm="1">
        <f t="array" ref="DF88">SUMPRODUCT(($BG$2:$BM$2=CY88)*($B$5:$B$35=CZ88)*($BG$5:$BM$35))</f>
        <v>8136.2232659703159</v>
      </c>
      <c r="DG88" s="20">
        <f t="shared" si="62"/>
        <v>6341.2282011830675</v>
      </c>
      <c r="DH88" s="20" cm="1">
        <f t="array" ref="DH88">IF(CZ88=2023,SUMPRODUCT(($B$5:$B$35=CZ88-1)*($BN$5:$BN$35))-SUMPRODUCT(($BG$2:$BM$2=CY88)*($B$5:$B$35=CZ88-1)*($BG$5:$BM$35)),DG87)</f>
        <v>6513.7750948938992</v>
      </c>
      <c r="DI88" s="18">
        <f t="shared" ca="1" si="63"/>
        <v>527.39376389560471</v>
      </c>
      <c r="DJ88" s="89">
        <f t="shared" si="65"/>
        <v>8.7548277512535542</v>
      </c>
      <c r="DK88" s="89">
        <f t="shared" si="66"/>
        <v>8.7816744588191735</v>
      </c>
      <c r="DL88" s="89">
        <f t="shared" ca="1" si="67"/>
        <v>6.2679474496088634</v>
      </c>
      <c r="DM88" s="20">
        <f t="shared" ca="1" si="68"/>
        <v>8091.1844107939851</v>
      </c>
      <c r="DN88" s="20">
        <f t="shared" ca="1" si="69"/>
        <v>9055.2644971689497</v>
      </c>
      <c r="DO88" s="20">
        <f t="shared" ca="1" si="70"/>
        <v>8573.2244539814674</v>
      </c>
      <c r="DP88" s="113"/>
      <c r="DQ88" s="2"/>
      <c r="DR88" s="3"/>
      <c r="DS88" t="s">
        <v>252</v>
      </c>
      <c r="DT88">
        <v>0.94017545890837251</v>
      </c>
      <c r="DU88">
        <v>1.8339767468412708E-2</v>
      </c>
      <c r="DV88">
        <v>51.264306405611364</v>
      </c>
      <c r="DW88">
        <v>9.6624020667716283E-115</v>
      </c>
      <c r="DX88">
        <v>0.90400453097531608</v>
      </c>
      <c r="DY88">
        <v>0.97634638684142894</v>
      </c>
      <c r="DZ88">
        <v>0.90400453097531608</v>
      </c>
      <c r="EA88">
        <v>0.97634638684142894</v>
      </c>
      <c r="EE88" s="120"/>
      <c r="EF88" s="3"/>
      <c r="EG88" s="2"/>
    </row>
    <row r="89" spans="1:137" ht="15.75" thickBot="1" x14ac:dyDescent="0.3">
      <c r="A89">
        <v>0.5</v>
      </c>
      <c r="C89" s="190">
        <f>IF(C88*(1+A89*Model!$B$19*IF(Model!$B$28=0,1,((Model!$B$28-B89)/(Model!$B$28-$B$9))))&gt;Model!$B$44,C88*(1+A89*Model!$B$19*IF(Model!$B$28=0,1,((Model!$B$28-B89)/(Model!$B$28-$B$9)))),Model!$B$44)</f>
        <v>50</v>
      </c>
      <c r="H89" s="17"/>
      <c r="O89" s="18"/>
      <c r="CY89" s="20" t="str">
        <f>K2</f>
        <v>Demo path - C price $250 3%</v>
      </c>
      <c r="CZ89" s="3">
        <f t="shared" si="34"/>
        <v>2023</v>
      </c>
      <c r="DA89" s="18">
        <f t="shared" si="71"/>
        <v>0</v>
      </c>
      <c r="DB89" s="18">
        <f ca="1">(K8+IF($DB$3&gt;0,NPV($DB$2,K9:OFFSET(K8,$DB$3,0)),0))/($DB$3+1)</f>
        <v>296.78362573099417</v>
      </c>
      <c r="DC89" s="18">
        <f t="shared" ca="1" si="64"/>
        <v>46.783625730994174</v>
      </c>
      <c r="DD89" s="18">
        <v>250</v>
      </c>
      <c r="DE89" s="20">
        <f t="shared" si="35"/>
        <v>37354.602072444766</v>
      </c>
      <c r="DF89" s="20" cm="1">
        <f t="array" ref="DF89">SUMPRODUCT(($BG$2:$BM$2=CY89)*($B$5:$B$35=CZ89)*($BG$5:$BM$35))</f>
        <v>36531.255582014601</v>
      </c>
      <c r="DG89" s="20">
        <f t="shared" si="62"/>
        <v>823.34649043016543</v>
      </c>
      <c r="DH89" s="20" cm="1">
        <f t="array" ref="DH89">IF(CZ89=2023,SUMPRODUCT(($B$5:$B$35=CZ89-1)*($BN$5:$BN$35))-SUMPRODUCT(($BG$2:$BM$2=CY89)*($B$5:$B$35=CZ89-1)*($BG$5:$BM$35)),DG88)</f>
        <v>237.20944703478017</v>
      </c>
      <c r="DI89" s="18">
        <f t="shared" ca="1" si="63"/>
        <v>296.78362573099417</v>
      </c>
      <c r="DJ89" s="89">
        <f t="shared" si="65"/>
        <v>6.7133771211057827</v>
      </c>
      <c r="DK89" s="89">
        <f t="shared" si="66"/>
        <v>5.4689434936271972</v>
      </c>
      <c r="DL89" s="89">
        <f t="shared" ca="1" si="67"/>
        <v>5.6930033404013738</v>
      </c>
      <c r="DM89" s="20">
        <f t="shared" ca="1" si="68"/>
        <v>651.29845531277579</v>
      </c>
      <c r="DN89" s="20">
        <f t="shared" ca="1" si="69"/>
        <v>850.09526031236203</v>
      </c>
      <c r="DO89" s="20">
        <f t="shared" ca="1" si="70"/>
        <v>750.69685781256885</v>
      </c>
      <c r="DP89" s="113"/>
      <c r="DQ89" s="2"/>
      <c r="DR89" s="3"/>
      <c r="DS89" s="14" t="s">
        <v>170</v>
      </c>
      <c r="DT89" s="14">
        <v>1.4430713740846495</v>
      </c>
      <c r="DU89" s="14">
        <v>0.32831580601807142</v>
      </c>
      <c r="DV89" s="14">
        <v>4.3953758778376288</v>
      </c>
      <c r="DW89" s="14">
        <v>1.8191912175945508E-5</v>
      </c>
      <c r="DX89" s="14">
        <v>0.79554476944167229</v>
      </c>
      <c r="DY89" s="14">
        <v>2.0905979787276268</v>
      </c>
      <c r="DZ89" s="14">
        <v>0.79554476944167229</v>
      </c>
      <c r="EA89" s="14">
        <v>2.0905979787276268</v>
      </c>
      <c r="EE89" s="120"/>
      <c r="EF89" s="3"/>
      <c r="EG89" s="2"/>
    </row>
    <row r="90" spans="1:137" x14ac:dyDescent="0.25">
      <c r="A90">
        <v>0.5</v>
      </c>
      <c r="C90" s="190">
        <f>IF(C89*(1+A90*Model!$B$19*IF(Model!$B$28=0,1,((Model!$B$28-B90)/(Model!$B$28-$B$9))))&gt;Model!$B$44,C89*(1+A90*Model!$B$19*IF(Model!$B$28=0,1,((Model!$B$28-B90)/(Model!$B$28-$B$9)))),Model!$B$44)</f>
        <v>50</v>
      </c>
      <c r="H90" s="17"/>
      <c r="O90" s="18"/>
      <c r="CY90" s="20" t="str">
        <f>CY89</f>
        <v>Demo path - C price $250 3%</v>
      </c>
      <c r="CZ90" s="3">
        <f t="shared" si="34"/>
        <v>2024</v>
      </c>
      <c r="DA90" s="18">
        <f t="shared" si="71"/>
        <v>0</v>
      </c>
      <c r="DB90" s="18">
        <f ca="1">(K9+IF($DB$3&gt;0,NPV($DB$2,K10:OFFSET(K9,$DB$3,0)),0))/($DB$3+1)</f>
        <v>305.68713450292393</v>
      </c>
      <c r="DC90" s="18">
        <f t="shared" ca="1" si="64"/>
        <v>55.687134502923925</v>
      </c>
      <c r="DD90" s="18">
        <f t="shared" si="37"/>
        <v>250</v>
      </c>
      <c r="DE90" s="20">
        <f t="shared" si="35"/>
        <v>36520.25063854071</v>
      </c>
      <c r="DF90" s="20" cm="1">
        <f t="array" ref="DF90">SUMPRODUCT(($BG$2:$BM$2=CY90)*($B$5:$B$35=CZ90)*($BG$5:$BM$35))</f>
        <v>33930.191224539114</v>
      </c>
      <c r="DG90" s="20">
        <f t="shared" si="62"/>
        <v>2590.0594140015965</v>
      </c>
      <c r="DH90" s="20" cm="1">
        <f t="array" ref="DH90">IF(CZ90=2023,SUMPRODUCT(($B$5:$B$35=CZ90-1)*($BN$5:$BN$35))-SUMPRODUCT(($BG$2:$BM$2=CY90)*($B$5:$B$35=CZ90-1)*($BG$5:$BM$35)),DG89)</f>
        <v>823.34649043016543</v>
      </c>
      <c r="DI90" s="18">
        <f t="shared" ca="1" si="63"/>
        <v>305.68713450292393</v>
      </c>
      <c r="DJ90" s="89">
        <f t="shared" si="65"/>
        <v>7.8594360941994275</v>
      </c>
      <c r="DK90" s="89">
        <f t="shared" si="66"/>
        <v>6.7133771211057827</v>
      </c>
      <c r="DL90" s="89">
        <f t="shared" ca="1" si="67"/>
        <v>5.7225621426429178</v>
      </c>
      <c r="DM90" s="20">
        <f t="shared" ca="1" si="68"/>
        <v>1053.4631773371366</v>
      </c>
      <c r="DN90" s="20">
        <f t="shared" ca="1" si="69"/>
        <v>1865.1263662702663</v>
      </c>
      <c r="DO90" s="20">
        <f t="shared" ca="1" si="70"/>
        <v>1459.2947718037015</v>
      </c>
      <c r="DP90" s="113"/>
      <c r="DQ90" s="2"/>
      <c r="DR90" s="3"/>
      <c r="EE90" s="120"/>
      <c r="EF90" s="3"/>
      <c r="EG90" s="2"/>
    </row>
    <row r="91" spans="1:137" x14ac:dyDescent="0.25">
      <c r="A91">
        <v>0.5</v>
      </c>
      <c r="C91" s="190">
        <f>IF(C90*(1+A91*Model!$B$19*IF(Model!$B$28=0,1,((Model!$B$28-B91)/(Model!$B$28-$B$9))))&gt;Model!$B$44,C90*(1+A91*Model!$B$19*IF(Model!$B$28=0,1,((Model!$B$28-B91)/(Model!$B$28-$B$9)))),Model!$B$44)</f>
        <v>50</v>
      </c>
      <c r="H91" s="17"/>
      <c r="O91" s="18"/>
      <c r="CY91" s="20" t="str">
        <f t="shared" ref="CY91:CY116" si="72">CY90</f>
        <v>Demo path - C price $250 3%</v>
      </c>
      <c r="CZ91" s="3">
        <f t="shared" si="34"/>
        <v>2025</v>
      </c>
      <c r="DA91" s="18">
        <f t="shared" si="71"/>
        <v>0</v>
      </c>
      <c r="DB91" s="18">
        <f ca="1">(K10+IF($DB$3&gt;0,NPV($DB$2,K11:OFFSET(K10,$DB$3,0)),0))/($DB$3+1)</f>
        <v>314.85774853801161</v>
      </c>
      <c r="DC91" s="18">
        <f t="shared" ca="1" si="64"/>
        <v>64.857748538011606</v>
      </c>
      <c r="DD91" s="18">
        <f t="shared" si="37"/>
        <v>250</v>
      </c>
      <c r="DE91" s="20">
        <f t="shared" si="35"/>
        <v>36119.314820792293</v>
      </c>
      <c r="DF91" s="20" cm="1">
        <f t="array" ref="DF91">SUMPRODUCT(($BG$2:$BM$2=CY91)*($B$5:$B$35=CZ91)*($BG$5:$BM$35))</f>
        <v>32606.211080286925</v>
      </c>
      <c r="DG91" s="20">
        <f t="shared" si="62"/>
        <v>3513.1037405053685</v>
      </c>
      <c r="DH91" s="20" cm="1">
        <f t="array" ref="DH91">IF(CZ91=2023,SUMPRODUCT(($B$5:$B$35=CZ91-1)*($BN$5:$BN$35))-SUMPRODUCT(($BG$2:$BM$2=CY91)*($B$5:$B$35=CZ91-1)*($BG$5:$BM$35)),DG90)</f>
        <v>2590.0594140015965</v>
      </c>
      <c r="DI91" s="18">
        <f t="shared" ca="1" si="63"/>
        <v>314.85774853801161</v>
      </c>
      <c r="DJ91" s="89">
        <f t="shared" si="65"/>
        <v>8.1642551822896383</v>
      </c>
      <c r="DK91" s="89">
        <f t="shared" si="66"/>
        <v>7.8594360941994275</v>
      </c>
      <c r="DL91" s="89">
        <f t="shared" ca="1" si="67"/>
        <v>5.7521209448844628</v>
      </c>
      <c r="DM91" s="20">
        <f t="shared" ca="1" si="68"/>
        <v>1444.802430019962</v>
      </c>
      <c r="DN91" s="20">
        <f t="shared" ca="1" si="69"/>
        <v>3034.8976957193931</v>
      </c>
      <c r="DO91" s="20">
        <f t="shared" ca="1" si="70"/>
        <v>2239.8500628696775</v>
      </c>
      <c r="DP91" s="113"/>
      <c r="DQ91" s="2"/>
      <c r="DR91" s="3"/>
      <c r="EE91" s="120"/>
      <c r="EF91" s="3"/>
      <c r="EG91" s="2"/>
    </row>
    <row r="92" spans="1:137" x14ac:dyDescent="0.25">
      <c r="A92">
        <v>0.5</v>
      </c>
      <c r="C92" s="190">
        <f>IF(C91*(1+A92*Model!$B$19*IF(Model!$B$28=0,1,((Model!$B$28-B92)/(Model!$B$28-$B$9))))&gt;Model!$B$44,C91*(1+A92*Model!$B$19*IF(Model!$B$28=0,1,((Model!$B$28-B92)/(Model!$B$28-$B$9)))),Model!$B$44)</f>
        <v>50</v>
      </c>
      <c r="H92" s="17"/>
      <c r="O92" s="18"/>
      <c r="CY92" s="20" t="str">
        <f t="shared" si="72"/>
        <v>Demo path - C price $250 3%</v>
      </c>
      <c r="CZ92" s="3">
        <f t="shared" si="34"/>
        <v>2026</v>
      </c>
      <c r="DA92" s="18">
        <f t="shared" si="71"/>
        <v>0</v>
      </c>
      <c r="DB92" s="18">
        <f ca="1">(K11+IF($DB$3&gt;0,NPV($DB$2,K12:OFFSET(K11,$DB$3,0)),0))/($DB$3+1)</f>
        <v>324.3034809941521</v>
      </c>
      <c r="DC92" s="18">
        <f t="shared" ca="1" si="64"/>
        <v>74.303480994152096</v>
      </c>
      <c r="DD92" s="18">
        <f t="shared" si="37"/>
        <v>250</v>
      </c>
      <c r="DE92" s="20">
        <f t="shared" si="35"/>
        <v>35989.651978621361</v>
      </c>
      <c r="DF92" s="20" cm="1">
        <f t="array" ref="DF92">SUMPRODUCT(($BG$2:$BM$2=CY92)*($B$5:$B$35=CZ92)*($BG$5:$BM$35))</f>
        <v>31889.198832645245</v>
      </c>
      <c r="DG92" s="20">
        <f t="shared" si="62"/>
        <v>4100.4531459761165</v>
      </c>
      <c r="DH92" s="20" cm="1">
        <f t="array" ref="DH92">IF(CZ92=2023,SUMPRODUCT(($B$5:$B$35=CZ92-1)*($BN$5:$BN$35))-SUMPRODUCT(($BG$2:$BM$2=CY92)*($B$5:$B$35=CZ92-1)*($BG$5:$BM$35)),DG91)</f>
        <v>3513.1037405053685</v>
      </c>
      <c r="DI92" s="18">
        <f t="shared" ca="1" si="63"/>
        <v>324.3034809941521</v>
      </c>
      <c r="DJ92" s="89">
        <f t="shared" si="65"/>
        <v>8.3188527699939456</v>
      </c>
      <c r="DK92" s="89">
        <f t="shared" si="66"/>
        <v>8.1642551822896383</v>
      </c>
      <c r="DL92" s="89">
        <f t="shared" ca="1" si="67"/>
        <v>5.7816797471260069</v>
      </c>
      <c r="DM92" s="20">
        <f t="shared" ca="1" si="68"/>
        <v>1826.3608576146157</v>
      </c>
      <c r="DN92" s="20">
        <f t="shared" ca="1" si="69"/>
        <v>4116.3318416629681</v>
      </c>
      <c r="DO92" s="20">
        <f t="shared" ca="1" si="70"/>
        <v>2971.3463496387922</v>
      </c>
      <c r="DP92" s="113"/>
      <c r="DQ92" s="2"/>
      <c r="DR92" s="3"/>
      <c r="DS92" t="s">
        <v>283</v>
      </c>
      <c r="EE92" s="120"/>
      <c r="EF92" s="3"/>
      <c r="EG92" s="2"/>
    </row>
    <row r="93" spans="1:137" ht="15.75" thickBot="1" x14ac:dyDescent="0.3">
      <c r="A93">
        <v>0.5</v>
      </c>
      <c r="C93" s="190">
        <f>IF(C92*(1+A93*Model!$B$19*IF(Model!$B$28=0,1,((Model!$B$28-B93)/(Model!$B$28-$B$9))))&gt;Model!$B$44,C92*(1+A93*Model!$B$19*IF(Model!$B$28=0,1,((Model!$B$28-B93)/(Model!$B$28-$B$9)))),Model!$B$44)</f>
        <v>50</v>
      </c>
      <c r="H93" s="17"/>
      <c r="O93" s="18"/>
      <c r="CY93" s="20" t="str">
        <f t="shared" si="72"/>
        <v>Demo path - C price $250 3%</v>
      </c>
      <c r="CZ93" s="3">
        <f t="shared" si="34"/>
        <v>2027</v>
      </c>
      <c r="DA93" s="18">
        <f t="shared" si="71"/>
        <v>0</v>
      </c>
      <c r="DB93" s="18">
        <f ca="1">(K12+IF($DB$3&gt;0,NPV($DB$2,K13:OFFSET(K12,$DB$3,0)),0))/($DB$3+1)</f>
        <v>334.03258542397657</v>
      </c>
      <c r="DC93" s="18">
        <f t="shared" ca="1" si="64"/>
        <v>84.03258542397657</v>
      </c>
      <c r="DD93" s="18">
        <f t="shared" si="37"/>
        <v>250</v>
      </c>
      <c r="DE93" s="20">
        <f t="shared" si="35"/>
        <v>35793.252751753469</v>
      </c>
      <c r="DF93" s="20" cm="1">
        <f t="array" ref="DF93">SUMPRODUCT(($BG$2:$BM$2=CY93)*($B$5:$B$35=CZ93)*($BG$5:$BM$35))</f>
        <v>31024.151568618421</v>
      </c>
      <c r="DG93" s="20">
        <f t="shared" si="62"/>
        <v>4769.1011831350479</v>
      </c>
      <c r="DH93" s="20" cm="1">
        <f t="array" ref="DH93">IF(CZ93=2023,SUMPRODUCT(($B$5:$B$35=CZ93-1)*($BN$5:$BN$35))-SUMPRODUCT(($BG$2:$BM$2=CY93)*($B$5:$B$35=CZ93-1)*($BG$5:$BM$35)),DG92)</f>
        <v>4100.4531459761165</v>
      </c>
      <c r="DI93" s="18">
        <f t="shared" ca="1" si="63"/>
        <v>334.03258542397657</v>
      </c>
      <c r="DJ93" s="89">
        <f t="shared" si="65"/>
        <v>8.4699131349184107</v>
      </c>
      <c r="DK93" s="89">
        <f t="shared" si="66"/>
        <v>8.3188527699939456</v>
      </c>
      <c r="DL93" s="89">
        <f t="shared" ca="1" si="67"/>
        <v>5.8112385493675518</v>
      </c>
      <c r="DM93" s="20">
        <f t="shared" ca="1" si="68"/>
        <v>2199.1325194769361</v>
      </c>
      <c r="DN93" s="20">
        <f t="shared" ca="1" si="69"/>
        <v>4997.0332917715077</v>
      </c>
      <c r="DO93" s="20">
        <f t="shared" ca="1" si="70"/>
        <v>3598.0829056242219</v>
      </c>
      <c r="DP93" s="113"/>
      <c r="DQ93" s="2"/>
      <c r="DR93" s="3"/>
      <c r="EE93" s="120"/>
      <c r="EF93" s="3"/>
      <c r="EG93" s="2"/>
    </row>
    <row r="94" spans="1:137" x14ac:dyDescent="0.25">
      <c r="A94">
        <v>0.5</v>
      </c>
      <c r="C94" s="190">
        <f>IF(C93*(1+A94*Model!$B$19*IF(Model!$B$28=0,1,((Model!$B$28-B94)/(Model!$B$28-$B$9))))&gt;Model!$B$44,C93*(1+A94*Model!$B$19*IF(Model!$B$28=0,1,((Model!$B$28-B94)/(Model!$B$28-$B$9)))),Model!$B$44)</f>
        <v>50</v>
      </c>
      <c r="H94" s="17"/>
      <c r="O94" s="18"/>
      <c r="CY94" s="20" t="str">
        <f t="shared" si="72"/>
        <v>Demo path - C price $250 3%</v>
      </c>
      <c r="CZ94" s="3">
        <f t="shared" si="34"/>
        <v>2028</v>
      </c>
      <c r="DA94" s="18">
        <f t="shared" si="71"/>
        <v>0</v>
      </c>
      <c r="DB94" s="18">
        <f ca="1">(K13+IF($DB$3&gt;0,NPV($DB$2,K14:OFFSET(K13,$DB$3,0)),0))/($DB$3+1)</f>
        <v>344.05356298669585</v>
      </c>
      <c r="DC94" s="18">
        <f t="shared" ca="1" si="64"/>
        <v>94.053562986695852</v>
      </c>
      <c r="DD94" s="18">
        <f t="shared" si="37"/>
        <v>250</v>
      </c>
      <c r="DE94" s="20">
        <f t="shared" si="35"/>
        <v>35511.189170281767</v>
      </c>
      <c r="DF94" s="20" cm="1">
        <f t="array" ref="DF94">SUMPRODUCT(($BG$2:$BM$2=CY94)*($B$5:$B$35=CZ94)*($BG$5:$BM$35))</f>
        <v>29893.492114550158</v>
      </c>
      <c r="DG94" s="20">
        <f t="shared" si="62"/>
        <v>5617.697055731609</v>
      </c>
      <c r="DH94" s="20" cm="1">
        <f t="array" ref="DH94">IF(CZ94=2023,SUMPRODUCT(($B$5:$B$35=CZ94-1)*($BN$5:$BN$35))-SUMPRODUCT(($BG$2:$BM$2=CY94)*($B$5:$B$35=CZ94-1)*($BG$5:$BM$35)),DG93)</f>
        <v>4769.1011831350479</v>
      </c>
      <c r="DI94" s="18">
        <f t="shared" ca="1" si="63"/>
        <v>344.05356298669585</v>
      </c>
      <c r="DJ94" s="89">
        <f t="shared" si="65"/>
        <v>8.6336770823461677</v>
      </c>
      <c r="DK94" s="89">
        <f t="shared" si="66"/>
        <v>8.4699131349184107</v>
      </c>
      <c r="DL94" s="89">
        <f t="shared" ca="1" si="67"/>
        <v>5.8407973516090959</v>
      </c>
      <c r="DM94" s="20">
        <f t="shared" ca="1" si="68"/>
        <v>2564.0642735974843</v>
      </c>
      <c r="DN94" s="20">
        <f t="shared" ca="1" si="69"/>
        <v>5669.8968775808808</v>
      </c>
      <c r="DO94" s="20">
        <f t="shared" ca="1" si="70"/>
        <v>4116.980575589183</v>
      </c>
      <c r="DP94" s="113"/>
      <c r="DQ94" s="2"/>
      <c r="DR94" s="3"/>
      <c r="DS94" s="16" t="s">
        <v>256</v>
      </c>
      <c r="DT94" s="16"/>
      <c r="EE94" s="120"/>
      <c r="EF94" s="3"/>
      <c r="EG94" s="2"/>
    </row>
    <row r="95" spans="1:137" x14ac:dyDescent="0.25">
      <c r="A95">
        <v>0.5</v>
      </c>
      <c r="C95" s="190">
        <f>IF(C94*(1+A95*Model!$B$19*IF(Model!$B$28=0,1,((Model!$B$28-B95)/(Model!$B$28-$B$9))))&gt;Model!$B$44,C94*(1+A95*Model!$B$19*IF(Model!$B$28=0,1,((Model!$B$28-B95)/(Model!$B$28-$B$9)))),Model!$B$44)</f>
        <v>50</v>
      </c>
      <c r="H95" s="17"/>
      <c r="O95" s="18"/>
      <c r="CY95" s="20" t="str">
        <f t="shared" si="72"/>
        <v>Demo path - C price $250 3%</v>
      </c>
      <c r="CZ95" s="3">
        <f t="shared" si="34"/>
        <v>2029</v>
      </c>
      <c r="DA95" s="18">
        <f t="shared" si="71"/>
        <v>0</v>
      </c>
      <c r="DB95" s="18">
        <f ca="1">(K14+IF($DB$3&gt;0,NPV($DB$2,K15:OFFSET(K14,$DB$3,0)),0))/($DB$3+1)</f>
        <v>354.37516987629675</v>
      </c>
      <c r="DC95" s="18">
        <f t="shared" ca="1" si="64"/>
        <v>104.37516987629675</v>
      </c>
      <c r="DD95" s="18">
        <f t="shared" si="37"/>
        <v>250</v>
      </c>
      <c r="DE95" s="20">
        <f t="shared" si="35"/>
        <v>35177.841893805635</v>
      </c>
      <c r="DF95" s="20" cm="1">
        <f t="array" ref="DF95">SUMPRODUCT(($BG$2:$BM$2=CY95)*($B$5:$B$35=CZ95)*($BG$5:$BM$35))</f>
        <v>28817.675021612253</v>
      </c>
      <c r="DG95" s="20">
        <f t="shared" si="62"/>
        <v>6360.166872193382</v>
      </c>
      <c r="DH95" s="20" cm="1">
        <f t="array" ref="DH95">IF(CZ95=2023,SUMPRODUCT(($B$5:$B$35=CZ95-1)*($BN$5:$BN$35))-SUMPRODUCT(($BG$2:$BM$2=CY95)*($B$5:$B$35=CZ95-1)*($BG$5:$BM$35)),DG94)</f>
        <v>5617.697055731609</v>
      </c>
      <c r="DI95" s="18">
        <f t="shared" ca="1" si="63"/>
        <v>354.37516987629675</v>
      </c>
      <c r="DJ95" s="89">
        <f t="shared" si="65"/>
        <v>8.7578098937562192</v>
      </c>
      <c r="DK95" s="89">
        <f t="shared" si="66"/>
        <v>8.6336770823461677</v>
      </c>
      <c r="DL95" s="89">
        <f t="shared" ca="1" si="67"/>
        <v>5.8703561538506399</v>
      </c>
      <c r="DM95" s="20">
        <f t="shared" ca="1" si="68"/>
        <v>2922.0589684349461</v>
      </c>
      <c r="DN95" s="20">
        <f t="shared" ca="1" si="69"/>
        <v>6173.9985257440349</v>
      </c>
      <c r="DO95" s="20">
        <f t="shared" ca="1" si="70"/>
        <v>4548.0287470894909</v>
      </c>
      <c r="DP95" s="113"/>
      <c r="DQ95" s="2"/>
      <c r="DR95" s="3"/>
      <c r="DS95" t="s">
        <v>257</v>
      </c>
      <c r="DT95">
        <v>0.99967025189335645</v>
      </c>
      <c r="EE95" s="120"/>
      <c r="EF95" s="3"/>
      <c r="EG95" s="2"/>
    </row>
    <row r="96" spans="1:137" x14ac:dyDescent="0.25">
      <c r="A96">
        <v>0.5</v>
      </c>
      <c r="C96" s="190">
        <f>IF(C95*(1+A96*Model!$B$19*IF(Model!$B$28=0,1,((Model!$B$28-B96)/(Model!$B$28-$B$9))))&gt;Model!$B$44,C95*(1+A96*Model!$B$19*IF(Model!$B$28=0,1,((Model!$B$28-B96)/(Model!$B$28-$B$9)))),Model!$B$44)</f>
        <v>50</v>
      </c>
      <c r="H96" s="17"/>
      <c r="O96" s="18"/>
      <c r="CY96" s="20" t="str">
        <f t="shared" si="72"/>
        <v>Demo path - C price $250 3%</v>
      </c>
      <c r="CZ96" s="3">
        <f t="shared" si="34"/>
        <v>2030</v>
      </c>
      <c r="DA96" s="18">
        <f t="shared" si="71"/>
        <v>0</v>
      </c>
      <c r="DB96" s="18">
        <f ca="1">(K15+IF($DB$3&gt;0,NPV($DB$2,K16:OFFSET(K15,$DB$3,0)),0))/($DB$3+1)</f>
        <v>365.00642497258576</v>
      </c>
      <c r="DC96" s="18">
        <f t="shared" ca="1" si="64"/>
        <v>115.00642497258576</v>
      </c>
      <c r="DD96" s="18">
        <f t="shared" si="37"/>
        <v>250</v>
      </c>
      <c r="DE96" s="20">
        <f t="shared" si="35"/>
        <v>33772.256001092159</v>
      </c>
      <c r="DF96" s="20" cm="1">
        <f t="array" ref="DF96">SUMPRODUCT(($BG$2:$BM$2=CY96)*($B$5:$B$35=CZ96)*($BG$5:$BM$35))</f>
        <v>26625.248562315228</v>
      </c>
      <c r="DG96" s="20">
        <f t="shared" si="62"/>
        <v>7147.0074387769309</v>
      </c>
      <c r="DH96" s="20" cm="1">
        <f t="array" ref="DH96">IF(CZ96=2023,SUMPRODUCT(($B$5:$B$35=CZ96-1)*($BN$5:$BN$35))-SUMPRODUCT(($BG$2:$BM$2=CY96)*($B$5:$B$35=CZ96-1)*($BG$5:$BM$35)),DG95)</f>
        <v>6360.166872193382</v>
      </c>
      <c r="DI96" s="18">
        <f t="shared" ca="1" si="63"/>
        <v>365.00642497258576</v>
      </c>
      <c r="DJ96" s="89">
        <f t="shared" si="65"/>
        <v>8.8744490080445289</v>
      </c>
      <c r="DK96" s="89">
        <f t="shared" si="66"/>
        <v>8.7578098937562192</v>
      </c>
      <c r="DL96" s="89">
        <f t="shared" ca="1" si="67"/>
        <v>5.8999149560921849</v>
      </c>
      <c r="DM96" s="20">
        <f t="shared" ca="1" si="68"/>
        <v>3273.978454840566</v>
      </c>
      <c r="DN96" s="20">
        <f t="shared" ca="1" si="69"/>
        <v>6556.4927449569022</v>
      </c>
      <c r="DO96" s="20">
        <f t="shared" ca="1" si="70"/>
        <v>4915.2355998987341</v>
      </c>
      <c r="DP96" s="113"/>
      <c r="DQ96" s="2"/>
      <c r="DR96" s="3"/>
      <c r="DS96" t="s">
        <v>258</v>
      </c>
      <c r="DT96">
        <v>0.99934061252052675</v>
      </c>
      <c r="EE96" s="120"/>
      <c r="EF96" s="3"/>
      <c r="EG96" s="2"/>
    </row>
    <row r="97" spans="1:137" x14ac:dyDescent="0.25">
      <c r="A97">
        <v>0.5</v>
      </c>
      <c r="C97" s="190">
        <f>IF(C96*(1+A97*Model!$B$19*IF(Model!$B$28=0,1,((Model!$B$28-B97)/(Model!$B$28-$B$9))))&gt;Model!$B$44,C96*(1+A97*Model!$B$19*IF(Model!$B$28=0,1,((Model!$B$28-B97)/(Model!$B$28-$B$9)))),Model!$B$44)</f>
        <v>50</v>
      </c>
      <c r="H97" s="17"/>
      <c r="O97" s="18"/>
      <c r="CY97" s="20" t="str">
        <f t="shared" si="72"/>
        <v>Demo path - C price $250 3%</v>
      </c>
      <c r="CZ97" s="3">
        <f t="shared" si="34"/>
        <v>2031</v>
      </c>
      <c r="DA97" s="18">
        <f t="shared" si="71"/>
        <v>0</v>
      </c>
      <c r="DB97" s="18">
        <f ca="1">(K16+IF($DB$3&gt;0,NPV($DB$2,K17:OFFSET(K16,$DB$3,0)),0))/($DB$3+1)</f>
        <v>375.95661772176339</v>
      </c>
      <c r="DC97" s="18">
        <f t="shared" ca="1" si="64"/>
        <v>125.95661772176339</v>
      </c>
      <c r="DD97" s="18">
        <f t="shared" si="37"/>
        <v>250</v>
      </c>
      <c r="DE97" s="20">
        <f t="shared" si="35"/>
        <v>32544.850715439803</v>
      </c>
      <c r="DF97" s="20" cm="1">
        <f t="array" ref="DF97">SUMPRODUCT(($BG$2:$BM$2=CY97)*($B$5:$B$35=CZ97)*($BG$5:$BM$35))</f>
        <v>25287.984479000075</v>
      </c>
      <c r="DG97" s="20">
        <f t="shared" si="62"/>
        <v>7256.8662364397278</v>
      </c>
      <c r="DH97" s="20" cm="1">
        <f t="array" ref="DH97">IF(CZ97=2023,SUMPRODUCT(($B$5:$B$35=CZ97-1)*($BN$5:$BN$35))-SUMPRODUCT(($BG$2:$BM$2=CY97)*($B$5:$B$35=CZ97-1)*($BG$5:$BM$35)),DG96)</f>
        <v>7147.0074387769309</v>
      </c>
      <c r="DI97" s="18">
        <f t="shared" ca="1" si="63"/>
        <v>375.95661772176339</v>
      </c>
      <c r="DJ97" s="89">
        <f t="shared" si="65"/>
        <v>8.8897033667587664</v>
      </c>
      <c r="DK97" s="89">
        <f t="shared" si="66"/>
        <v>8.8744490080445289</v>
      </c>
      <c r="DL97" s="89">
        <f t="shared" ca="1" si="67"/>
        <v>5.9294737583337298</v>
      </c>
      <c r="DM97" s="20">
        <f t="shared" ca="1" si="68"/>
        <v>3620.6464291678158</v>
      </c>
      <c r="DN97" s="20">
        <f t="shared" ca="1" si="69"/>
        <v>6857.1769725789136</v>
      </c>
      <c r="DO97" s="20">
        <f t="shared" ca="1" si="70"/>
        <v>5238.9117008733647</v>
      </c>
      <c r="DP97" s="113"/>
      <c r="DQ97" s="2"/>
      <c r="DR97" s="3"/>
      <c r="DS97" t="s">
        <v>259</v>
      </c>
      <c r="DT97">
        <v>0.99418257444073566</v>
      </c>
      <c r="EE97" s="120"/>
      <c r="EF97" s="3"/>
      <c r="EG97" s="2"/>
    </row>
    <row r="98" spans="1:137" x14ac:dyDescent="0.25">
      <c r="A98">
        <v>0.5</v>
      </c>
      <c r="C98" s="190">
        <f>IF(C97*(1+A98*Model!$B$19*IF(Model!$B$28=0,1,((Model!$B$28-B98)/(Model!$B$28-$B$9))))&gt;Model!$B$44,C97*(1+A98*Model!$B$19*IF(Model!$B$28=0,1,((Model!$B$28-B98)/(Model!$B$28-$B$9)))),Model!$B$44)</f>
        <v>50</v>
      </c>
      <c r="H98" s="17"/>
      <c r="O98" s="18"/>
      <c r="CY98" s="20" t="str">
        <f t="shared" si="72"/>
        <v>Demo path - C price $250 3%</v>
      </c>
      <c r="CZ98" s="3">
        <f t="shared" ref="CZ98:CZ161" si="73">CZ70</f>
        <v>2032</v>
      </c>
      <c r="DA98" s="18">
        <f t="shared" si="71"/>
        <v>0</v>
      </c>
      <c r="DB98" s="18">
        <f ca="1">(K17+IF($DB$3&gt;0,NPV($DB$2,K18:OFFSET(K17,$DB$3,0)),0))/($DB$3+1)</f>
        <v>387.23531625341616</v>
      </c>
      <c r="DC98" s="18">
        <f t="shared" ca="1" si="64"/>
        <v>137.23531625341616</v>
      </c>
      <c r="DD98" s="18">
        <f t="shared" si="37"/>
        <v>250</v>
      </c>
      <c r="DE98" s="20">
        <f t="shared" ref="DE98:DE161" si="74">DE70</f>
        <v>31317.445429787447</v>
      </c>
      <c r="DF98" s="20" cm="1">
        <f t="array" ref="DF98">SUMPRODUCT(($BG$2:$BM$2=CY98)*($B$5:$B$35=CZ98)*($BG$5:$BM$35))</f>
        <v>23984.085998912495</v>
      </c>
      <c r="DG98" s="20">
        <f t="shared" si="62"/>
        <v>7333.3594308749525</v>
      </c>
      <c r="DH98" s="20" cm="1">
        <f t="array" ref="DH98">IF(CZ98=2023,SUMPRODUCT(($B$5:$B$35=CZ98-1)*($BN$5:$BN$35))-SUMPRODUCT(($BG$2:$BM$2=CY98)*($B$5:$B$35=CZ98-1)*($BG$5:$BM$35)),DG97)</f>
        <v>7256.8662364397278</v>
      </c>
      <c r="DI98" s="18">
        <f t="shared" ca="1" si="63"/>
        <v>387.23531625341616</v>
      </c>
      <c r="DJ98" s="89">
        <f t="shared" si="65"/>
        <v>8.900189002421687</v>
      </c>
      <c r="DK98" s="89">
        <f t="shared" si="66"/>
        <v>8.8897033667587664</v>
      </c>
      <c r="DL98" s="89">
        <f t="shared" ca="1" si="67"/>
        <v>5.9590325605752739</v>
      </c>
      <c r="DM98" s="20">
        <f t="shared" ca="1" si="68"/>
        <v>3962.8511180077326</v>
      </c>
      <c r="DN98" s="20">
        <f t="shared" ca="1" si="69"/>
        <v>7105.2561646730073</v>
      </c>
      <c r="DO98" s="20">
        <f t="shared" ca="1" si="70"/>
        <v>5534.0536413403697</v>
      </c>
      <c r="DP98" s="113"/>
      <c r="DQ98" s="2"/>
      <c r="DR98" s="3"/>
      <c r="DS98" t="s">
        <v>260</v>
      </c>
      <c r="DT98">
        <v>0.21540475437130743</v>
      </c>
      <c r="EE98" s="120"/>
      <c r="EF98" s="3"/>
      <c r="EG98" s="2"/>
    </row>
    <row r="99" spans="1:137" ht="15.75" thickBot="1" x14ac:dyDescent="0.3">
      <c r="A99">
        <v>0.5</v>
      </c>
      <c r="C99" s="190">
        <f>IF(C98*(1+A99*Model!$B$19*IF(Model!$B$28=0,1,((Model!$B$28-B99)/(Model!$B$28-$B$9))))&gt;Model!$B$44,C98*(1+A99*Model!$B$19*IF(Model!$B$28=0,1,((Model!$B$28-B99)/(Model!$B$28-$B$9)))),Model!$B$44)</f>
        <v>50</v>
      </c>
      <c r="H99" s="17"/>
      <c r="O99" s="18"/>
      <c r="CY99" s="20" t="str">
        <f t="shared" si="72"/>
        <v>Demo path - C price $250 3%</v>
      </c>
      <c r="CZ99" s="3">
        <f t="shared" si="73"/>
        <v>2033</v>
      </c>
      <c r="DA99" s="18">
        <f t="shared" si="71"/>
        <v>0</v>
      </c>
      <c r="DB99" s="18">
        <f ca="1">(K18+IF($DB$3&gt;0,NPV($DB$2,K19:OFFSET(K18,$DB$3,0)),0))/($DB$3+1)</f>
        <v>398.85237574101853</v>
      </c>
      <c r="DC99" s="18">
        <f t="shared" ca="1" si="64"/>
        <v>148.85237574101853</v>
      </c>
      <c r="DD99" s="18">
        <f t="shared" ref="DD99:DD162" si="75">DD98</f>
        <v>250</v>
      </c>
      <c r="DE99" s="20">
        <f t="shared" si="74"/>
        <v>30090.040144135091</v>
      </c>
      <c r="DF99" s="20" cm="1">
        <f t="array" ref="DF99">SUMPRODUCT(($BG$2:$BM$2=CY99)*($B$5:$B$35=CZ99)*($BG$5:$BM$35))</f>
        <v>22708.500050130406</v>
      </c>
      <c r="DG99" s="20">
        <f t="shared" si="62"/>
        <v>7381.5400940046857</v>
      </c>
      <c r="DH99" s="20" cm="1">
        <f t="array" ref="DH99">IF(CZ99=2023,SUMPRODUCT(($B$5:$B$35=CZ99-1)*($BN$5:$BN$35))-SUMPRODUCT(($BG$2:$BM$2=CY99)*($B$5:$B$35=CZ99-1)*($BG$5:$BM$35)),DG98)</f>
        <v>7333.3594308749525</v>
      </c>
      <c r="DI99" s="18">
        <f t="shared" ca="1" si="63"/>
        <v>398.85237574101853</v>
      </c>
      <c r="DJ99" s="89">
        <f t="shared" si="65"/>
        <v>8.9067375806473521</v>
      </c>
      <c r="DK99" s="89">
        <f t="shared" si="66"/>
        <v>8.900189002421687</v>
      </c>
      <c r="DL99" s="89">
        <f t="shared" ca="1" si="67"/>
        <v>5.9885913628168179</v>
      </c>
      <c r="DM99" s="20">
        <f t="shared" ca="1" si="68"/>
        <v>4301.3478143759949</v>
      </c>
      <c r="DN99" s="20">
        <f t="shared" ca="1" si="69"/>
        <v>7320.7160716996941</v>
      </c>
      <c r="DO99" s="20">
        <f t="shared" ca="1" si="70"/>
        <v>5811.031943037844</v>
      </c>
      <c r="DP99" s="113"/>
      <c r="DQ99" s="2"/>
      <c r="DR99" s="3"/>
      <c r="DS99" s="14" t="s">
        <v>261</v>
      </c>
      <c r="DT99" s="14">
        <v>196</v>
      </c>
      <c r="EE99" s="120"/>
      <c r="EF99" s="3"/>
      <c r="EG99" s="2"/>
    </row>
    <row r="100" spans="1:137" x14ac:dyDescent="0.25">
      <c r="A100">
        <v>0.5</v>
      </c>
      <c r="C100" s="190">
        <f>IF(C99*(1+A100*Model!$B$19*IF(Model!$B$28=0,1,((Model!$B$28-B100)/(Model!$B$28-$B$9))))&gt;Model!$B$44,C99*(1+A100*Model!$B$19*IF(Model!$B$28=0,1,((Model!$B$28-B100)/(Model!$B$28-$B$9)))),Model!$B$44)</f>
        <v>50</v>
      </c>
      <c r="H100" s="17"/>
      <c r="O100" s="18"/>
      <c r="CY100" s="20" t="str">
        <f t="shared" si="72"/>
        <v>Demo path - C price $250 3%</v>
      </c>
      <c r="CZ100" s="3">
        <f t="shared" si="73"/>
        <v>2034</v>
      </c>
      <c r="DA100" s="18">
        <f t="shared" si="71"/>
        <v>0</v>
      </c>
      <c r="DB100" s="18">
        <f ca="1">(K19+IF($DB$3&gt;0,NPV($DB$2,K20:OFFSET(K19,$DB$3,0)),0))/($DB$3+1)</f>
        <v>410.81794701324912</v>
      </c>
      <c r="DC100" s="18">
        <f t="shared" ca="1" si="64"/>
        <v>160.81794701324912</v>
      </c>
      <c r="DD100" s="18">
        <f t="shared" si="75"/>
        <v>250</v>
      </c>
      <c r="DE100" s="20">
        <f t="shared" si="74"/>
        <v>28862.634858482736</v>
      </c>
      <c r="DF100" s="20" cm="1">
        <f t="array" ref="DF100">SUMPRODUCT(($BG$2:$BM$2=CY100)*($B$5:$B$35=CZ100)*($BG$5:$BM$35))</f>
        <v>21387.734037387268</v>
      </c>
      <c r="DG100" s="20">
        <f t="shared" si="62"/>
        <v>7474.9008210954671</v>
      </c>
      <c r="DH100" s="20" cm="1">
        <f t="array" ref="DH100">IF(CZ100=2023,SUMPRODUCT(($B$5:$B$35=CZ100-1)*($BN$5:$BN$35))-SUMPRODUCT(($BG$2:$BM$2=CY100)*($B$5:$B$35=CZ100-1)*($BG$5:$BM$35)),DG99)</f>
        <v>7381.5400940046857</v>
      </c>
      <c r="DI100" s="18">
        <f t="shared" ca="1" si="63"/>
        <v>410.81794701324912</v>
      </c>
      <c r="DJ100" s="89">
        <f t="shared" si="65"/>
        <v>8.919306130089991</v>
      </c>
      <c r="DK100" s="89">
        <f t="shared" si="66"/>
        <v>8.9067375806473521</v>
      </c>
      <c r="DL100" s="89">
        <f t="shared" ca="1" si="67"/>
        <v>6.018150165058362</v>
      </c>
      <c r="DM100" s="20">
        <f t="shared" ca="1" si="68"/>
        <v>4636.8612746005201</v>
      </c>
      <c r="DN100" s="20">
        <f t="shared" ca="1" si="69"/>
        <v>7516.723228120677</v>
      </c>
      <c r="DO100" s="20">
        <f t="shared" ca="1" si="70"/>
        <v>6076.792251360599</v>
      </c>
      <c r="DP100" s="113"/>
      <c r="DQ100" s="2"/>
      <c r="DR100" s="3"/>
      <c r="EE100" s="120"/>
      <c r="EF100" s="3"/>
      <c r="EG100" s="2"/>
    </row>
    <row r="101" spans="1:137" ht="15.75" thickBot="1" x14ac:dyDescent="0.3">
      <c r="A101">
        <v>0.5</v>
      </c>
      <c r="C101" s="190">
        <f>IF(C100*(1+A101*Model!$B$19*IF(Model!$B$28=0,1,((Model!$B$28-B101)/(Model!$B$28-$B$9))))&gt;Model!$B$44,C100*(1+A101*Model!$B$19*IF(Model!$B$28=0,1,((Model!$B$28-B101)/(Model!$B$28-$B$9)))),Model!$B$44)</f>
        <v>50</v>
      </c>
      <c r="H101" s="17"/>
      <c r="O101" s="18"/>
      <c r="CY101" s="20" t="str">
        <f t="shared" si="72"/>
        <v>Demo path - C price $250 3%</v>
      </c>
      <c r="CZ101" s="3">
        <f t="shared" si="73"/>
        <v>2035</v>
      </c>
      <c r="DA101" s="18">
        <f t="shared" si="71"/>
        <v>0</v>
      </c>
      <c r="DB101" s="18">
        <f ca="1">(K20+IF($DB$3&gt;0,NPV($DB$2,K21:OFFSET(K20,$DB$3,0)),0))/($DB$3+1)</f>
        <v>423.1424854236468</v>
      </c>
      <c r="DC101" s="18">
        <f t="shared" ca="1" si="64"/>
        <v>173.1424854236468</v>
      </c>
      <c r="DD101" s="18">
        <f t="shared" si="75"/>
        <v>250</v>
      </c>
      <c r="DE101" s="20">
        <f t="shared" si="74"/>
        <v>27635.22957283038</v>
      </c>
      <c r="DF101" s="20" cm="1">
        <f t="array" ref="DF101">SUMPRODUCT(($BG$2:$BM$2=CY101)*($B$5:$B$35=CZ101)*($BG$5:$BM$35))</f>
        <v>20108.019141254535</v>
      </c>
      <c r="DG101" s="20">
        <f t="shared" ref="DG101:DG132" si="76">DE101-DF101</f>
        <v>7527.2104315758443</v>
      </c>
      <c r="DH101" s="20" cm="1">
        <f t="array" ref="DH101">IF(CZ101=2023,SUMPRODUCT(($B$5:$B$35=CZ101-1)*($BN$5:$BN$35))-SUMPRODUCT(($BG$2:$BM$2=CY101)*($B$5:$B$35=CZ101-1)*($BG$5:$BM$35)),DG100)</f>
        <v>7474.9008210954671</v>
      </c>
      <c r="DI101" s="18">
        <f t="shared" ref="DI101:DI132" ca="1" si="77">DB101</f>
        <v>423.1424854236468</v>
      </c>
      <c r="DJ101" s="89">
        <f t="shared" si="65"/>
        <v>8.9262797915423562</v>
      </c>
      <c r="DK101" s="89">
        <f t="shared" si="66"/>
        <v>8.919306130089991</v>
      </c>
      <c r="DL101" s="89">
        <f t="shared" ca="1" si="67"/>
        <v>6.0477089672999069</v>
      </c>
      <c r="DM101" s="20">
        <f t="shared" ca="1" si="68"/>
        <v>4970.0879846159005</v>
      </c>
      <c r="DN101" s="20">
        <f t="shared" ca="1" si="69"/>
        <v>7701.7702365585828</v>
      </c>
      <c r="DO101" s="20">
        <f t="shared" ca="1" si="70"/>
        <v>6335.9291105872417</v>
      </c>
      <c r="DP101" s="113"/>
      <c r="DQ101" s="2"/>
      <c r="DR101" s="3"/>
      <c r="DS101" t="s">
        <v>262</v>
      </c>
      <c r="EE101" s="120"/>
      <c r="EF101" s="3"/>
      <c r="EG101" s="2"/>
    </row>
    <row r="102" spans="1:137" x14ac:dyDescent="0.25">
      <c r="A102">
        <v>0.5</v>
      </c>
      <c r="C102" s="190">
        <f>IF(C101*(1+A102*Model!$B$19*IF(Model!$B$28=0,1,((Model!$B$28-B102)/(Model!$B$28-$B$9))))&gt;Model!$B$44,C101*(1+A102*Model!$B$19*IF(Model!$B$28=0,1,((Model!$B$28-B102)/(Model!$B$28-$B$9)))),Model!$B$44)</f>
        <v>50</v>
      </c>
      <c r="H102" s="17"/>
      <c r="O102" s="18"/>
      <c r="CY102" s="20" t="str">
        <f t="shared" si="72"/>
        <v>Demo path - C price $250 3%</v>
      </c>
      <c r="CZ102" s="3">
        <f t="shared" si="73"/>
        <v>2036</v>
      </c>
      <c r="DA102" s="18">
        <f t="shared" si="71"/>
        <v>0</v>
      </c>
      <c r="DB102" s="18">
        <f ca="1">(K21+IF($DB$3&gt;0,NPV($DB$2,K22:OFFSET(K21,$DB$3,0)),0))/($DB$3+1)</f>
        <v>435.83675998635624</v>
      </c>
      <c r="DC102" s="18">
        <f t="shared" ca="1" si="64"/>
        <v>185.83675998635624</v>
      </c>
      <c r="DD102" s="18">
        <f t="shared" si="75"/>
        <v>250</v>
      </c>
      <c r="DE102" s="20">
        <f t="shared" si="74"/>
        <v>26407.824287178031</v>
      </c>
      <c r="DF102" s="20" cm="1">
        <f t="array" ref="DF102">SUMPRODUCT(($BG$2:$BM$2=CY102)*($B$5:$B$35=CZ102)*($BG$5:$BM$35))</f>
        <v>18875.555763005199</v>
      </c>
      <c r="DG102" s="20">
        <f t="shared" si="76"/>
        <v>7532.2685241728323</v>
      </c>
      <c r="DH102" s="20" cm="1">
        <f t="array" ref="DH102">IF(CZ102=2023,SUMPRODUCT(($B$5:$B$35=CZ102-1)*($BN$5:$BN$35))-SUMPRODUCT(($BG$2:$BM$2=CY102)*($B$5:$B$35=CZ102-1)*($BG$5:$BM$35)),DG101)</f>
        <v>7527.2104315758443</v>
      </c>
      <c r="DI102" s="18">
        <f t="shared" ca="1" si="77"/>
        <v>435.83675998635624</v>
      </c>
      <c r="DJ102" s="89">
        <f t="shared" ref="DJ102:DJ133" si="78">LN(DG102)</f>
        <v>8.9269515402531923</v>
      </c>
      <c r="DK102" s="89">
        <f t="shared" si="66"/>
        <v>8.9262797915423562</v>
      </c>
      <c r="DL102" s="89">
        <f t="shared" ca="1" si="67"/>
        <v>6.0772677695414519</v>
      </c>
      <c r="DM102" s="20">
        <f t="shared" ca="1" si="68"/>
        <v>5301.6983038613544</v>
      </c>
      <c r="DN102" s="20">
        <f t="shared" ref="DN102:DN133" ca="1" si="79">EXP($DT$61+IF(CZ102=2023,DK102,LN(DN101))*$DT$62+DL102*$DT$63)</f>
        <v>7881.2737610075255</v>
      </c>
      <c r="DO102" s="20">
        <f t="shared" ca="1" si="70"/>
        <v>6591.4860324344399</v>
      </c>
      <c r="DP102" s="113"/>
      <c r="DQ102" s="2"/>
      <c r="DR102" s="3"/>
      <c r="DS102" s="15"/>
      <c r="DT102" s="15" t="s">
        <v>263</v>
      </c>
      <c r="DU102" s="15" t="s">
        <v>264</v>
      </c>
      <c r="DV102" s="15" t="s">
        <v>265</v>
      </c>
      <c r="DW102" s="15" t="s">
        <v>266</v>
      </c>
      <c r="DX102" s="15" t="s">
        <v>267</v>
      </c>
      <c r="EE102" s="120"/>
      <c r="EF102" s="3"/>
      <c r="EG102" s="2"/>
    </row>
    <row r="103" spans="1:137" x14ac:dyDescent="0.25">
      <c r="A103">
        <v>0.5</v>
      </c>
      <c r="C103" s="190">
        <f>IF(C102*(1+A103*Model!$B$19*IF(Model!$B$28=0,1,((Model!$B$28-B103)/(Model!$B$28-$B$9))))&gt;Model!$B$44,C102*(1+A103*Model!$B$19*IF(Model!$B$28=0,1,((Model!$B$28-B103)/(Model!$B$28-$B$9)))),Model!$B$44)</f>
        <v>50</v>
      </c>
      <c r="H103" s="17"/>
      <c r="O103" s="18"/>
      <c r="CY103" s="20" t="str">
        <f t="shared" si="72"/>
        <v>Demo path - C price $250 3%</v>
      </c>
      <c r="CZ103" s="3">
        <f t="shared" si="73"/>
        <v>2037</v>
      </c>
      <c r="DA103" s="18">
        <f t="shared" si="71"/>
        <v>0</v>
      </c>
      <c r="DB103" s="18">
        <f ca="1">(K22+IF($DB$3&gt;0,NPV($DB$2,K23:OFFSET(K22,$DB$3,0)),0))/($DB$3+1)</f>
        <v>448.91186278594699</v>
      </c>
      <c r="DC103" s="18">
        <f t="shared" ca="1" si="64"/>
        <v>198.91186278594699</v>
      </c>
      <c r="DD103" s="18">
        <f t="shared" si="75"/>
        <v>250</v>
      </c>
      <c r="DE103" s="20">
        <f t="shared" si="74"/>
        <v>25490.617675668807</v>
      </c>
      <c r="DF103" s="20" cm="1">
        <f t="array" ref="DF103">SUMPRODUCT(($BG$2:$BM$2=CY103)*($B$5:$B$35=CZ103)*($BG$5:$BM$35))</f>
        <v>17820.307895228252</v>
      </c>
      <c r="DG103" s="20">
        <f t="shared" si="76"/>
        <v>7670.3097804405552</v>
      </c>
      <c r="DH103" s="20" cm="1">
        <f t="array" ref="DH103">IF(CZ103=2023,SUMPRODUCT(($B$5:$B$35=CZ103-1)*($BN$5:$BN$35))-SUMPRODUCT(($BG$2:$BM$2=CY103)*($B$5:$B$35=CZ103-1)*($BG$5:$BM$35)),DG102)</f>
        <v>7532.2685241728323</v>
      </c>
      <c r="DI103" s="18">
        <f t="shared" ca="1" si="77"/>
        <v>448.91186278594699</v>
      </c>
      <c r="DJ103" s="89">
        <f t="shared" si="78"/>
        <v>8.9451122821298714</v>
      </c>
      <c r="DK103" s="89">
        <f t="shared" si="66"/>
        <v>8.9269515402531923</v>
      </c>
      <c r="DL103" s="89">
        <f t="shared" ca="1" si="67"/>
        <v>6.1068265717829959</v>
      </c>
      <c r="DM103" s="20">
        <f t="shared" ca="1" si="68"/>
        <v>5632.3384945000053</v>
      </c>
      <c r="DN103" s="20">
        <f t="shared" ca="1" si="79"/>
        <v>8058.6723400501178</v>
      </c>
      <c r="DO103" s="20">
        <f t="shared" ca="1" si="70"/>
        <v>6845.5054172750615</v>
      </c>
      <c r="DP103" s="113"/>
      <c r="DQ103" s="2"/>
      <c r="DR103" s="3"/>
      <c r="DS103" t="s">
        <v>268</v>
      </c>
      <c r="DT103">
        <v>2</v>
      </c>
      <c r="DU103">
        <v>13642.222867282037</v>
      </c>
      <c r="DV103">
        <v>6821.1114336410183</v>
      </c>
      <c r="DW103">
        <v>147009.22057531495</v>
      </c>
      <c r="DX103">
        <v>6.7706916373243324E-308</v>
      </c>
      <c r="EE103" s="120"/>
      <c r="EF103" s="3"/>
      <c r="EG103" s="2"/>
    </row>
    <row r="104" spans="1:137" x14ac:dyDescent="0.25">
      <c r="A104">
        <v>0.5</v>
      </c>
      <c r="C104" s="190">
        <f>IF(C103*(1+A104*Model!$B$19*IF(Model!$B$28=0,1,((Model!$B$28-B104)/(Model!$B$28-$B$9))))&gt;Model!$B$44,C103*(1+A104*Model!$B$19*IF(Model!$B$28=0,1,((Model!$B$28-B104)/(Model!$B$28-$B$9)))),Model!$B$44)</f>
        <v>50</v>
      </c>
      <c r="H104" s="17"/>
      <c r="O104" s="18"/>
      <c r="CY104" s="20" t="str">
        <f t="shared" si="72"/>
        <v>Demo path - C price $250 3%</v>
      </c>
      <c r="CZ104" s="3">
        <f t="shared" si="73"/>
        <v>2038</v>
      </c>
      <c r="DA104" s="18">
        <f t="shared" si="71"/>
        <v>0</v>
      </c>
      <c r="DB104" s="18">
        <f ca="1">(K23+IF($DB$3&gt;0,NPV($DB$2,K24:OFFSET(K23,$DB$3,0)),0))/($DB$3+1)</f>
        <v>462.3792186695253</v>
      </c>
      <c r="DC104" s="18">
        <f t="shared" ca="1" si="64"/>
        <v>212.3792186695253</v>
      </c>
      <c r="DD104" s="18">
        <f t="shared" si="75"/>
        <v>250</v>
      </c>
      <c r="DE104" s="20">
        <f t="shared" si="74"/>
        <v>24570.879657466994</v>
      </c>
      <c r="DF104" s="20" cm="1">
        <f t="array" ref="DF104">SUMPRODUCT(($BG$2:$BM$2=CY104)*($B$5:$B$35=CZ104)*($BG$5:$BM$35))</f>
        <v>16875.022409831145</v>
      </c>
      <c r="DG104" s="20">
        <f t="shared" si="76"/>
        <v>7695.8572476358495</v>
      </c>
      <c r="DH104" s="20" cm="1">
        <f t="array" ref="DH104">IF(CZ104=2023,SUMPRODUCT(($B$5:$B$35=CZ104-1)*($BN$5:$BN$35))-SUMPRODUCT(($BG$2:$BM$2=CY104)*($B$5:$B$35=CZ104-1)*($BG$5:$BM$35)),DG103)</f>
        <v>7670.3097804405552</v>
      </c>
      <c r="DI104" s="18">
        <f t="shared" ca="1" si="77"/>
        <v>462.3792186695253</v>
      </c>
      <c r="DJ104" s="89">
        <f t="shared" si="78"/>
        <v>8.9484374432696434</v>
      </c>
      <c r="DK104" s="89">
        <f t="shared" si="66"/>
        <v>8.9451122821298714</v>
      </c>
      <c r="DL104" s="89">
        <f t="shared" ca="1" si="67"/>
        <v>6.13638537402454</v>
      </c>
      <c r="DM104" s="20">
        <f t="shared" ca="1" si="68"/>
        <v>5962.6326432274527</v>
      </c>
      <c r="DN104" s="20">
        <f t="shared" ca="1" si="79"/>
        <v>8236.1495533060697</v>
      </c>
      <c r="DO104" s="20">
        <f t="shared" ca="1" si="70"/>
        <v>7099.3910982667612</v>
      </c>
      <c r="DP104" s="113"/>
      <c r="DQ104" s="2"/>
      <c r="DR104" s="3"/>
      <c r="DS104" t="s">
        <v>269</v>
      </c>
      <c r="DT104">
        <v>194</v>
      </c>
      <c r="DU104">
        <v>9.001446391918078</v>
      </c>
      <c r="DV104">
        <v>4.6399208205763286E-2</v>
      </c>
      <c r="EE104" s="120"/>
      <c r="EF104" s="3"/>
      <c r="EG104" s="2"/>
    </row>
    <row r="105" spans="1:137" ht="15.75" thickBot="1" x14ac:dyDescent="0.3">
      <c r="A105">
        <v>0.5</v>
      </c>
      <c r="C105" s="190">
        <f>IF(C104*(1+A105*Model!$B$19*IF(Model!$B$28=0,1,((Model!$B$28-B105)/(Model!$B$28-$B$9))))&gt;Model!$B$44,C104*(1+A105*Model!$B$19*IF(Model!$B$28=0,1,((Model!$B$28-B105)/(Model!$B$28-$B$9)))),Model!$B$44)</f>
        <v>50</v>
      </c>
      <c r="H105" s="17"/>
      <c r="O105" s="18"/>
      <c r="CY105" s="20" t="str">
        <f t="shared" si="72"/>
        <v>Demo path - C price $250 3%</v>
      </c>
      <c r="CZ105" s="3">
        <f t="shared" si="73"/>
        <v>2039</v>
      </c>
      <c r="DA105" s="18">
        <f t="shared" si="71"/>
        <v>0</v>
      </c>
      <c r="DB105" s="18">
        <f ca="1">(K24+IF($DB$3&gt;0,NPV($DB$2,K25:OFFSET(K24,$DB$3,0)),0))/($DB$3+1)</f>
        <v>476.25059522961112</v>
      </c>
      <c r="DC105" s="18">
        <f t="shared" ca="1" si="64"/>
        <v>226.25059522961112</v>
      </c>
      <c r="DD105" s="18">
        <f t="shared" si="75"/>
        <v>250</v>
      </c>
      <c r="DE105" s="20">
        <f t="shared" si="74"/>
        <v>23633.677186249501</v>
      </c>
      <c r="DF105" s="20" cm="1">
        <f t="array" ref="DF105">SUMPRODUCT(($BG$2:$BM$2=CY105)*($B$5:$B$35=CZ105)*($BG$5:$BM$35))</f>
        <v>15844.335017702333</v>
      </c>
      <c r="DG105" s="20">
        <f t="shared" si="76"/>
        <v>7789.3421685471676</v>
      </c>
      <c r="DH105" s="20" cm="1">
        <f t="array" ref="DH105">IF(CZ105=2023,SUMPRODUCT(($B$5:$B$35=CZ105-1)*($BN$5:$BN$35))-SUMPRODUCT(($BG$2:$BM$2=CY105)*($B$5:$B$35=CZ105-1)*($BG$5:$BM$35)),DG104)</f>
        <v>7695.8572476358495</v>
      </c>
      <c r="DI105" s="18">
        <f t="shared" ca="1" si="77"/>
        <v>476.25059522961112</v>
      </c>
      <c r="DJ105" s="89">
        <f t="shared" si="78"/>
        <v>8.9605116896696853</v>
      </c>
      <c r="DK105" s="89">
        <f t="shared" si="66"/>
        <v>8.9484374432696434</v>
      </c>
      <c r="DL105" s="89">
        <f t="shared" ca="1" si="67"/>
        <v>6.1659441762660849</v>
      </c>
      <c r="DM105" s="20">
        <f t="shared" ca="1" si="68"/>
        <v>6293.1844825150392</v>
      </c>
      <c r="DN105" s="20">
        <f t="shared" ca="1" si="79"/>
        <v>8415.0993635499563</v>
      </c>
      <c r="DO105" s="20">
        <f t="shared" ca="1" si="70"/>
        <v>7354.1419230324973</v>
      </c>
      <c r="DP105" s="113"/>
      <c r="DQ105" s="2"/>
      <c r="DR105" s="3"/>
      <c r="DS105" s="14" t="s">
        <v>121</v>
      </c>
      <c r="DT105" s="14">
        <v>196</v>
      </c>
      <c r="DU105" s="14">
        <v>13651.224313673954</v>
      </c>
      <c r="DV105" s="14"/>
      <c r="DW105" s="14"/>
      <c r="DX105" s="14"/>
      <c r="EE105" s="120"/>
      <c r="EF105" s="3"/>
      <c r="EG105" s="2"/>
    </row>
    <row r="106" spans="1:137" ht="15.75" thickBot="1" x14ac:dyDescent="0.3">
      <c r="A106">
        <v>0.5</v>
      </c>
      <c r="C106" s="190">
        <f>IF(C105*(1+A106*Model!$B$19*IF(Model!$B$28=0,1,((Model!$B$28-B106)/(Model!$B$28-$B$9))))&gt;Model!$B$44,C105*(1+A106*Model!$B$19*IF(Model!$B$28=0,1,((Model!$B$28-B106)/(Model!$B$28-$B$9)))),Model!$B$44)</f>
        <v>50</v>
      </c>
      <c r="H106" s="17"/>
      <c r="O106" s="18"/>
      <c r="CY106" s="20" t="str">
        <f t="shared" si="72"/>
        <v>Demo path - C price $250 3%</v>
      </c>
      <c r="CZ106" s="3">
        <f t="shared" si="73"/>
        <v>2040</v>
      </c>
      <c r="DA106" s="18">
        <f t="shared" si="71"/>
        <v>0</v>
      </c>
      <c r="DB106" s="18">
        <f ca="1">(K25+IF($DB$3&gt;0,NPV($DB$2,K26:OFFSET(K25,$DB$3,0)),0))/($DB$3+1)</f>
        <v>490.53811308649949</v>
      </c>
      <c r="DC106" s="18">
        <f t="shared" ca="1" si="64"/>
        <v>240.53811308649949</v>
      </c>
      <c r="DD106" s="18">
        <f t="shared" si="75"/>
        <v>250</v>
      </c>
      <c r="DE106" s="20">
        <f t="shared" si="74"/>
        <v>21832.628998595821</v>
      </c>
      <c r="DF106" s="20" cm="1">
        <f t="array" ref="DF106">SUMPRODUCT(($BG$2:$BM$2=CY106)*($B$5:$B$35=CZ106)*($BG$5:$BM$35))</f>
        <v>14064.776721357572</v>
      </c>
      <c r="DG106" s="20">
        <f t="shared" si="76"/>
        <v>7767.8522772382494</v>
      </c>
      <c r="DH106" s="20" cm="1">
        <f t="array" ref="DH106">IF(CZ106=2023,SUMPRODUCT(($B$5:$B$35=CZ106-1)*($BN$5:$BN$35))-SUMPRODUCT(($BG$2:$BM$2=CY106)*($B$5:$B$35=CZ106-1)*($BG$5:$BM$35)),DG105)</f>
        <v>7789.3421685471676</v>
      </c>
      <c r="DI106" s="18">
        <f t="shared" ca="1" si="77"/>
        <v>490.53811308649949</v>
      </c>
      <c r="DJ106" s="89">
        <f t="shared" si="78"/>
        <v>8.9577489929569509</v>
      </c>
      <c r="DK106" s="89">
        <f t="shared" si="66"/>
        <v>8.9605116896696853</v>
      </c>
      <c r="DL106" s="89">
        <f t="shared" ca="1" si="67"/>
        <v>6.195502978507629</v>
      </c>
      <c r="DM106" s="20">
        <f t="shared" ca="1" si="68"/>
        <v>6624.5791177362516</v>
      </c>
      <c r="DN106" s="20">
        <f t="shared" ca="1" si="79"/>
        <v>8596.4215217051569</v>
      </c>
      <c r="DO106" s="20">
        <f t="shared" ca="1" si="70"/>
        <v>7610.5003197207043</v>
      </c>
      <c r="DP106" s="113"/>
      <c r="DQ106" s="2"/>
      <c r="DR106" s="3"/>
      <c r="EE106" s="120"/>
      <c r="EF106" s="3"/>
      <c r="EG106" s="2"/>
    </row>
    <row r="107" spans="1:137" x14ac:dyDescent="0.25">
      <c r="A107">
        <v>0.5</v>
      </c>
      <c r="C107" s="190">
        <f>IF(C106*(1+A107*Model!$B$19*IF(Model!$B$28=0,1,((Model!$B$28-B107)/(Model!$B$28-$B$9))))&gt;Model!$B$44,C106*(1+A107*Model!$B$19*IF(Model!$B$28=0,1,((Model!$B$28-B107)/(Model!$B$28-$B$9)))),Model!$B$44)</f>
        <v>50</v>
      </c>
      <c r="H107" s="17"/>
      <c r="O107" s="18"/>
      <c r="CY107" s="20" t="str">
        <f t="shared" si="72"/>
        <v>Demo path - C price $250 3%</v>
      </c>
      <c r="CZ107" s="3">
        <f t="shared" si="73"/>
        <v>2041</v>
      </c>
      <c r="DA107" s="18">
        <f t="shared" si="71"/>
        <v>0</v>
      </c>
      <c r="DB107" s="18">
        <f ca="1">(K26+IF($DB$3&gt;0,NPV($DB$2,K27:OFFSET(K26,$DB$3,0)),0))/($DB$3+1)</f>
        <v>505.25425647909435</v>
      </c>
      <c r="DC107" s="18">
        <f t="shared" ca="1" si="64"/>
        <v>255.25425647909435</v>
      </c>
      <c r="DD107" s="18">
        <f t="shared" si="75"/>
        <v>250</v>
      </c>
      <c r="DE107" s="20">
        <f t="shared" si="74"/>
        <v>21020.865912256821</v>
      </c>
      <c r="DF107" s="20" cm="1">
        <f t="array" ref="DF107">SUMPRODUCT(($BG$2:$BM$2=CY107)*($B$5:$B$35=CZ107)*($BG$5:$BM$35))</f>
        <v>13250.047795492828</v>
      </c>
      <c r="DG107" s="20">
        <f t="shared" si="76"/>
        <v>7770.8181167639923</v>
      </c>
      <c r="DH107" s="20" cm="1">
        <f t="array" ref="DH107">IF(CZ107=2023,SUMPRODUCT(($B$5:$B$35=CZ107-1)*($BN$5:$BN$35))-SUMPRODUCT(($BG$2:$BM$2=CY107)*($B$5:$B$35=CZ107-1)*($BG$5:$BM$35)),DG106)</f>
        <v>7767.8522772382494</v>
      </c>
      <c r="DI107" s="18">
        <f t="shared" ca="1" si="77"/>
        <v>505.25425647909435</v>
      </c>
      <c r="DJ107" s="89">
        <f t="shared" si="78"/>
        <v>8.9581307295517245</v>
      </c>
      <c r="DK107" s="89">
        <f t="shared" si="66"/>
        <v>8.9577489929569509</v>
      </c>
      <c r="DL107" s="89">
        <f t="shared" ca="1" si="67"/>
        <v>6.225061780749173</v>
      </c>
      <c r="DM107" s="20">
        <f t="shared" ca="1" si="68"/>
        <v>6957.3846662519063</v>
      </c>
      <c r="DN107" s="20">
        <f t="shared" ca="1" si="79"/>
        <v>8780.7075994214829</v>
      </c>
      <c r="DO107" s="20">
        <f t="shared" ca="1" si="70"/>
        <v>7869.0461328366946</v>
      </c>
      <c r="DP107" s="113"/>
      <c r="DQ107" s="2"/>
      <c r="DR107" s="3"/>
      <c r="DS107" s="15"/>
      <c r="DT107" s="15" t="s">
        <v>270</v>
      </c>
      <c r="DU107" s="15" t="s">
        <v>260</v>
      </c>
      <c r="DV107" s="15" t="s">
        <v>271</v>
      </c>
      <c r="DW107" s="15" t="s">
        <v>272</v>
      </c>
      <c r="DX107" s="15" t="s">
        <v>273</v>
      </c>
      <c r="DY107" s="15" t="s">
        <v>274</v>
      </c>
      <c r="DZ107" s="15" t="s">
        <v>275</v>
      </c>
      <c r="EA107" s="15" t="s">
        <v>276</v>
      </c>
      <c r="EE107" s="120"/>
      <c r="EF107" s="3"/>
      <c r="EG107" s="2"/>
    </row>
    <row r="108" spans="1:137" x14ac:dyDescent="0.25">
      <c r="A108">
        <v>0.5</v>
      </c>
      <c r="C108" s="190">
        <f>IF(C107*(1+A108*Model!$B$19*IF(Model!$B$28=0,1,((Model!$B$28-B108)/(Model!$B$28-$B$9))))&gt;Model!$B$44,C107*(1+A108*Model!$B$19*IF(Model!$B$28=0,1,((Model!$B$28-B108)/(Model!$B$28-$B$9)))),Model!$B$44)</f>
        <v>50</v>
      </c>
      <c r="H108" s="17"/>
      <c r="O108" s="18"/>
      <c r="CY108" s="20" t="str">
        <f t="shared" si="72"/>
        <v>Demo path - C price $250 3%</v>
      </c>
      <c r="CZ108" s="3">
        <f t="shared" si="73"/>
        <v>2042</v>
      </c>
      <c r="DA108" s="18">
        <f t="shared" si="71"/>
        <v>0</v>
      </c>
      <c r="DB108" s="18">
        <f ca="1">(K27+IF($DB$3&gt;0,NPV($DB$2,K28:OFFSET(K27,$DB$3,0)),0))/($DB$3+1)</f>
        <v>520.41188417346723</v>
      </c>
      <c r="DC108" s="18">
        <f t="shared" ca="1" si="64"/>
        <v>270.41188417346723</v>
      </c>
      <c r="DD108" s="18">
        <f t="shared" si="75"/>
        <v>250</v>
      </c>
      <c r="DE108" s="20">
        <f t="shared" si="74"/>
        <v>20178.380919926673</v>
      </c>
      <c r="DF108" s="20" cm="1">
        <f t="array" ref="DF108">SUMPRODUCT(($BG$2:$BM$2=CY108)*($B$5:$B$35=CZ108)*($BG$5:$BM$35))</f>
        <v>12530.443427230426</v>
      </c>
      <c r="DG108" s="20">
        <f t="shared" si="76"/>
        <v>7647.9374926962464</v>
      </c>
      <c r="DH108" s="20" cm="1">
        <f t="array" ref="DH108">IF(CZ108=2023,SUMPRODUCT(($B$5:$B$35=CZ108-1)*($BN$5:$BN$35))-SUMPRODUCT(($BG$2:$BM$2=CY108)*($B$5:$B$35=CZ108-1)*($BG$5:$BM$35)),DG107)</f>
        <v>7770.8181167639923</v>
      </c>
      <c r="DI108" s="18">
        <f t="shared" ca="1" si="77"/>
        <v>520.41188417346723</v>
      </c>
      <c r="DJ108" s="89">
        <f t="shared" si="78"/>
        <v>8.9421912816717199</v>
      </c>
      <c r="DK108" s="89">
        <f t="shared" si="66"/>
        <v>8.9581307295517245</v>
      </c>
      <c r="DL108" s="89">
        <f t="shared" ca="1" si="67"/>
        <v>6.254620582990718</v>
      </c>
      <c r="DM108" s="20">
        <f t="shared" ca="1" si="68"/>
        <v>7292.1538141796464</v>
      </c>
      <c r="DN108" s="20">
        <f t="shared" ca="1" si="79"/>
        <v>8968.3575877417315</v>
      </c>
      <c r="DO108" s="20">
        <f t="shared" ca="1" si="70"/>
        <v>8130.255700960689</v>
      </c>
      <c r="DP108" s="113"/>
      <c r="DQ108" s="2"/>
      <c r="DR108" s="3"/>
      <c r="DS108" t="s">
        <v>277</v>
      </c>
      <c r="DT108">
        <v>0</v>
      </c>
      <c r="DU108" t="e">
        <v>#N/A</v>
      </c>
      <c r="DV108" t="e">
        <v>#N/A</v>
      </c>
      <c r="DW108" t="e">
        <v>#N/A</v>
      </c>
      <c r="DX108" t="e">
        <v>#N/A</v>
      </c>
      <c r="DY108" t="e">
        <v>#N/A</v>
      </c>
      <c r="DZ108" t="e">
        <v>#N/A</v>
      </c>
      <c r="EA108" t="e">
        <v>#N/A</v>
      </c>
      <c r="EE108" s="120"/>
      <c r="EF108" s="3"/>
      <c r="EG108" s="2"/>
    </row>
    <row r="109" spans="1:137" x14ac:dyDescent="0.25">
      <c r="A109">
        <v>0.5</v>
      </c>
      <c r="C109" s="190">
        <f>IF(C108*(1+A109*Model!$B$19*IF(Model!$B$28=0,1,((Model!$B$28-B109)/(Model!$B$28-$B$9))))&gt;Model!$B$44,C108*(1+A109*Model!$B$19*IF(Model!$B$28=0,1,((Model!$B$28-B109)/(Model!$B$28-$B$9)))),Model!$B$44)</f>
        <v>50</v>
      </c>
      <c r="H109" s="17"/>
      <c r="O109" s="18"/>
      <c r="CY109" s="20" t="str">
        <f t="shared" si="72"/>
        <v>Demo path - C price $250 3%</v>
      </c>
      <c r="CZ109" s="3">
        <f t="shared" si="73"/>
        <v>2043</v>
      </c>
      <c r="DA109" s="18">
        <f t="shared" si="71"/>
        <v>0</v>
      </c>
      <c r="DB109" s="18">
        <f ca="1">(K28+IF($DB$3&gt;0,NPV($DB$2,K29:OFFSET(K28,$DB$3,0)),0))/($DB$3+1)</f>
        <v>536.02424069867129</v>
      </c>
      <c r="DC109" s="18">
        <f t="shared" ca="1" si="64"/>
        <v>286.02424069867129</v>
      </c>
      <c r="DD109" s="18">
        <f t="shared" si="75"/>
        <v>250</v>
      </c>
      <c r="DE109" s="20">
        <f t="shared" si="74"/>
        <v>19320.318365199299</v>
      </c>
      <c r="DF109" s="20" cm="1">
        <f t="array" ref="DF109">SUMPRODUCT(($BG$2:$BM$2=CY109)*($B$5:$B$35=CZ109)*($BG$5:$BM$35))</f>
        <v>11478.411584545081</v>
      </c>
      <c r="DG109" s="20">
        <f t="shared" si="76"/>
        <v>7841.9067806542171</v>
      </c>
      <c r="DH109" s="20" cm="1">
        <f t="array" ref="DH109">IF(CZ109=2023,SUMPRODUCT(($B$5:$B$35=CZ109-1)*($BN$5:$BN$35))-SUMPRODUCT(($BG$2:$BM$2=CY109)*($B$5:$B$35=CZ109-1)*($BG$5:$BM$35)),DG108)</f>
        <v>7647.9374926962464</v>
      </c>
      <c r="DI109" s="18">
        <f t="shared" ca="1" si="77"/>
        <v>536.02424069867129</v>
      </c>
      <c r="DJ109" s="89">
        <f t="shared" si="78"/>
        <v>8.9672372955913939</v>
      </c>
      <c r="DK109" s="89">
        <f t="shared" si="66"/>
        <v>8.9421912816717199</v>
      </c>
      <c r="DL109" s="89">
        <f t="shared" ca="1" si="67"/>
        <v>6.284179385232262</v>
      </c>
      <c r="DM109" s="20">
        <f t="shared" ca="1" si="68"/>
        <v>7629.4252962445007</v>
      </c>
      <c r="DN109" s="20">
        <f t="shared" ca="1" si="79"/>
        <v>9159.6527712002826</v>
      </c>
      <c r="DO109" s="20">
        <f t="shared" ca="1" si="70"/>
        <v>8394.5390337223907</v>
      </c>
      <c r="DP109" s="113"/>
      <c r="DQ109" s="2"/>
      <c r="DR109" s="3"/>
      <c r="DS109" t="s">
        <v>281</v>
      </c>
      <c r="DT109">
        <v>0.73985595359804757</v>
      </c>
      <c r="DU109">
        <v>2.1324714420381981E-2</v>
      </c>
      <c r="DV109">
        <v>34.69476491046931</v>
      </c>
      <c r="DW109">
        <v>3.9845421310605678E-85</v>
      </c>
      <c r="DX109">
        <v>0.69779791170514205</v>
      </c>
      <c r="DY109">
        <v>0.78191399549095308</v>
      </c>
      <c r="DZ109">
        <v>0.69779791170514205</v>
      </c>
      <c r="EA109">
        <v>0.78191399549095308</v>
      </c>
      <c r="EE109" s="120"/>
      <c r="EF109" s="3"/>
      <c r="EG109" s="2"/>
    </row>
    <row r="110" spans="1:137" ht="15.75" thickBot="1" x14ac:dyDescent="0.3">
      <c r="A110">
        <v>0.5</v>
      </c>
      <c r="C110" s="190">
        <f>IF(C109*(1+A110*Model!$B$19*IF(Model!$B$28=0,1,((Model!$B$28-B110)/(Model!$B$28-$B$9))))&gt;Model!$B$44,C109*(1+A110*Model!$B$19*IF(Model!$B$28=0,1,((Model!$B$28-B110)/(Model!$B$28-$B$9)))),Model!$B$44)</f>
        <v>50</v>
      </c>
      <c r="H110" s="17"/>
      <c r="O110" s="18"/>
      <c r="CY110" s="20" t="str">
        <f t="shared" si="72"/>
        <v>Demo path - C price $250 3%</v>
      </c>
      <c r="CZ110" s="3">
        <f t="shared" si="73"/>
        <v>2044</v>
      </c>
      <c r="DA110" s="18">
        <f t="shared" si="71"/>
        <v>0</v>
      </c>
      <c r="DB110" s="18">
        <f ca="1">(K29+IF($DB$3&gt;0,NPV($DB$2,K30:OFFSET(K29,$DB$3,0)),0))/($DB$3+1)</f>
        <v>552.10496791963135</v>
      </c>
      <c r="DC110" s="18">
        <f t="shared" ca="1" si="64"/>
        <v>302.10496791963135</v>
      </c>
      <c r="DD110" s="18">
        <f t="shared" si="75"/>
        <v>250</v>
      </c>
      <c r="DE110" s="20">
        <f t="shared" si="74"/>
        <v>18472.725707396126</v>
      </c>
      <c r="DF110" s="20" cm="1">
        <f t="array" ref="DF110">SUMPRODUCT(($BG$2:$BM$2=CY110)*($B$5:$B$35=CZ110)*($BG$5:$BM$35))</f>
        <v>10808.062351538551</v>
      </c>
      <c r="DG110" s="20">
        <f t="shared" si="76"/>
        <v>7664.6633558575759</v>
      </c>
      <c r="DH110" s="20" cm="1">
        <f t="array" ref="DH110">IF(CZ110=2023,SUMPRODUCT(($B$5:$B$35=CZ110-1)*($BN$5:$BN$35))-SUMPRODUCT(($BG$2:$BM$2=CY110)*($B$5:$B$35=CZ110-1)*($BG$5:$BM$35)),DG109)</f>
        <v>7841.9067806542171</v>
      </c>
      <c r="DI110" s="18">
        <f t="shared" ca="1" si="77"/>
        <v>552.10496791963135</v>
      </c>
      <c r="DJ110" s="89">
        <f t="shared" si="78"/>
        <v>8.944375870688134</v>
      </c>
      <c r="DK110" s="89">
        <f t="shared" si="66"/>
        <v>8.9672372955913939</v>
      </c>
      <c r="DL110" s="89">
        <f t="shared" ca="1" si="67"/>
        <v>6.313738187473807</v>
      </c>
      <c r="DM110" s="20">
        <f t="shared" ca="1" si="68"/>
        <v>7969.7253037985629</v>
      </c>
      <c r="DN110" s="20">
        <f t="shared" ca="1" si="79"/>
        <v>9354.8011999233131</v>
      </c>
      <c r="DO110" s="20">
        <f t="shared" ca="1" si="70"/>
        <v>8662.2632518609389</v>
      </c>
      <c r="DP110" s="113"/>
      <c r="DQ110" s="2"/>
      <c r="DR110" s="3"/>
      <c r="DS110" s="14" t="s">
        <v>282</v>
      </c>
      <c r="DT110" s="14">
        <v>0.41592224944043971</v>
      </c>
      <c r="DU110" s="14">
        <v>3.2526016701270637E-2</v>
      </c>
      <c r="DV110" s="14">
        <v>12.787371206883492</v>
      </c>
      <c r="DW110" s="14">
        <v>1.4851155381750082E-27</v>
      </c>
      <c r="DX110" s="14">
        <v>0.35177224273629931</v>
      </c>
      <c r="DY110" s="14">
        <v>0.4800722561445801</v>
      </c>
      <c r="DZ110" s="14">
        <v>0.35177224273629931</v>
      </c>
      <c r="EA110" s="14">
        <v>0.4800722561445801</v>
      </c>
      <c r="EE110" s="120"/>
      <c r="EF110" s="3"/>
      <c r="EG110" s="2"/>
    </row>
    <row r="111" spans="1:137" x14ac:dyDescent="0.25">
      <c r="A111">
        <v>0.5</v>
      </c>
      <c r="C111" s="190">
        <f>IF(C110*(1+A111*Model!$B$19*IF(Model!$B$28=0,1,((Model!$B$28-B111)/(Model!$B$28-$B$9))))&gt;Model!$B$44,C110*(1+A111*Model!$B$19*IF(Model!$B$28=0,1,((Model!$B$28-B111)/(Model!$B$28-$B$9)))),Model!$B$44)</f>
        <v>50</v>
      </c>
      <c r="H111" s="17"/>
      <c r="O111" s="18"/>
      <c r="CY111" s="20" t="str">
        <f t="shared" si="72"/>
        <v>Demo path - C price $250 3%</v>
      </c>
      <c r="CZ111" s="3">
        <f t="shared" si="73"/>
        <v>2045</v>
      </c>
      <c r="DA111" s="18">
        <f t="shared" si="71"/>
        <v>0</v>
      </c>
      <c r="DB111" s="18">
        <f ca="1">(K30+IF($DB$3&gt;0,NPV($DB$2,K31:OFFSET(K30,$DB$3,0)),0))/($DB$3+1)</f>
        <v>568.66811695722026</v>
      </c>
      <c r="DC111" s="18">
        <f t="shared" ca="1" si="64"/>
        <v>318.66811695722026</v>
      </c>
      <c r="DD111" s="18">
        <f t="shared" si="75"/>
        <v>250</v>
      </c>
      <c r="DE111" s="20">
        <f t="shared" si="74"/>
        <v>17677.489690197111</v>
      </c>
      <c r="DF111" s="20" cm="1">
        <f t="array" ref="DF111">SUMPRODUCT(($BG$2:$BM$2=CY111)*($B$5:$B$35=CZ111)*($BG$5:$BM$35))</f>
        <v>10185.256700571568</v>
      </c>
      <c r="DG111" s="20">
        <f t="shared" si="76"/>
        <v>7492.2329896255433</v>
      </c>
      <c r="DH111" s="20" cm="1">
        <f t="array" ref="DH111">IF(CZ111=2023,SUMPRODUCT(($B$5:$B$35=CZ111-1)*($BN$5:$BN$35))-SUMPRODUCT(($BG$2:$BM$2=CY111)*($B$5:$B$35=CZ111-1)*($BG$5:$BM$35)),DG110)</f>
        <v>7664.6633558575759</v>
      </c>
      <c r="DI111" s="18">
        <f t="shared" ca="1" si="77"/>
        <v>568.66811695722026</v>
      </c>
      <c r="DJ111" s="89">
        <f t="shared" si="78"/>
        <v>8.9216221615355238</v>
      </c>
      <c r="DK111" s="89">
        <f t="shared" si="66"/>
        <v>8.944375870688134</v>
      </c>
      <c r="DL111" s="89">
        <f t="shared" ca="1" si="67"/>
        <v>6.3432969897153511</v>
      </c>
      <c r="DM111" s="20">
        <f t="shared" ca="1" si="68"/>
        <v>8313.5688258080681</v>
      </c>
      <c r="DN111" s="20">
        <f t="shared" ca="1" si="79"/>
        <v>9553.9660389311939</v>
      </c>
      <c r="DO111" s="20">
        <f t="shared" ca="1" si="70"/>
        <v>8933.7674323696301</v>
      </c>
      <c r="DP111" s="113"/>
      <c r="DQ111" s="2"/>
      <c r="DR111" s="3"/>
      <c r="EE111" s="120"/>
      <c r="EF111" s="3"/>
      <c r="EG111" s="2"/>
    </row>
    <row r="112" spans="1:137" x14ac:dyDescent="0.25">
      <c r="A112">
        <v>0.5</v>
      </c>
      <c r="C112" s="190">
        <f>IF(C111*(1+A112*Model!$B$19*IF(Model!$B$28=0,1,((Model!$B$28-B112)/(Model!$B$28-$B$9))))&gt;Model!$B$44,C111*(1+A112*Model!$B$19*IF(Model!$B$28=0,1,((Model!$B$28-B112)/(Model!$B$28-$B$9)))),Model!$B$44)</f>
        <v>50</v>
      </c>
      <c r="H112" s="17"/>
      <c r="O112" s="18"/>
      <c r="CY112" s="20" t="str">
        <f t="shared" si="72"/>
        <v>Demo path - C price $250 3%</v>
      </c>
      <c r="CZ112" s="3">
        <f t="shared" si="73"/>
        <v>2046</v>
      </c>
      <c r="DA112" s="18">
        <f t="shared" si="71"/>
        <v>0</v>
      </c>
      <c r="DB112" s="18">
        <f ca="1">(K31+IF($DB$3&gt;0,NPV($DB$2,K32:OFFSET(K31,$DB$3,0)),0))/($DB$3+1)</f>
        <v>585.72816046593709</v>
      </c>
      <c r="DC112" s="18">
        <f t="shared" ca="1" si="64"/>
        <v>335.72816046593709</v>
      </c>
      <c r="DD112" s="18">
        <f t="shared" si="75"/>
        <v>250</v>
      </c>
      <c r="DE112" s="20">
        <f t="shared" si="74"/>
        <v>16949.211978015726</v>
      </c>
      <c r="DF112" s="20" cm="1">
        <f t="array" ref="DF112">SUMPRODUCT(($BG$2:$BM$2=CY112)*($B$5:$B$35=CZ112)*($BG$5:$BM$35))</f>
        <v>9662.5279547336377</v>
      </c>
      <c r="DG112" s="20">
        <f t="shared" si="76"/>
        <v>7286.6840232820887</v>
      </c>
      <c r="DH112" s="20" cm="1">
        <f t="array" ref="DH112">IF(CZ112=2023,SUMPRODUCT(($B$5:$B$35=CZ112-1)*($BN$5:$BN$35))-SUMPRODUCT(($BG$2:$BM$2=CY112)*($B$5:$B$35=CZ112-1)*($BG$5:$BM$35)),DG111)</f>
        <v>7492.2329896255433</v>
      </c>
      <c r="DI112" s="18">
        <f t="shared" ca="1" si="77"/>
        <v>585.72816046593709</v>
      </c>
      <c r="DJ112" s="89">
        <f t="shared" si="78"/>
        <v>8.8938038550287626</v>
      </c>
      <c r="DK112" s="89">
        <f t="shared" si="66"/>
        <v>8.9216221615355238</v>
      </c>
      <c r="DL112" s="89">
        <f t="shared" ca="1" si="67"/>
        <v>6.372855791956896</v>
      </c>
      <c r="DM112" s="20">
        <f t="shared" ca="1" si="68"/>
        <v>8661.4609273340939</v>
      </c>
      <c r="DN112" s="20">
        <f t="shared" ca="1" si="79"/>
        <v>9757.2832367445299</v>
      </c>
      <c r="DO112" s="20">
        <f t="shared" ca="1" si="70"/>
        <v>9209.3720820393119</v>
      </c>
      <c r="DP112" s="113"/>
      <c r="DQ112" s="2"/>
      <c r="DR112" s="3"/>
    </row>
    <row r="113" spans="1:126" x14ac:dyDescent="0.25">
      <c r="A113">
        <v>0.5</v>
      </c>
      <c r="C113" s="190">
        <f>IF(C112*(1+A113*Model!$B$19*IF(Model!$B$28=0,1,((Model!$B$28-B113)/(Model!$B$28-$B$9))))&gt;Model!$B$44,C112*(1+A113*Model!$B$19*IF(Model!$B$28=0,1,((Model!$B$28-B113)/(Model!$B$28-$B$9)))),Model!$B$44)</f>
        <v>50</v>
      </c>
      <c r="H113" s="17"/>
      <c r="O113" s="18"/>
      <c r="CY113" s="20" t="str">
        <f t="shared" si="72"/>
        <v>Demo path - C price $250 3%</v>
      </c>
      <c r="CZ113" s="3">
        <f t="shared" si="73"/>
        <v>2047</v>
      </c>
      <c r="DA113" s="18">
        <f t="shared" si="71"/>
        <v>0</v>
      </c>
      <c r="DB113" s="18">
        <f ca="1">(K32+IF($DB$3&gt;0,NPV($DB$2,K33:OFFSET(K32,$DB$3,0)),0))/($DB$3+1)</f>
        <v>603.30000527991501</v>
      </c>
      <c r="DC113" s="18">
        <f t="shared" ca="1" si="64"/>
        <v>353.30000527991501</v>
      </c>
      <c r="DD113" s="18">
        <f t="shared" si="75"/>
        <v>250</v>
      </c>
      <c r="DE113" s="20">
        <f t="shared" si="74"/>
        <v>16245.780919206421</v>
      </c>
      <c r="DF113" s="20" cm="1">
        <f t="array" ref="DF113">SUMPRODUCT(($BG$2:$BM$2=CY113)*($B$5:$B$35=CZ113)*($BG$5:$BM$35))</f>
        <v>9204.9452640886175</v>
      </c>
      <c r="DG113" s="20">
        <f t="shared" si="76"/>
        <v>7040.835655117804</v>
      </c>
      <c r="DH113" s="20" cm="1">
        <f t="array" ref="DH113">IF(CZ113=2023,SUMPRODUCT(($B$5:$B$35=CZ113-1)*($BN$5:$BN$35))-SUMPRODUCT(($BG$2:$BM$2=CY113)*($B$5:$B$35=CZ113-1)*($BG$5:$BM$35)),DG112)</f>
        <v>7286.6840232820887</v>
      </c>
      <c r="DI113" s="18">
        <f t="shared" ca="1" si="77"/>
        <v>603.30000527991501</v>
      </c>
      <c r="DJ113" s="89">
        <f t="shared" si="78"/>
        <v>8.8594821431187327</v>
      </c>
      <c r="DK113" s="89">
        <f t="shared" si="66"/>
        <v>8.8938038550287626</v>
      </c>
      <c r="DL113" s="89">
        <f t="shared" ca="1" si="67"/>
        <v>6.4024145941984401</v>
      </c>
      <c r="DM113" s="20">
        <f t="shared" ca="1" si="68"/>
        <v>9013.8979697778323</v>
      </c>
      <c r="DN113" s="20">
        <f t="shared" ca="1" si="79"/>
        <v>9964.8725389031279</v>
      </c>
      <c r="DO113" s="20">
        <f t="shared" ca="1" si="70"/>
        <v>9489.3852543404792</v>
      </c>
      <c r="DP113" s="113"/>
      <c r="DQ113" s="2"/>
      <c r="DR113" s="3"/>
    </row>
    <row r="114" spans="1:126" x14ac:dyDescent="0.25">
      <c r="A114">
        <v>0.5</v>
      </c>
      <c r="C114" s="190">
        <f>IF(C113*(1+A114*Model!$B$19*IF(Model!$B$28=0,1,((Model!$B$28-B114)/(Model!$B$28-$B$9))))&gt;Model!$B$44,C113*(1+A114*Model!$B$19*IF(Model!$B$28=0,1,((Model!$B$28-B114)/(Model!$B$28-$B$9)))),Model!$B$44)</f>
        <v>50</v>
      </c>
      <c r="H114" s="17"/>
      <c r="O114" s="18"/>
      <c r="CY114" s="20" t="str">
        <f t="shared" si="72"/>
        <v>Demo path - C price $250 3%</v>
      </c>
      <c r="CZ114" s="3">
        <f t="shared" si="73"/>
        <v>2048</v>
      </c>
      <c r="DA114" s="18">
        <f t="shared" si="71"/>
        <v>0</v>
      </c>
      <c r="DB114" s="18">
        <f ca="1">(K33+IF($DB$3&gt;0,NPV($DB$2,K34:OFFSET(K33,$DB$3,0)),0))/($DB$3+1)</f>
        <v>621.39900543831254</v>
      </c>
      <c r="DC114" s="18">
        <f t="shared" ca="1" si="64"/>
        <v>371.39900543831254</v>
      </c>
      <c r="DD114" s="18">
        <f t="shared" si="75"/>
        <v>250</v>
      </c>
      <c r="DE114" s="20">
        <f t="shared" si="74"/>
        <v>15581.870841314774</v>
      </c>
      <c r="DF114" s="20" cm="1">
        <f t="array" ref="DF114">SUMPRODUCT(($BG$2:$BM$2=CY114)*($B$5:$B$35=CZ114)*($BG$5:$BM$35))</f>
        <v>8726.2616850406903</v>
      </c>
      <c r="DG114" s="20">
        <f t="shared" si="76"/>
        <v>6855.6091562740839</v>
      </c>
      <c r="DH114" s="20" cm="1">
        <f t="array" ref="DH114">IF(CZ114=2023,SUMPRODUCT(($B$5:$B$35=CZ114-1)*($BN$5:$BN$35))-SUMPRODUCT(($BG$2:$BM$2=CY114)*($B$5:$B$35=CZ114-1)*($BG$5:$BM$35)),DG113)</f>
        <v>7040.835655117804</v>
      </c>
      <c r="DI114" s="18">
        <f t="shared" ca="1" si="77"/>
        <v>621.39900543831254</v>
      </c>
      <c r="DJ114" s="89">
        <f t="shared" si="78"/>
        <v>8.8328224511080045</v>
      </c>
      <c r="DK114" s="89">
        <f t="shared" si="66"/>
        <v>8.8594821431187327</v>
      </c>
      <c r="DL114" s="89">
        <f t="shared" ca="1" si="67"/>
        <v>6.4319733964399841</v>
      </c>
      <c r="DM114" s="20">
        <f t="shared" ca="1" si="68"/>
        <v>9371.3687769218213</v>
      </c>
      <c r="DN114" s="20">
        <f t="shared" ca="1" si="79"/>
        <v>10176.84435754351</v>
      </c>
      <c r="DO114" s="20">
        <f t="shared" ca="1" si="70"/>
        <v>9774.1065672326658</v>
      </c>
      <c r="DP114" s="113"/>
      <c r="DQ114" s="2"/>
      <c r="DR114" s="3"/>
      <c r="DT114" s="20"/>
      <c r="DU114" s="18"/>
      <c r="DV114" s="20"/>
    </row>
    <row r="115" spans="1:126" x14ac:dyDescent="0.25">
      <c r="A115">
        <v>0.5</v>
      </c>
      <c r="C115" s="190">
        <f>IF(C114*(1+A115*Model!$B$19*IF(Model!$B$28=0,1,((Model!$B$28-B115)/(Model!$B$28-$B$9))))&gt;Model!$B$44,C114*(1+A115*Model!$B$19*IF(Model!$B$28=0,1,((Model!$B$28-B115)/(Model!$B$28-$B$9)))),Model!$B$44)</f>
        <v>50</v>
      </c>
      <c r="H115" s="17"/>
      <c r="O115" s="18"/>
      <c r="CY115" s="20" t="str">
        <f t="shared" si="72"/>
        <v>Demo path - C price $250 3%</v>
      </c>
      <c r="CZ115" s="3">
        <f t="shared" si="73"/>
        <v>2049</v>
      </c>
      <c r="DA115" s="18">
        <f t="shared" si="71"/>
        <v>0</v>
      </c>
      <c r="DB115" s="18">
        <f ca="1">(K34+IF($DB$3&gt;0,NPV($DB$2,K35:OFFSET(K34,$DB$3,0)),0))/($DB$3+1)</f>
        <v>640.04097560146192</v>
      </c>
      <c r="DC115" s="18">
        <f t="shared" ca="1" si="64"/>
        <v>390.04097560146192</v>
      </c>
      <c r="DD115" s="18">
        <f t="shared" si="75"/>
        <v>250</v>
      </c>
      <c r="DE115" s="20">
        <f t="shared" si="74"/>
        <v>15012.992887840681</v>
      </c>
      <c r="DF115" s="20" cm="1">
        <f t="array" ref="DF115">SUMPRODUCT(($BG$2:$BM$2=CY115)*($B$5:$B$35=CZ115)*($BG$5:$BM$35))</f>
        <v>8306.6681406908319</v>
      </c>
      <c r="DG115" s="20">
        <f t="shared" si="76"/>
        <v>6706.3247471498489</v>
      </c>
      <c r="DH115" s="20" cm="1">
        <f t="array" ref="DH115">IF(CZ115=2023,SUMPRODUCT(($B$5:$B$35=CZ115-1)*($BN$5:$BN$35))-SUMPRODUCT(($BG$2:$BM$2=CY115)*($B$5:$B$35=CZ115-1)*($BG$5:$BM$35)),DG114)</f>
        <v>6855.6091562740839</v>
      </c>
      <c r="DI115" s="18">
        <f t="shared" ca="1" si="77"/>
        <v>640.04097560146192</v>
      </c>
      <c r="DJ115" s="89">
        <f t="shared" si="78"/>
        <v>8.8108063522106264</v>
      </c>
      <c r="DK115" s="89">
        <f t="shared" si="66"/>
        <v>8.8328224511080045</v>
      </c>
      <c r="DL115" s="89">
        <f t="shared" ca="1" si="67"/>
        <v>6.4615321986815291</v>
      </c>
      <c r="DM115" s="20">
        <f t="shared" ca="1" si="68"/>
        <v>9734.3557505737481</v>
      </c>
      <c r="DN115" s="20">
        <f t="shared" ca="1" si="79"/>
        <v>10393.304061801206</v>
      </c>
      <c r="DO115" s="20">
        <f t="shared" ca="1" si="70"/>
        <v>10063.829906187477</v>
      </c>
      <c r="DP115" s="113"/>
      <c r="DQ115" s="2"/>
      <c r="DR115" s="3"/>
      <c r="DT115" s="20"/>
      <c r="DU115" s="18"/>
      <c r="DV115" s="20"/>
    </row>
    <row r="116" spans="1:126" x14ac:dyDescent="0.25">
      <c r="A116">
        <v>0.5</v>
      </c>
      <c r="C116" s="190">
        <f>IF(C115*(1+A116*Model!$B$19*IF(Model!$B$28=0,1,((Model!$B$28-B116)/(Model!$B$28-$B$9))))&gt;Model!$B$44,C115*(1+A116*Model!$B$19*IF(Model!$B$28=0,1,((Model!$B$28-B116)/(Model!$B$28-$B$9)))),Model!$B$44)</f>
        <v>50</v>
      </c>
      <c r="H116" s="17"/>
      <c r="O116" s="18"/>
      <c r="CY116" s="94" t="str">
        <f t="shared" si="72"/>
        <v>Demo path - C price $250 3%</v>
      </c>
      <c r="CZ116" s="3">
        <f t="shared" si="73"/>
        <v>2050</v>
      </c>
      <c r="DA116" s="18">
        <f t="shared" si="71"/>
        <v>0</v>
      </c>
      <c r="DB116" s="18">
        <f ca="1">(K35+IF($DB$3&gt;0,NPV($DB$2,K36:OFFSET(K35,$DB$3,0)),0))/($DB$3+1)</f>
        <v>659.24220486950583</v>
      </c>
      <c r="DC116" s="18">
        <f t="shared" ca="1" si="64"/>
        <v>409.24220486950583</v>
      </c>
      <c r="DD116" s="18">
        <f t="shared" si="75"/>
        <v>250</v>
      </c>
      <c r="DE116" s="20">
        <f t="shared" si="74"/>
        <v>14477.451467153383</v>
      </c>
      <c r="DF116" s="20" cm="1">
        <f t="array" ref="DF116">SUMPRODUCT(($BG$2:$BM$2=CY116)*($B$5:$B$35=CZ116)*($BG$5:$BM$35))</f>
        <v>7947.442146554672</v>
      </c>
      <c r="DG116" s="20">
        <f t="shared" si="76"/>
        <v>6530.0093205987114</v>
      </c>
      <c r="DH116" s="20" cm="1">
        <f t="array" ref="DH116">IF(CZ116=2023,SUMPRODUCT(($B$5:$B$35=CZ116-1)*($BN$5:$BN$35))-SUMPRODUCT(($BG$2:$BM$2=CY116)*($B$5:$B$35=CZ116-1)*($BG$5:$BM$35)),DG115)</f>
        <v>6706.3247471498489</v>
      </c>
      <c r="DI116" s="18">
        <f t="shared" ca="1" si="77"/>
        <v>659.24220486950583</v>
      </c>
      <c r="DJ116" s="89">
        <f t="shared" si="78"/>
        <v>8.7841636496199502</v>
      </c>
      <c r="DK116" s="89">
        <f t="shared" si="66"/>
        <v>8.8108063522106264</v>
      </c>
      <c r="DL116" s="89">
        <f t="shared" ca="1" si="67"/>
        <v>6.4910910009230731</v>
      </c>
      <c r="DM116" s="20">
        <f t="shared" ca="1" si="68"/>
        <v>10103.33593940866</v>
      </c>
      <c r="DN116" s="20">
        <f t="shared" ca="1" si="79"/>
        <v>10614.354663460061</v>
      </c>
      <c r="DO116" s="20">
        <f t="shared" ca="1" si="70"/>
        <v>10358.845301434361</v>
      </c>
      <c r="DP116" s="113"/>
      <c r="DQ116" s="2"/>
      <c r="DR116" s="3"/>
      <c r="DT116" s="20"/>
      <c r="DU116" s="18"/>
      <c r="DV116" s="20"/>
    </row>
    <row r="117" spans="1:126" x14ac:dyDescent="0.25">
      <c r="A117">
        <v>0.5</v>
      </c>
      <c r="C117" s="190">
        <f>IF(C116*(1+A117*Model!$B$19*IF(Model!$B$28=0,1,((Model!$B$28-B117)/(Model!$B$28-$B$9))))&gt;Model!$B$44,C116*(1+A117*Model!$B$19*IF(Model!$B$28=0,1,((Model!$B$28-B117)/(Model!$B$28-$B$9)))),Model!$B$44)</f>
        <v>50</v>
      </c>
      <c r="H117" s="17"/>
      <c r="O117" s="18"/>
      <c r="CY117" s="20" t="str">
        <f>L2</f>
        <v>Demo path - C price $300 3%</v>
      </c>
      <c r="CZ117" s="3">
        <f t="shared" si="73"/>
        <v>2023</v>
      </c>
      <c r="DA117" s="18">
        <f t="shared" si="71"/>
        <v>0</v>
      </c>
      <c r="DB117" s="18">
        <f ca="1">(L8+IF($DB$3&gt;0,NPV($DB$2,L9:OFFSET(L8,$DB$3,0)),0))/($DB$3+1)</f>
        <v>356.14035087719293</v>
      </c>
      <c r="DC117" s="18">
        <f t="shared" ca="1" si="64"/>
        <v>56.14035087719293</v>
      </c>
      <c r="DD117" s="18">
        <v>300</v>
      </c>
      <c r="DE117" s="20">
        <f t="shared" si="74"/>
        <v>37354.602072444766</v>
      </c>
      <c r="DF117" s="20" cm="1">
        <f t="array" ref="DF117">SUMPRODUCT(($BG$2:$BM$2=CY117)*($B$5:$B$35=CZ117)*($BG$5:$BM$35))</f>
        <v>36251.285191763469</v>
      </c>
      <c r="DG117" s="20">
        <f t="shared" si="76"/>
        <v>1103.3168806812973</v>
      </c>
      <c r="DH117" s="20" cm="1">
        <f t="array" ref="DH117">IF(CZ117=2023,SUMPRODUCT(($B$5:$B$35=CZ117-1)*($BN$5:$BN$35))-SUMPRODUCT(($BG$2:$BM$2=CY117)*($B$5:$B$35=CZ117-1)*($BG$5:$BM$35)),DG116)</f>
        <v>237.20944703478017</v>
      </c>
      <c r="DI117" s="18">
        <f t="shared" ca="1" si="77"/>
        <v>356.14035087719293</v>
      </c>
      <c r="DJ117" s="89">
        <f t="shared" si="78"/>
        <v>7.0060762678226007</v>
      </c>
      <c r="DK117" s="89">
        <f t="shared" si="66"/>
        <v>5.4689434936271972</v>
      </c>
      <c r="DL117" s="89">
        <f t="shared" ca="1" si="67"/>
        <v>5.8753248971953287</v>
      </c>
      <c r="DM117" s="20">
        <f t="shared" ca="1" si="68"/>
        <v>736.95444623066567</v>
      </c>
      <c r="DN117" s="20">
        <f t="shared" ca="1" si="79"/>
        <v>894.33598178296813</v>
      </c>
      <c r="DO117" s="20">
        <f t="shared" ca="1" si="70"/>
        <v>815.6452140068169</v>
      </c>
      <c r="DP117" s="113"/>
      <c r="DQ117" s="2"/>
      <c r="DR117" s="3"/>
      <c r="DT117" s="20"/>
      <c r="DU117" s="18"/>
      <c r="DV117" s="20"/>
    </row>
    <row r="118" spans="1:126" x14ac:dyDescent="0.25">
      <c r="A118">
        <v>0.5</v>
      </c>
      <c r="C118" s="190">
        <f>IF(C117*(1+A118*Model!$B$19*IF(Model!$B$28=0,1,((Model!$B$28-B118)/(Model!$B$28-$B$9))))&gt;Model!$B$44,C117*(1+A118*Model!$B$19*IF(Model!$B$28=0,1,((Model!$B$28-B118)/(Model!$B$28-$B$9)))),Model!$B$44)</f>
        <v>50</v>
      </c>
      <c r="H118" s="17"/>
      <c r="O118" s="18"/>
      <c r="CY118" s="20" t="str">
        <f>CY117</f>
        <v>Demo path - C price $300 3%</v>
      </c>
      <c r="CZ118" s="3">
        <f t="shared" si="73"/>
        <v>2024</v>
      </c>
      <c r="DA118" s="18">
        <f t="shared" si="71"/>
        <v>0</v>
      </c>
      <c r="DB118" s="18">
        <f ca="1">(L9+IF($DB$3&gt;0,NPV($DB$2,L10:OFFSET(L9,$DB$3,0)),0))/($DB$3+1)</f>
        <v>366.82456140350877</v>
      </c>
      <c r="DC118" s="18">
        <f t="shared" ca="1" si="64"/>
        <v>66.824561403508767</v>
      </c>
      <c r="DD118" s="18">
        <f t="shared" si="75"/>
        <v>300</v>
      </c>
      <c r="DE118" s="20">
        <f t="shared" si="74"/>
        <v>36520.25063854071</v>
      </c>
      <c r="DF118" s="20" cm="1">
        <f t="array" ref="DF118">SUMPRODUCT(($BG$2:$BM$2=CY118)*($B$5:$B$35=CZ118)*($BG$5:$BM$35))</f>
        <v>33475.924942439015</v>
      </c>
      <c r="DG118" s="20">
        <f t="shared" si="76"/>
        <v>3044.3256961016959</v>
      </c>
      <c r="DH118" s="20" cm="1">
        <f t="array" ref="DH118">IF(CZ118=2023,SUMPRODUCT(($B$5:$B$35=CZ118-1)*($BN$5:$BN$35))-SUMPRODUCT(($BG$2:$BM$2=CY118)*($B$5:$B$35=CZ118-1)*($BG$5:$BM$35)),DG117)</f>
        <v>1103.3168806812973</v>
      </c>
      <c r="DI118" s="18">
        <f t="shared" ca="1" si="77"/>
        <v>366.82456140350877</v>
      </c>
      <c r="DJ118" s="89">
        <f t="shared" si="78"/>
        <v>8.0210347093491308</v>
      </c>
      <c r="DK118" s="89">
        <f t="shared" si="66"/>
        <v>7.0060762678226007</v>
      </c>
      <c r="DL118" s="89">
        <f t="shared" ca="1" si="67"/>
        <v>5.9048836994368727</v>
      </c>
      <c r="DM118" s="20">
        <f t="shared" ca="1" si="68"/>
        <v>1222.2205085520418</v>
      </c>
      <c r="DN118" s="20">
        <f t="shared" ca="1" si="79"/>
        <v>2023.7769321834719</v>
      </c>
      <c r="DO118" s="20">
        <f t="shared" ca="1" si="70"/>
        <v>1622.998720367757</v>
      </c>
      <c r="DP118" s="113"/>
      <c r="DQ118" s="2"/>
      <c r="DR118" s="3"/>
      <c r="DT118" s="20"/>
      <c r="DU118" s="18"/>
      <c r="DV118" s="20"/>
    </row>
    <row r="119" spans="1:126" x14ac:dyDescent="0.25">
      <c r="A119">
        <v>0.5</v>
      </c>
      <c r="C119" s="190">
        <f>IF(C118*(1+A119*Model!$B$19*IF(Model!$B$28=0,1,((Model!$B$28-B119)/(Model!$B$28-$B$9))))&gt;Model!$B$44,C118*(1+A119*Model!$B$19*IF(Model!$B$28=0,1,((Model!$B$28-B119)/(Model!$B$28-$B$9)))),Model!$B$44)</f>
        <v>50</v>
      </c>
      <c r="H119" s="17"/>
      <c r="O119" s="18"/>
      <c r="CY119" s="20" t="str">
        <f t="shared" ref="CY119:CY144" si="80">CY118</f>
        <v>Demo path - C price $300 3%</v>
      </c>
      <c r="CZ119" s="3">
        <f t="shared" si="73"/>
        <v>2025</v>
      </c>
      <c r="DA119" s="18">
        <f t="shared" si="71"/>
        <v>0</v>
      </c>
      <c r="DB119" s="18">
        <f ca="1">(L10+IF($DB$3&gt;0,NPV($DB$2,L11:OFFSET(L10,$DB$3,0)),0))/($DB$3+1)</f>
        <v>377.8292982456141</v>
      </c>
      <c r="DC119" s="18">
        <f t="shared" ca="1" si="64"/>
        <v>77.829298245614098</v>
      </c>
      <c r="DD119" s="18">
        <f t="shared" si="75"/>
        <v>300</v>
      </c>
      <c r="DE119" s="20">
        <f t="shared" si="74"/>
        <v>36119.314820792293</v>
      </c>
      <c r="DF119" s="20" cm="1">
        <f t="array" ref="DF119">SUMPRODUCT(($BG$2:$BM$2=CY119)*($B$5:$B$35=CZ119)*($BG$5:$BM$35))</f>
        <v>32216.995648548684</v>
      </c>
      <c r="DG119" s="20">
        <f t="shared" si="76"/>
        <v>3902.3191722436095</v>
      </c>
      <c r="DH119" s="20" cm="1">
        <f t="array" ref="DH119">IF(CZ119=2023,SUMPRODUCT(($B$5:$B$35=CZ119-1)*($BN$5:$BN$35))-SUMPRODUCT(($BG$2:$BM$2=CY119)*($B$5:$B$35=CZ119-1)*($BG$5:$BM$35)),DG118)</f>
        <v>3044.3256961016959</v>
      </c>
      <c r="DI119" s="18">
        <f t="shared" ca="1" si="77"/>
        <v>377.8292982456141</v>
      </c>
      <c r="DJ119" s="89">
        <f t="shared" si="78"/>
        <v>8.2693263149274543</v>
      </c>
      <c r="DK119" s="89">
        <f t="shared" si="66"/>
        <v>8.0210347093491308</v>
      </c>
      <c r="DL119" s="89">
        <f t="shared" ca="1" si="67"/>
        <v>5.9344425016784177</v>
      </c>
      <c r="DM119" s="20">
        <f t="shared" ca="1" si="68"/>
        <v>1694.3363721038775</v>
      </c>
      <c r="DN119" s="20">
        <f t="shared" ca="1" si="79"/>
        <v>3355.6285603089705</v>
      </c>
      <c r="DO119" s="20">
        <f t="shared" ca="1" si="70"/>
        <v>2524.9824662064239</v>
      </c>
      <c r="DP119" s="113"/>
      <c r="DQ119" s="2"/>
      <c r="DR119" s="3"/>
      <c r="DT119" s="20"/>
      <c r="DU119" s="18"/>
      <c r="DV119" s="20"/>
    </row>
    <row r="120" spans="1:126" x14ac:dyDescent="0.25">
      <c r="A120">
        <v>0.5</v>
      </c>
      <c r="C120" s="190">
        <f>IF(C119*(1+A120*Model!$B$19*IF(Model!$B$28=0,1,((Model!$B$28-B120)/(Model!$B$28-$B$9))))&gt;Model!$B$44,C119*(1+A120*Model!$B$19*IF(Model!$B$28=0,1,((Model!$B$28-B120)/(Model!$B$28-$B$9)))),Model!$B$44)</f>
        <v>50</v>
      </c>
      <c r="H120" s="17"/>
      <c r="O120" s="18"/>
      <c r="CY120" s="20" t="str">
        <f t="shared" si="80"/>
        <v>Demo path - C price $300 3%</v>
      </c>
      <c r="CZ120" s="3">
        <f t="shared" si="73"/>
        <v>2026</v>
      </c>
      <c r="DA120" s="18">
        <f t="shared" si="71"/>
        <v>0</v>
      </c>
      <c r="DB120" s="18">
        <f ca="1">(L11+IF($DB$3&gt;0,NPV($DB$2,L12:OFFSET(L11,$DB$3,0)),0))/($DB$3+1)</f>
        <v>389.16417719298238</v>
      </c>
      <c r="DC120" s="18">
        <f t="shared" ca="1" si="64"/>
        <v>89.164177192982379</v>
      </c>
      <c r="DD120" s="18">
        <f t="shared" si="75"/>
        <v>300</v>
      </c>
      <c r="DE120" s="20">
        <f t="shared" si="74"/>
        <v>35989.651978621361</v>
      </c>
      <c r="DF120" s="20" cm="1">
        <f t="array" ref="DF120">SUMPRODUCT(($BG$2:$BM$2=CY120)*($B$5:$B$35=CZ120)*($BG$5:$BM$35))</f>
        <v>31306.955900772686</v>
      </c>
      <c r="DG120" s="20">
        <f t="shared" si="76"/>
        <v>4682.6960778486755</v>
      </c>
      <c r="DH120" s="20" cm="1">
        <f t="array" ref="DH120">IF(CZ120=2023,SUMPRODUCT(($B$5:$B$35=CZ120-1)*($BN$5:$BN$35))-SUMPRODUCT(($BG$2:$BM$2=CY120)*($B$5:$B$35=CZ120-1)*($BG$5:$BM$35)),DG119)</f>
        <v>3902.3191722436095</v>
      </c>
      <c r="DI120" s="18">
        <f t="shared" ca="1" si="77"/>
        <v>389.16417719298238</v>
      </c>
      <c r="DJ120" s="89">
        <f t="shared" si="78"/>
        <v>8.4516293080488261</v>
      </c>
      <c r="DK120" s="89">
        <f t="shared" si="66"/>
        <v>8.2693263149274543</v>
      </c>
      <c r="DL120" s="89">
        <f t="shared" ca="1" si="67"/>
        <v>5.9640013039199617</v>
      </c>
      <c r="DM120" s="20">
        <f t="shared" ca="1" si="68"/>
        <v>2154.565160114309</v>
      </c>
      <c r="DN120" s="20">
        <f t="shared" ca="1" si="79"/>
        <v>4603.8398145541023</v>
      </c>
      <c r="DO120" s="20">
        <f t="shared" ca="1" si="70"/>
        <v>3379.2024873342057</v>
      </c>
      <c r="DP120" s="113"/>
      <c r="DQ120" s="2"/>
      <c r="DR120" s="3"/>
      <c r="DT120" s="20"/>
      <c r="DU120" s="18"/>
      <c r="DV120" s="20"/>
    </row>
    <row r="121" spans="1:126" x14ac:dyDescent="0.25">
      <c r="A121">
        <v>0.5</v>
      </c>
      <c r="C121" s="190">
        <f>IF(C120*(1+A121*Model!$B$19*IF(Model!$B$28=0,1,((Model!$B$28-B121)/(Model!$B$28-$B$9))))&gt;Model!$B$44,C120*(1+A121*Model!$B$19*IF(Model!$B$28=0,1,((Model!$B$28-B121)/(Model!$B$28-$B$9)))),Model!$B$44)</f>
        <v>50</v>
      </c>
      <c r="H121" s="17"/>
      <c r="O121" s="18"/>
      <c r="CY121" s="20" t="str">
        <f t="shared" si="80"/>
        <v>Demo path - C price $300 3%</v>
      </c>
      <c r="CZ121" s="3">
        <f t="shared" si="73"/>
        <v>2027</v>
      </c>
      <c r="DA121" s="18">
        <f t="shared" si="71"/>
        <v>0</v>
      </c>
      <c r="DB121" s="18">
        <f ca="1">(L12+IF($DB$3&gt;0,NPV($DB$2,L13:OFFSET(L12,$DB$3,0)),0))/($DB$3+1)</f>
        <v>400.83910250877193</v>
      </c>
      <c r="DC121" s="18">
        <f t="shared" ca="1" si="64"/>
        <v>100.83910250877193</v>
      </c>
      <c r="DD121" s="18">
        <f t="shared" si="75"/>
        <v>300</v>
      </c>
      <c r="DE121" s="20">
        <f t="shared" si="74"/>
        <v>35793.252751753469</v>
      </c>
      <c r="DF121" s="20" cm="1">
        <f t="array" ref="DF121">SUMPRODUCT(($BG$2:$BM$2=CY121)*($B$5:$B$35=CZ121)*($BG$5:$BM$35))</f>
        <v>30461.515125539863</v>
      </c>
      <c r="DG121" s="20">
        <f t="shared" si="76"/>
        <v>5331.7376262136058</v>
      </c>
      <c r="DH121" s="20" cm="1">
        <f t="array" ref="DH121">IF(CZ121=2023,SUMPRODUCT(($B$5:$B$35=CZ121-1)*($BN$5:$BN$35))-SUMPRODUCT(($BG$2:$BM$2=CY121)*($B$5:$B$35=CZ121-1)*($BG$5:$BM$35)),DG120)</f>
        <v>4682.6960778486755</v>
      </c>
      <c r="DI121" s="18">
        <f t="shared" ca="1" si="77"/>
        <v>400.83910250877193</v>
      </c>
      <c r="DJ121" s="89">
        <f t="shared" si="78"/>
        <v>8.5814324727010813</v>
      </c>
      <c r="DK121" s="89">
        <f t="shared" si="66"/>
        <v>8.4516293080488261</v>
      </c>
      <c r="DL121" s="89">
        <f t="shared" ca="1" si="67"/>
        <v>5.9935601061615058</v>
      </c>
      <c r="DM121" s="20">
        <f t="shared" ca="1" si="68"/>
        <v>2604.108722602653</v>
      </c>
      <c r="DN121" s="20">
        <f t="shared" ca="1" si="79"/>
        <v>5628.0194653147701</v>
      </c>
      <c r="DO121" s="20">
        <f t="shared" ca="1" si="70"/>
        <v>4116.064093958712</v>
      </c>
      <c r="DP121" s="113"/>
      <c r="DQ121" s="2"/>
      <c r="DR121" s="3"/>
      <c r="DT121" s="20"/>
      <c r="DU121" s="18"/>
      <c r="DV121" s="20"/>
    </row>
    <row r="122" spans="1:126" x14ac:dyDescent="0.25">
      <c r="A122">
        <v>0.5</v>
      </c>
      <c r="C122" s="190">
        <f>IF(C121*(1+A122*Model!$B$19*IF(Model!$B$28=0,1,((Model!$B$28-B122)/(Model!$B$28-$B$9))))&gt;Model!$B$44,C121*(1+A122*Model!$B$19*IF(Model!$B$28=0,1,((Model!$B$28-B122)/(Model!$B$28-$B$9)))),Model!$B$44)</f>
        <v>50</v>
      </c>
      <c r="H122" s="17"/>
      <c r="O122" s="18"/>
      <c r="CY122" s="20" t="str">
        <f t="shared" si="80"/>
        <v>Demo path - C price $300 3%</v>
      </c>
      <c r="CZ122" s="3">
        <f t="shared" si="73"/>
        <v>2028</v>
      </c>
      <c r="DA122" s="18">
        <f t="shared" si="71"/>
        <v>0</v>
      </c>
      <c r="DB122" s="18">
        <f ca="1">(L13+IF($DB$3&gt;0,NPV($DB$2,L14:OFFSET(L13,$DB$3,0)),0))/($DB$3+1)</f>
        <v>412.86427558403506</v>
      </c>
      <c r="DC122" s="18">
        <f t="shared" ca="1" si="64"/>
        <v>112.86427558403506</v>
      </c>
      <c r="DD122" s="18">
        <f t="shared" si="75"/>
        <v>300</v>
      </c>
      <c r="DE122" s="20">
        <f t="shared" si="74"/>
        <v>35511.189170281767</v>
      </c>
      <c r="DF122" s="20" cm="1">
        <f t="array" ref="DF122">SUMPRODUCT(($BG$2:$BM$2=CY122)*($B$5:$B$35=CZ122)*($BG$5:$BM$35))</f>
        <v>29235.872007702867</v>
      </c>
      <c r="DG122" s="20">
        <f t="shared" si="76"/>
        <v>6275.3171625789</v>
      </c>
      <c r="DH122" s="20" cm="1">
        <f t="array" ref="DH122">IF(CZ122=2023,SUMPRODUCT(($B$5:$B$35=CZ122-1)*($BN$5:$BN$35))-SUMPRODUCT(($BG$2:$BM$2=CY122)*($B$5:$B$35=CZ122-1)*($BG$5:$BM$35)),DG121)</f>
        <v>5331.7376262136058</v>
      </c>
      <c r="DI122" s="18">
        <f t="shared" ca="1" si="77"/>
        <v>412.86427558403506</v>
      </c>
      <c r="DJ122" s="89">
        <f t="shared" si="78"/>
        <v>8.7443793065599635</v>
      </c>
      <c r="DK122" s="89">
        <f t="shared" si="66"/>
        <v>8.5814324727010813</v>
      </c>
      <c r="DL122" s="89">
        <f t="shared" ca="1" si="67"/>
        <v>6.0231189084030508</v>
      </c>
      <c r="DM122" s="20">
        <f t="shared" ca="1" si="68"/>
        <v>3044.111730797762</v>
      </c>
      <c r="DN122" s="20">
        <f t="shared" ca="1" si="79"/>
        <v>6413.0754708049781</v>
      </c>
      <c r="DO122" s="20">
        <f t="shared" ca="1" si="70"/>
        <v>4728.5936008013705</v>
      </c>
      <c r="DP122" s="113"/>
      <c r="DQ122" s="2"/>
      <c r="DR122" s="3"/>
      <c r="DT122" s="20"/>
      <c r="DU122" s="18"/>
      <c r="DV122" s="20"/>
    </row>
    <row r="123" spans="1:126" x14ac:dyDescent="0.25">
      <c r="A123">
        <v>0.5</v>
      </c>
      <c r="C123" s="190">
        <f>IF(C122*(1+A123*Model!$B$19*IF(Model!$B$28=0,1,((Model!$B$28-B123)/(Model!$B$28-$B$9))))&gt;Model!$B$44,C122*(1+A123*Model!$B$19*IF(Model!$B$28=0,1,((Model!$B$28-B123)/(Model!$B$28-$B$9)))),Model!$B$44)</f>
        <v>50</v>
      </c>
      <c r="H123" s="17"/>
      <c r="O123" s="18"/>
      <c r="CY123" s="20" t="str">
        <f t="shared" si="80"/>
        <v>Demo path - C price $300 3%</v>
      </c>
      <c r="CZ123" s="3">
        <f t="shared" si="73"/>
        <v>2029</v>
      </c>
      <c r="DA123" s="18">
        <f t="shared" si="71"/>
        <v>0</v>
      </c>
      <c r="DB123" s="18">
        <f ca="1">(L14+IF($DB$3&gt;0,NPV($DB$2,L15:OFFSET(L14,$DB$3,0)),0))/($DB$3+1)</f>
        <v>425.25020385155619</v>
      </c>
      <c r="DC123" s="18">
        <f t="shared" ca="1" si="64"/>
        <v>125.25020385155619</v>
      </c>
      <c r="DD123" s="18">
        <f t="shared" si="75"/>
        <v>300</v>
      </c>
      <c r="DE123" s="20">
        <f t="shared" si="74"/>
        <v>35177.841893805635</v>
      </c>
      <c r="DF123" s="20" cm="1">
        <f t="array" ref="DF123">SUMPRODUCT(($BG$2:$BM$2=CY123)*($B$5:$B$35=CZ123)*($BG$5:$BM$35))</f>
        <v>28045.288353242715</v>
      </c>
      <c r="DG123" s="20">
        <f t="shared" si="76"/>
        <v>7132.5535405629198</v>
      </c>
      <c r="DH123" s="20" cm="1">
        <f t="array" ref="DH123">IF(CZ123=2023,SUMPRODUCT(($B$5:$B$35=CZ123-1)*($BN$5:$BN$35))-SUMPRODUCT(($BG$2:$BM$2=CY123)*($B$5:$B$35=CZ123-1)*($BG$5:$BM$35)),DG122)</f>
        <v>6275.3171625789</v>
      </c>
      <c r="DI123" s="18">
        <f t="shared" ca="1" si="77"/>
        <v>425.25020385155619</v>
      </c>
      <c r="DJ123" s="89">
        <f t="shared" si="78"/>
        <v>8.8724245896228062</v>
      </c>
      <c r="DK123" s="89">
        <f t="shared" si="66"/>
        <v>8.7443793065599635</v>
      </c>
      <c r="DL123" s="89">
        <f t="shared" ca="1" si="67"/>
        <v>6.0526777106445948</v>
      </c>
      <c r="DM123" s="20">
        <f t="shared" ca="1" si="68"/>
        <v>3475.6655394729887</v>
      </c>
      <c r="DN123" s="20">
        <f t="shared" ca="1" si="79"/>
        <v>7001.37450748224</v>
      </c>
      <c r="DO123" s="20">
        <f t="shared" ca="1" si="70"/>
        <v>5238.5200234776148</v>
      </c>
      <c r="DP123" s="113"/>
      <c r="DQ123" s="2"/>
      <c r="DR123" s="3"/>
      <c r="DT123" s="20"/>
      <c r="DU123" s="18"/>
      <c r="DV123" s="20"/>
    </row>
    <row r="124" spans="1:126" x14ac:dyDescent="0.25">
      <c r="A124">
        <v>0.5</v>
      </c>
      <c r="C124" s="190">
        <f>IF(C123*(1+A124*Model!$B$19*IF(Model!$B$28=0,1,((Model!$B$28-B124)/(Model!$B$28-$B$9))))&gt;Model!$B$44,C123*(1+A124*Model!$B$19*IF(Model!$B$28=0,1,((Model!$B$28-B124)/(Model!$B$28-$B$9)))),Model!$B$44)</f>
        <v>50</v>
      </c>
      <c r="H124" s="17"/>
      <c r="O124" s="18"/>
      <c r="CY124" s="20" t="str">
        <f t="shared" si="80"/>
        <v>Demo path - C price $300 3%</v>
      </c>
      <c r="CZ124" s="3">
        <f t="shared" si="73"/>
        <v>2030</v>
      </c>
      <c r="DA124" s="18">
        <f t="shared" si="71"/>
        <v>0</v>
      </c>
      <c r="DB124" s="18">
        <f ca="1">(L15+IF($DB$3&gt;0,NPV($DB$2,L16:OFFSET(L15,$DB$3,0)),0))/($DB$3+1)</f>
        <v>438.00770996710287</v>
      </c>
      <c r="DC124" s="18">
        <f t="shared" ca="1" si="64"/>
        <v>138.00770996710287</v>
      </c>
      <c r="DD124" s="18">
        <f t="shared" si="75"/>
        <v>300</v>
      </c>
      <c r="DE124" s="20">
        <f t="shared" si="74"/>
        <v>33772.256001092159</v>
      </c>
      <c r="DF124" s="20" cm="1">
        <f t="array" ref="DF124">SUMPRODUCT(($BG$2:$BM$2=CY124)*($B$5:$B$35=CZ124)*($BG$5:$BM$35))</f>
        <v>25638.262778598968</v>
      </c>
      <c r="DG124" s="20">
        <f t="shared" si="76"/>
        <v>8133.9932224931908</v>
      </c>
      <c r="DH124" s="20" cm="1">
        <f t="array" ref="DH124">IF(CZ124=2023,SUMPRODUCT(($B$5:$B$35=CZ124-1)*($BN$5:$BN$35))-SUMPRODUCT(($BG$2:$BM$2=CY124)*($B$5:$B$35=CZ124-1)*($BG$5:$BM$35)),DG123)</f>
        <v>7132.5535405629198</v>
      </c>
      <c r="DI124" s="18">
        <f t="shared" ca="1" si="77"/>
        <v>438.00770996710287</v>
      </c>
      <c r="DJ124" s="89">
        <f t="shared" si="78"/>
        <v>9.0038072532351023</v>
      </c>
      <c r="DK124" s="89">
        <f t="shared" si="66"/>
        <v>8.8724245896228062</v>
      </c>
      <c r="DL124" s="89">
        <f t="shared" ca="1" si="67"/>
        <v>6.0822365128861398</v>
      </c>
      <c r="DM124" s="20">
        <f t="shared" ca="1" si="68"/>
        <v>3899.8118314679314</v>
      </c>
      <c r="DN124" s="20">
        <f t="shared" ca="1" si="79"/>
        <v>7446.8742388807868</v>
      </c>
      <c r="DO124" s="20">
        <f t="shared" ca="1" si="70"/>
        <v>5673.3430351743591</v>
      </c>
      <c r="DP124" s="113"/>
      <c r="DQ124" s="2"/>
      <c r="DR124" s="3"/>
      <c r="DT124" s="20"/>
      <c r="DU124" s="18"/>
      <c r="DV124" s="20"/>
    </row>
    <row r="125" spans="1:126" x14ac:dyDescent="0.25">
      <c r="A125">
        <v>0.5</v>
      </c>
      <c r="C125" s="190">
        <f>IF(C124*(1+A125*Model!$B$19*IF(Model!$B$28=0,1,((Model!$B$28-B125)/(Model!$B$28-$B$9))))&gt;Model!$B$44,C124*(1+A125*Model!$B$19*IF(Model!$B$28=0,1,((Model!$B$28-B125)/(Model!$B$28-$B$9)))),Model!$B$44)</f>
        <v>50</v>
      </c>
      <c r="H125" s="17"/>
      <c r="O125" s="18"/>
      <c r="CY125" s="20" t="str">
        <f t="shared" si="80"/>
        <v>Demo path - C price $300 3%</v>
      </c>
      <c r="CZ125" s="3">
        <f t="shared" si="73"/>
        <v>2031</v>
      </c>
      <c r="DA125" s="18">
        <f t="shared" si="71"/>
        <v>0</v>
      </c>
      <c r="DB125" s="18">
        <f ca="1">(L16+IF($DB$3&gt;0,NPV($DB$2,L17:OFFSET(L16,$DB$3,0)),0))/($DB$3+1)</f>
        <v>451.14794126611594</v>
      </c>
      <c r="DC125" s="18">
        <f t="shared" ca="1" si="64"/>
        <v>151.14794126611594</v>
      </c>
      <c r="DD125" s="18">
        <f t="shared" si="75"/>
        <v>300</v>
      </c>
      <c r="DE125" s="20">
        <f t="shared" si="74"/>
        <v>32544.850715439803</v>
      </c>
      <c r="DF125" s="20" cm="1">
        <f t="array" ref="DF125">SUMPRODUCT(($BG$2:$BM$2=CY125)*($B$5:$B$35=CZ125)*($BG$5:$BM$35))</f>
        <v>24214.324672287879</v>
      </c>
      <c r="DG125" s="20">
        <f t="shared" si="76"/>
        <v>8330.5260431519237</v>
      </c>
      <c r="DH125" s="20" cm="1">
        <f t="array" ref="DH125">IF(CZ125=2023,SUMPRODUCT(($B$5:$B$35=CZ125-1)*($BN$5:$BN$35))-SUMPRODUCT(($BG$2:$BM$2=CY125)*($B$5:$B$35=CZ125-1)*($BG$5:$BM$35)),DG124)</f>
        <v>8133.9932224931908</v>
      </c>
      <c r="DI125" s="18">
        <f t="shared" ca="1" si="77"/>
        <v>451.14794126611594</v>
      </c>
      <c r="DJ125" s="89">
        <f t="shared" si="78"/>
        <v>9.0276818836053891</v>
      </c>
      <c r="DK125" s="89">
        <f t="shared" si="66"/>
        <v>9.0038072532351023</v>
      </c>
      <c r="DL125" s="89">
        <f t="shared" ca="1" si="67"/>
        <v>6.1117953151276838</v>
      </c>
      <c r="DM125" s="20">
        <f t="shared" ca="1" si="68"/>
        <v>4317.5460578250177</v>
      </c>
      <c r="DN125" s="20">
        <f t="shared" ca="1" si="79"/>
        <v>7795.8854391372925</v>
      </c>
      <c r="DO125" s="20">
        <f t="shared" ca="1" si="70"/>
        <v>6056.7157484811551</v>
      </c>
      <c r="DP125" s="113"/>
      <c r="DQ125" s="2"/>
      <c r="DR125" s="3"/>
      <c r="DT125" s="20"/>
      <c r="DU125" s="18"/>
      <c r="DV125" s="20"/>
    </row>
    <row r="126" spans="1:126" x14ac:dyDescent="0.25">
      <c r="A126">
        <v>0.5</v>
      </c>
      <c r="C126" s="190">
        <f>IF(C125*(1+A126*Model!$B$19*IF(Model!$B$28=0,1,((Model!$B$28-B126)/(Model!$B$28-$B$9))))&gt;Model!$B$44,C125*(1+A126*Model!$B$19*IF(Model!$B$28=0,1,((Model!$B$28-B126)/(Model!$B$28-$B$9)))),Model!$B$44)</f>
        <v>50</v>
      </c>
      <c r="H126" s="17"/>
      <c r="O126" s="18"/>
      <c r="CY126" s="20" t="str">
        <f t="shared" si="80"/>
        <v>Demo path - C price $300 3%</v>
      </c>
      <c r="CZ126" s="3">
        <f t="shared" si="73"/>
        <v>2032</v>
      </c>
      <c r="DA126" s="18">
        <f t="shared" si="71"/>
        <v>0</v>
      </c>
      <c r="DB126" s="18">
        <f ca="1">(L17+IF($DB$3&gt;0,NPV($DB$2,L18:OFFSET(L17,$DB$3,0)),0))/($DB$3+1)</f>
        <v>464.68237950409946</v>
      </c>
      <c r="DC126" s="18">
        <f t="shared" ca="1" si="64"/>
        <v>164.68237950409946</v>
      </c>
      <c r="DD126" s="18">
        <f t="shared" si="75"/>
        <v>300</v>
      </c>
      <c r="DE126" s="20">
        <f t="shared" si="74"/>
        <v>31317.445429787447</v>
      </c>
      <c r="DF126" s="20" cm="1">
        <f t="array" ref="DF126">SUMPRODUCT(($BG$2:$BM$2=CY126)*($B$5:$B$35=CZ126)*($BG$5:$BM$35))</f>
        <v>22946.710289119012</v>
      </c>
      <c r="DG126" s="20">
        <f t="shared" si="76"/>
        <v>8370.7351406684356</v>
      </c>
      <c r="DH126" s="20" cm="1">
        <f t="array" ref="DH126">IF(CZ126=2023,SUMPRODUCT(($B$5:$B$35=CZ126-1)*($BN$5:$BN$35))-SUMPRODUCT(($BG$2:$BM$2=CY126)*($B$5:$B$35=CZ126-1)*($BG$5:$BM$35)),DG125)</f>
        <v>8330.5260431519237</v>
      </c>
      <c r="DI126" s="18">
        <f t="shared" ca="1" si="77"/>
        <v>464.68237950409946</v>
      </c>
      <c r="DJ126" s="89">
        <f t="shared" si="78"/>
        <v>9.0324969900529908</v>
      </c>
      <c r="DK126" s="89">
        <f t="shared" si="66"/>
        <v>9.0276818836053891</v>
      </c>
      <c r="DL126" s="89">
        <f t="shared" ca="1" si="67"/>
        <v>6.1413541173692288</v>
      </c>
      <c r="DM126" s="20">
        <f t="shared" ca="1" si="68"/>
        <v>4729.8206861775761</v>
      </c>
      <c r="DN126" s="20">
        <f t="shared" ca="1" si="79"/>
        <v>8082.6587237750218</v>
      </c>
      <c r="DO126" s="20">
        <f t="shared" ca="1" si="70"/>
        <v>6406.2397049762985</v>
      </c>
      <c r="DP126" s="113"/>
      <c r="DQ126" s="2"/>
      <c r="DR126" s="3"/>
      <c r="DT126" s="20"/>
      <c r="DU126" s="18"/>
      <c r="DV126" s="20"/>
    </row>
    <row r="127" spans="1:126" x14ac:dyDescent="0.25">
      <c r="A127">
        <v>0.5</v>
      </c>
      <c r="C127" s="190">
        <f>IF(C126*(1+A127*Model!$B$19*IF(Model!$B$28=0,1,((Model!$B$28-B127)/(Model!$B$28-$B$9))))&gt;Model!$B$44,C126*(1+A127*Model!$B$19*IF(Model!$B$28=0,1,((Model!$B$28-B127)/(Model!$B$28-$B$9)))),Model!$B$44)</f>
        <v>50</v>
      </c>
      <c r="H127" s="17"/>
      <c r="O127" s="18"/>
      <c r="CY127" s="20" t="str">
        <f t="shared" si="80"/>
        <v>Demo path - C price $300 3%</v>
      </c>
      <c r="CZ127" s="3">
        <f t="shared" si="73"/>
        <v>2033</v>
      </c>
      <c r="DA127" s="18">
        <f t="shared" si="71"/>
        <v>0</v>
      </c>
      <c r="DB127" s="18">
        <f ca="1">(L18+IF($DB$3&gt;0,NPV($DB$2,L19:OFFSET(L18,$DB$3,0)),0))/($DB$3+1)</f>
        <v>478.62285088922249</v>
      </c>
      <c r="DC127" s="18">
        <f t="shared" ca="1" si="64"/>
        <v>178.62285088922249</v>
      </c>
      <c r="DD127" s="18">
        <f t="shared" si="75"/>
        <v>300</v>
      </c>
      <c r="DE127" s="20">
        <f t="shared" si="74"/>
        <v>30090.040144135091</v>
      </c>
      <c r="DF127" s="20" cm="1">
        <f t="array" ref="DF127">SUMPRODUCT(($BG$2:$BM$2=CY127)*($B$5:$B$35=CZ127)*($BG$5:$BM$35))</f>
        <v>21793.317239922038</v>
      </c>
      <c r="DG127" s="20">
        <f t="shared" si="76"/>
        <v>8296.722904213053</v>
      </c>
      <c r="DH127" s="20" cm="1">
        <f t="array" ref="DH127">IF(CZ127=2023,SUMPRODUCT(($B$5:$B$35=CZ127-1)*($BN$5:$BN$35))-SUMPRODUCT(($BG$2:$BM$2=CY127)*($B$5:$B$35=CZ127-1)*($BG$5:$BM$35)),DG126)</f>
        <v>8370.7351406684356</v>
      </c>
      <c r="DI127" s="18">
        <f t="shared" ca="1" si="77"/>
        <v>478.62285088922249</v>
      </c>
      <c r="DJ127" s="89">
        <f t="shared" si="78"/>
        <v>9.0236158850007744</v>
      </c>
      <c r="DK127" s="89">
        <f t="shared" si="66"/>
        <v>9.0324969900529908</v>
      </c>
      <c r="DL127" s="89">
        <f t="shared" ca="1" si="67"/>
        <v>6.1709129196107728</v>
      </c>
      <c r="DM127" s="20">
        <f t="shared" ca="1" si="68"/>
        <v>5137.5482692823389</v>
      </c>
      <c r="DN127" s="20">
        <f t="shared" ca="1" si="79"/>
        <v>8330.7295847967907</v>
      </c>
      <c r="DO127" s="20">
        <f t="shared" ca="1" si="70"/>
        <v>6734.1389270395648</v>
      </c>
      <c r="DP127" s="113"/>
      <c r="DQ127" s="2"/>
      <c r="DR127" s="3"/>
      <c r="DT127" s="20"/>
      <c r="DU127" s="18"/>
      <c r="DV127" s="20"/>
    </row>
    <row r="128" spans="1:126" x14ac:dyDescent="0.25">
      <c r="A128">
        <v>0.5</v>
      </c>
      <c r="C128" s="190">
        <f>IF(C127*(1+A128*Model!$B$19*IF(Model!$B$28=0,1,((Model!$B$28-B128)/(Model!$B$28-$B$9))))&gt;Model!$B$44,C127*(1+A128*Model!$B$19*IF(Model!$B$28=0,1,((Model!$B$28-B128)/(Model!$B$28-$B$9)))),Model!$B$44)</f>
        <v>50</v>
      </c>
      <c r="H128" s="17"/>
      <c r="O128" s="18"/>
      <c r="CY128" s="20" t="str">
        <f t="shared" si="80"/>
        <v>Demo path - C price $300 3%</v>
      </c>
      <c r="CZ128" s="3">
        <f t="shared" si="73"/>
        <v>2034</v>
      </c>
      <c r="DA128" s="18">
        <f t="shared" si="71"/>
        <v>0</v>
      </c>
      <c r="DB128" s="18">
        <f ca="1">(L19+IF($DB$3&gt;0,NPV($DB$2,L20:OFFSET(L19,$DB$3,0)),0))/($DB$3+1)</f>
        <v>492.98153641589909</v>
      </c>
      <c r="DC128" s="18">
        <f t="shared" ca="1" si="64"/>
        <v>192.98153641589909</v>
      </c>
      <c r="DD128" s="18">
        <f t="shared" si="75"/>
        <v>300</v>
      </c>
      <c r="DE128" s="20">
        <f t="shared" si="74"/>
        <v>28862.634858482736</v>
      </c>
      <c r="DF128" s="20" cm="1">
        <f t="array" ref="DF128">SUMPRODUCT(($BG$2:$BM$2=CY128)*($B$5:$B$35=CZ128)*($BG$5:$BM$35))</f>
        <v>20655.414746580675</v>
      </c>
      <c r="DG128" s="20">
        <f t="shared" si="76"/>
        <v>8207.220111902061</v>
      </c>
      <c r="DH128" s="20" cm="1">
        <f t="array" ref="DH128">IF(CZ128=2023,SUMPRODUCT(($B$5:$B$35=CZ128-1)*($BN$5:$BN$35))-SUMPRODUCT(($BG$2:$BM$2=CY128)*($B$5:$B$35=CZ128-1)*($BG$5:$BM$35)),DG127)</f>
        <v>8296.722904213053</v>
      </c>
      <c r="DI128" s="18">
        <f t="shared" ca="1" si="77"/>
        <v>492.98153641589909</v>
      </c>
      <c r="DJ128" s="89">
        <f t="shared" si="78"/>
        <v>9.0127695472898086</v>
      </c>
      <c r="DK128" s="89">
        <f t="shared" si="66"/>
        <v>9.0236158850007744</v>
      </c>
      <c r="DL128" s="89">
        <f t="shared" ca="1" si="67"/>
        <v>6.2004717218523169</v>
      </c>
      <c r="DM128" s="20">
        <f t="shared" ca="1" si="68"/>
        <v>5541.6043448904911</v>
      </c>
      <c r="DN128" s="20">
        <f t="shared" ca="1" si="79"/>
        <v>8555.6386472379581</v>
      </c>
      <c r="DO128" s="20">
        <f t="shared" ca="1" si="70"/>
        <v>7048.6214960642246</v>
      </c>
      <c r="DP128" s="113"/>
      <c r="DQ128" s="2"/>
      <c r="DR128" s="3"/>
      <c r="DT128" s="20"/>
      <c r="DU128" s="18"/>
      <c r="DV128" s="20"/>
    </row>
    <row r="129" spans="1:126" x14ac:dyDescent="0.25">
      <c r="A129">
        <v>0.5</v>
      </c>
      <c r="C129" s="190">
        <f>IF(C128*(1+A129*Model!$B$19*IF(Model!$B$28=0,1,((Model!$B$28-B129)/(Model!$B$28-$B$9))))&gt;Model!$B$44,C128*(1+A129*Model!$B$19*IF(Model!$B$28=0,1,((Model!$B$28-B129)/(Model!$B$28-$B$9)))),Model!$B$44)</f>
        <v>50</v>
      </c>
      <c r="H129" s="17"/>
      <c r="O129" s="18"/>
      <c r="CY129" s="20" t="str">
        <f t="shared" si="80"/>
        <v>Demo path - C price $300 3%</v>
      </c>
      <c r="CZ129" s="3">
        <f t="shared" si="73"/>
        <v>2035</v>
      </c>
      <c r="DA129" s="18">
        <f t="shared" si="71"/>
        <v>0</v>
      </c>
      <c r="DB129" s="18">
        <f ca="1">(L20+IF($DB$3&gt;0,NPV($DB$2,L21:OFFSET(L20,$DB$3,0)),0))/($DB$3+1)</f>
        <v>507.77098250837611</v>
      </c>
      <c r="DC129" s="18">
        <f t="shared" ca="1" si="64"/>
        <v>207.77098250837611</v>
      </c>
      <c r="DD129" s="18">
        <f t="shared" si="75"/>
        <v>300</v>
      </c>
      <c r="DE129" s="20">
        <f t="shared" si="74"/>
        <v>27635.22957283038</v>
      </c>
      <c r="DF129" s="20" cm="1">
        <f t="array" ref="DF129">SUMPRODUCT(($BG$2:$BM$2=CY129)*($B$5:$B$35=CZ129)*($BG$5:$BM$35))</f>
        <v>19528.346245701767</v>
      </c>
      <c r="DG129" s="20">
        <f t="shared" si="76"/>
        <v>8106.883327128613</v>
      </c>
      <c r="DH129" s="20" cm="1">
        <f t="array" ref="DH129">IF(CZ129=2023,SUMPRODUCT(($B$5:$B$35=CZ129-1)*($BN$5:$BN$35))-SUMPRODUCT(($BG$2:$BM$2=CY129)*($B$5:$B$35=CZ129-1)*($BG$5:$BM$35)),DG128)</f>
        <v>8207.220111902061</v>
      </c>
      <c r="DI129" s="18">
        <f t="shared" ca="1" si="77"/>
        <v>507.77098250837611</v>
      </c>
      <c r="DJ129" s="89">
        <f t="shared" si="78"/>
        <v>9.0004687732631545</v>
      </c>
      <c r="DK129" s="89">
        <f t="shared" si="66"/>
        <v>9.0127695472898086</v>
      </c>
      <c r="DL129" s="89">
        <f t="shared" ca="1" si="67"/>
        <v>6.2300305240938618</v>
      </c>
      <c r="DM129" s="20">
        <f t="shared" ca="1" si="68"/>
        <v>5942.8301774947231</v>
      </c>
      <c r="DN129" s="20">
        <f t="shared" ca="1" si="79"/>
        <v>8767.4224960920565</v>
      </c>
      <c r="DO129" s="20">
        <f t="shared" ca="1" si="70"/>
        <v>7355.1263367933898</v>
      </c>
      <c r="DP129" s="113"/>
      <c r="DQ129" s="2"/>
      <c r="DR129" s="3"/>
      <c r="DT129" s="20"/>
      <c r="DU129" s="18"/>
      <c r="DV129" s="20"/>
    </row>
    <row r="130" spans="1:126" x14ac:dyDescent="0.25">
      <c r="A130">
        <v>0.5</v>
      </c>
      <c r="C130" s="190">
        <f>IF(C129*(1+A130*Model!$B$19*IF(Model!$B$28=0,1,((Model!$B$28-B130)/(Model!$B$28-$B$9))))&gt;Model!$B$44,C129*(1+A130*Model!$B$19*IF(Model!$B$28=0,1,((Model!$B$28-B130)/(Model!$B$28-$B$9)))),Model!$B$44)</f>
        <v>50</v>
      </c>
      <c r="H130" s="17"/>
      <c r="O130" s="18"/>
      <c r="CY130" s="20" t="str">
        <f t="shared" si="80"/>
        <v>Demo path - C price $300 3%</v>
      </c>
      <c r="CZ130" s="3">
        <f t="shared" si="73"/>
        <v>2036</v>
      </c>
      <c r="DA130" s="18">
        <f t="shared" si="71"/>
        <v>0</v>
      </c>
      <c r="DB130" s="18">
        <f ca="1">(L21+IF($DB$3&gt;0,NPV($DB$2,L22:OFFSET(L21,$DB$3,0)),0))/($DB$3+1)</f>
        <v>523.00411198362735</v>
      </c>
      <c r="DC130" s="18">
        <f t="shared" ca="1" si="64"/>
        <v>223.00411198362735</v>
      </c>
      <c r="DD130" s="18">
        <f t="shared" si="75"/>
        <v>300</v>
      </c>
      <c r="DE130" s="20">
        <f t="shared" si="74"/>
        <v>26407.824287178031</v>
      </c>
      <c r="DF130" s="20" cm="1">
        <f t="array" ref="DF130">SUMPRODUCT(($BG$2:$BM$2=CY130)*($B$5:$B$35=CZ130)*($BG$5:$BM$35))</f>
        <v>18371.513535785478</v>
      </c>
      <c r="DG130" s="20">
        <f t="shared" si="76"/>
        <v>8036.3107513925534</v>
      </c>
      <c r="DH130" s="20" cm="1">
        <f t="array" ref="DH130">IF(CZ130=2023,SUMPRODUCT(($B$5:$B$35=CZ130-1)*($BN$5:$BN$35))-SUMPRODUCT(($BG$2:$BM$2=CY130)*($B$5:$B$35=CZ130-1)*($BG$5:$BM$35)),DG129)</f>
        <v>8106.883327128613</v>
      </c>
      <c r="DI130" s="18">
        <f t="shared" ca="1" si="77"/>
        <v>523.00411198362735</v>
      </c>
      <c r="DJ130" s="89">
        <f t="shared" si="78"/>
        <v>8.9917253950966405</v>
      </c>
      <c r="DK130" s="89">
        <f t="shared" si="66"/>
        <v>9.0004687732631545</v>
      </c>
      <c r="DL130" s="89">
        <f t="shared" ca="1" si="67"/>
        <v>6.2595893263354059</v>
      </c>
      <c r="DM130" s="20">
        <f t="shared" ca="1" si="68"/>
        <v>6342.0353518727607</v>
      </c>
      <c r="DN130" s="20">
        <f t="shared" ca="1" si="79"/>
        <v>8972.4865852282837</v>
      </c>
      <c r="DO130" s="20">
        <f t="shared" ca="1" si="70"/>
        <v>7657.2609685505222</v>
      </c>
      <c r="DP130" s="113"/>
      <c r="DQ130" s="2"/>
      <c r="DR130" s="3"/>
      <c r="DT130" s="20"/>
      <c r="DU130" s="18"/>
      <c r="DV130" s="20"/>
    </row>
    <row r="131" spans="1:126" x14ac:dyDescent="0.25">
      <c r="A131">
        <v>0.5</v>
      </c>
      <c r="C131" s="190">
        <f>IF(C130*(1+A131*Model!$B$19*IF(Model!$B$28=0,1,((Model!$B$28-B131)/(Model!$B$28-$B$9))))&gt;Model!$B$44,C130*(1+A131*Model!$B$19*IF(Model!$B$28=0,1,((Model!$B$28-B131)/(Model!$B$28-$B$9)))),Model!$B$44)</f>
        <v>50</v>
      </c>
      <c r="H131" s="17"/>
      <c r="O131" s="18"/>
      <c r="CY131" s="20" t="str">
        <f t="shared" si="80"/>
        <v>Demo path - C price $300 3%</v>
      </c>
      <c r="CZ131" s="3">
        <f t="shared" si="73"/>
        <v>2037</v>
      </c>
      <c r="DA131" s="18">
        <f t="shared" si="71"/>
        <v>0</v>
      </c>
      <c r="DB131" s="18">
        <f ca="1">(L22+IF($DB$3&gt;0,NPV($DB$2,L23:OFFSET(L22,$DB$3,0)),0))/($DB$3+1)</f>
        <v>538.69423534313614</v>
      </c>
      <c r="DC131" s="18">
        <f t="shared" ca="1" si="64"/>
        <v>238.69423534313614</v>
      </c>
      <c r="DD131" s="18">
        <f t="shared" si="75"/>
        <v>300</v>
      </c>
      <c r="DE131" s="20">
        <f t="shared" si="74"/>
        <v>25490.617675668807</v>
      </c>
      <c r="DF131" s="20" cm="1">
        <f t="array" ref="DF131">SUMPRODUCT(($BG$2:$BM$2=CY131)*($B$5:$B$35=CZ131)*($BG$5:$BM$35))</f>
        <v>17352.23843482411</v>
      </c>
      <c r="DG131" s="20">
        <f t="shared" si="76"/>
        <v>8138.3792408446971</v>
      </c>
      <c r="DH131" s="20" cm="1">
        <f t="array" ref="DH131">IF(CZ131=2023,SUMPRODUCT(($B$5:$B$35=CZ131-1)*($BN$5:$BN$35))-SUMPRODUCT(($BG$2:$BM$2=CY131)*($B$5:$B$35=CZ131-1)*($BG$5:$BM$35)),DG130)</f>
        <v>8036.3107513925534</v>
      </c>
      <c r="DI131" s="18">
        <f t="shared" ca="1" si="77"/>
        <v>538.69423534313614</v>
      </c>
      <c r="DJ131" s="89">
        <f t="shared" si="78"/>
        <v>9.0043463287101275</v>
      </c>
      <c r="DK131" s="89">
        <f t="shared" si="66"/>
        <v>8.9917253950966405</v>
      </c>
      <c r="DL131" s="89">
        <f t="shared" ca="1" si="67"/>
        <v>6.2891481285769499</v>
      </c>
      <c r="DM131" s="20">
        <f t="shared" ca="1" si="68"/>
        <v>6740.0002277681933</v>
      </c>
      <c r="DN131" s="20">
        <f t="shared" ca="1" si="79"/>
        <v>9174.8978795731837</v>
      </c>
      <c r="DO131" s="20">
        <f t="shared" ca="1" si="70"/>
        <v>7957.449053670689</v>
      </c>
      <c r="DP131" s="113"/>
      <c r="DQ131" s="2"/>
      <c r="DR131" s="3"/>
      <c r="DT131" s="20"/>
      <c r="DU131" s="18"/>
      <c r="DV131" s="20"/>
    </row>
    <row r="132" spans="1:126" x14ac:dyDescent="0.25">
      <c r="A132">
        <v>0.5</v>
      </c>
      <c r="C132" s="190">
        <f>IF(C131*(1+A132*Model!$B$19*IF(Model!$B$28=0,1,((Model!$B$28-B132)/(Model!$B$28-$B$9))))&gt;Model!$B$44,C131*(1+A132*Model!$B$19*IF(Model!$B$28=0,1,((Model!$B$28-B132)/(Model!$B$28-$B$9)))),Model!$B$44)</f>
        <v>50</v>
      </c>
      <c r="H132" s="17"/>
      <c r="O132" s="18"/>
      <c r="CY132" s="20" t="str">
        <f t="shared" si="80"/>
        <v>Demo path - C price $300 3%</v>
      </c>
      <c r="CZ132" s="3">
        <f t="shared" si="73"/>
        <v>2038</v>
      </c>
      <c r="DA132" s="18">
        <f t="shared" si="71"/>
        <v>0</v>
      </c>
      <c r="DB132" s="18">
        <f ca="1">(L23+IF($DB$3&gt;0,NPV($DB$2,L24:OFFSET(L23,$DB$3,0)),0))/($DB$3+1)</f>
        <v>554.85506240343022</v>
      </c>
      <c r="DC132" s="18">
        <f t="shared" ca="1" si="64"/>
        <v>254.85506240343022</v>
      </c>
      <c r="DD132" s="18">
        <f t="shared" si="75"/>
        <v>300</v>
      </c>
      <c r="DE132" s="20">
        <f t="shared" si="74"/>
        <v>24570.879657466994</v>
      </c>
      <c r="DF132" s="20" cm="1">
        <f t="array" ref="DF132">SUMPRODUCT(($BG$2:$BM$2=CY132)*($B$5:$B$35=CZ132)*($BG$5:$BM$35))</f>
        <v>16409.495249380365</v>
      </c>
      <c r="DG132" s="20">
        <f t="shared" si="76"/>
        <v>8161.3844080866293</v>
      </c>
      <c r="DH132" s="20" cm="1">
        <f t="array" ref="DH132">IF(CZ132=2023,SUMPRODUCT(($B$5:$B$35=CZ132-1)*($BN$5:$BN$35))-SUMPRODUCT(($BG$2:$BM$2=CY132)*($B$5:$B$35=CZ132-1)*($BG$5:$BM$35)),DG131)</f>
        <v>8138.3792408446971</v>
      </c>
      <c r="DI132" s="18">
        <f t="shared" ca="1" si="77"/>
        <v>554.85506240343022</v>
      </c>
      <c r="DJ132" s="89">
        <f t="shared" si="78"/>
        <v>9.0071690914216394</v>
      </c>
      <c r="DK132" s="89">
        <f t="shared" si="66"/>
        <v>9.0043463287101275</v>
      </c>
      <c r="DL132" s="89">
        <f t="shared" ca="1" si="67"/>
        <v>6.3187069308184949</v>
      </c>
      <c r="DM132" s="20">
        <f t="shared" ca="1" si="68"/>
        <v>7137.4782645048381</v>
      </c>
      <c r="DN132" s="20">
        <f t="shared" ca="1" si="79"/>
        <v>9377.2385022064791</v>
      </c>
      <c r="DO132" s="20">
        <f t="shared" ca="1" si="70"/>
        <v>8257.3583833556586</v>
      </c>
      <c r="DP132" s="113"/>
      <c r="DQ132" s="2"/>
      <c r="DR132" s="3"/>
      <c r="DT132" s="20"/>
      <c r="DU132" s="18"/>
      <c r="DV132" s="20"/>
    </row>
    <row r="133" spans="1:126" x14ac:dyDescent="0.25">
      <c r="A133">
        <v>0.5</v>
      </c>
      <c r="C133" s="190">
        <f>IF(C132*(1+A133*Model!$B$19*IF(Model!$B$28=0,1,((Model!$B$28-B133)/(Model!$B$28-$B$9))))&gt;Model!$B$44,C132*(1+A133*Model!$B$19*IF(Model!$B$28=0,1,((Model!$B$28-B133)/(Model!$B$28-$B$9)))),Model!$B$44)</f>
        <v>50</v>
      </c>
      <c r="H133" s="17"/>
      <c r="O133" s="18"/>
      <c r="CY133" s="20" t="str">
        <f t="shared" si="80"/>
        <v>Demo path - C price $300 3%</v>
      </c>
      <c r="CZ133" s="3">
        <f t="shared" si="73"/>
        <v>2039</v>
      </c>
      <c r="DA133" s="18">
        <f t="shared" si="71"/>
        <v>0</v>
      </c>
      <c r="DB133" s="18">
        <f ca="1">(L24+IF($DB$3&gt;0,NPV($DB$2,L25:OFFSET(L24,$DB$3,0)),0))/($DB$3+1)</f>
        <v>571.50071427553314</v>
      </c>
      <c r="DC133" s="18">
        <f t="shared" ca="1" si="64"/>
        <v>271.50071427553314</v>
      </c>
      <c r="DD133" s="18">
        <f t="shared" si="75"/>
        <v>300</v>
      </c>
      <c r="DE133" s="20">
        <f t="shared" si="74"/>
        <v>23633.677186249501</v>
      </c>
      <c r="DF133" s="20" cm="1">
        <f t="array" ref="DF133">SUMPRODUCT(($BG$2:$BM$2=CY133)*($B$5:$B$35=CZ133)*($BG$5:$BM$35))</f>
        <v>15458.292731377856</v>
      </c>
      <c r="DG133" s="20">
        <f t="shared" ref="DG133:DG164" si="81">DE133-DF133</f>
        <v>8175.3844548716443</v>
      </c>
      <c r="DH133" s="20" cm="1">
        <f t="array" ref="DH133">IF(CZ133=2023,SUMPRODUCT(($B$5:$B$35=CZ133-1)*($BN$5:$BN$35))-SUMPRODUCT(($BG$2:$BM$2=CY133)*($B$5:$B$35=CZ133-1)*($BG$5:$BM$35)),DG132)</f>
        <v>8161.3844080866293</v>
      </c>
      <c r="DI133" s="18">
        <f t="shared" ref="DI133:DI164" ca="1" si="82">DB133</f>
        <v>571.50071427553314</v>
      </c>
      <c r="DJ133" s="89">
        <f t="shared" si="78"/>
        <v>9.008883022778523</v>
      </c>
      <c r="DK133" s="89">
        <f t="shared" si="66"/>
        <v>9.0071690914216394</v>
      </c>
      <c r="DL133" s="89">
        <f t="shared" ca="1" si="67"/>
        <v>6.3482657330600389</v>
      </c>
      <c r="DM133" s="20">
        <f t="shared" ca="1" si="68"/>
        <v>7535.1982238193223</v>
      </c>
      <c r="DN133" s="20">
        <f t="shared" ca="1" si="79"/>
        <v>9581.155825119924</v>
      </c>
      <c r="DO133" s="20">
        <f t="shared" ca="1" si="70"/>
        <v>8558.1770244696236</v>
      </c>
      <c r="DP133" s="113"/>
      <c r="DQ133" s="2"/>
      <c r="DR133" s="3"/>
      <c r="DT133" s="20"/>
      <c r="DU133" s="18"/>
      <c r="DV133" s="20"/>
    </row>
    <row r="134" spans="1:126" x14ac:dyDescent="0.25">
      <c r="A134">
        <v>0.5</v>
      </c>
      <c r="C134" s="190">
        <f>IF(C133*(1+A134*Model!$B$19*IF(Model!$B$28=0,1,((Model!$B$28-B134)/(Model!$B$28-$B$9))))&gt;Model!$B$44,C133*(1+A134*Model!$B$19*IF(Model!$B$28=0,1,((Model!$B$28-B134)/(Model!$B$28-$B$9)))),Model!$B$44)</f>
        <v>50</v>
      </c>
      <c r="H134" s="17"/>
      <c r="O134" s="18"/>
      <c r="CY134" s="20" t="str">
        <f t="shared" si="80"/>
        <v>Demo path - C price $300 3%</v>
      </c>
      <c r="CZ134" s="3">
        <f t="shared" si="73"/>
        <v>2040</v>
      </c>
      <c r="DA134" s="18">
        <f t="shared" si="71"/>
        <v>0</v>
      </c>
      <c r="DB134" s="18">
        <f ca="1">(L25+IF($DB$3&gt;0,NPV($DB$2,L26:OFFSET(L25,$DB$3,0)),0))/($DB$3+1)</f>
        <v>588.64573570379923</v>
      </c>
      <c r="DC134" s="18">
        <f t="shared" ref="DC134:DC172" ca="1" si="83">DB134-DD134</f>
        <v>288.64573570379923</v>
      </c>
      <c r="DD134" s="18">
        <f t="shared" si="75"/>
        <v>300</v>
      </c>
      <c r="DE134" s="20">
        <f t="shared" si="74"/>
        <v>21832.628998595821</v>
      </c>
      <c r="DF134" s="20" cm="1">
        <f t="array" ref="DF134">SUMPRODUCT(($BG$2:$BM$2=CY134)*($B$5:$B$35=CZ134)*($BG$5:$BM$35))</f>
        <v>13691.179291679502</v>
      </c>
      <c r="DG134" s="20">
        <f t="shared" si="81"/>
        <v>8141.449706916319</v>
      </c>
      <c r="DH134" s="20" cm="1">
        <f t="array" ref="DH134">IF(CZ134=2023,SUMPRODUCT(($B$5:$B$35=CZ134-1)*($BN$5:$BN$35))-SUMPRODUCT(($BG$2:$BM$2=CY134)*($B$5:$B$35=CZ134-1)*($BG$5:$BM$35)),DG133)</f>
        <v>8175.3844548716443</v>
      </c>
      <c r="DI134" s="18">
        <f t="shared" ca="1" si="82"/>
        <v>588.64573570379923</v>
      </c>
      <c r="DJ134" s="89">
        <f t="shared" ref="DJ134:DJ165" si="84">LN(DG134)</f>
        <v>9.0047235398120229</v>
      </c>
      <c r="DK134" s="89">
        <f t="shared" ref="DK134:DK197" si="85">LN(DH134)</f>
        <v>9.008883022778523</v>
      </c>
      <c r="DL134" s="89">
        <f t="shared" ref="DL134:DL197" ca="1" si="86">LN(DI134)</f>
        <v>6.3778245353015839</v>
      </c>
      <c r="DM134" s="20">
        <f t="shared" ref="DM134:DM197" ca="1" si="87">IF($DP$1="Yes",$DT$32+IF(CZ134=2023,DH134,DM133)*$DT$33+DI134*$DT$34,$DT$88*IF(CZ134=2023,DH134,DM133)+$DT$89*DI134)</f>
        <v>7933.8662587160352</v>
      </c>
      <c r="DN134" s="20">
        <f t="shared" ref="DN134:DN165" ca="1" si="88">EXP($DT$61+IF(CZ134=2023,DK134,LN(DN133))*$DT$62+DL134*$DT$63)</f>
        <v>9787.7119666655835</v>
      </c>
      <c r="DO134" s="20">
        <f t="shared" ref="DO134:DO197" ca="1" si="89">AVERAGE(DM134:DN134)</f>
        <v>8860.7891126908089</v>
      </c>
      <c r="DP134" s="113"/>
      <c r="DQ134" s="2"/>
      <c r="DR134" s="3"/>
      <c r="DT134" s="20"/>
      <c r="DU134" s="18"/>
      <c r="DV134" s="20"/>
    </row>
    <row r="135" spans="1:126" x14ac:dyDescent="0.25">
      <c r="A135">
        <v>0.5</v>
      </c>
      <c r="C135" s="190">
        <f>IF(C134*(1+A135*Model!$B$19*IF(Model!$B$28=0,1,((Model!$B$28-B135)/(Model!$B$28-$B$9))))&gt;Model!$B$44,C134*(1+A135*Model!$B$19*IF(Model!$B$28=0,1,((Model!$B$28-B135)/(Model!$B$28-$B$9)))),Model!$B$44)</f>
        <v>50</v>
      </c>
      <c r="H135" s="17"/>
      <c r="O135" s="18"/>
      <c r="CY135" s="20" t="str">
        <f t="shared" si="80"/>
        <v>Demo path - C price $300 3%</v>
      </c>
      <c r="CZ135" s="3">
        <f t="shared" si="73"/>
        <v>2041</v>
      </c>
      <c r="DA135" s="18">
        <f t="shared" ref="DA135:DA198" si="90">DA134</f>
        <v>0</v>
      </c>
      <c r="DB135" s="18">
        <f ca="1">(L26+IF($DB$3&gt;0,NPV($DB$2,L27:OFFSET(L26,$DB$3,0)),0))/($DB$3+1)</f>
        <v>606.30510777491315</v>
      </c>
      <c r="DC135" s="18">
        <f t="shared" ca="1" si="83"/>
        <v>306.30510777491315</v>
      </c>
      <c r="DD135" s="18">
        <f t="shared" si="75"/>
        <v>300</v>
      </c>
      <c r="DE135" s="20">
        <f t="shared" si="74"/>
        <v>21020.865912256821</v>
      </c>
      <c r="DF135" s="20" cm="1">
        <f t="array" ref="DF135">SUMPRODUCT(($BG$2:$BM$2=CY135)*($B$5:$B$35=CZ135)*($BG$5:$BM$35))</f>
        <v>12887.32715545773</v>
      </c>
      <c r="DG135" s="20">
        <f t="shared" si="81"/>
        <v>8133.5387567990911</v>
      </c>
      <c r="DH135" s="20" cm="1">
        <f t="array" ref="DH135">IF(CZ135=2023,SUMPRODUCT(($B$5:$B$35=CZ135-1)*($BN$5:$BN$35))-SUMPRODUCT(($BG$2:$BM$2=CY135)*($B$5:$B$35=CZ135-1)*($BG$5:$BM$35)),DG134)</f>
        <v>8141.449706916319</v>
      </c>
      <c r="DI135" s="18">
        <f t="shared" ca="1" si="82"/>
        <v>606.30510777491315</v>
      </c>
      <c r="DJ135" s="89">
        <f t="shared" si="84"/>
        <v>9.0037513792777268</v>
      </c>
      <c r="DK135" s="89">
        <f t="shared" si="85"/>
        <v>9.0047235398120229</v>
      </c>
      <c r="DL135" s="89">
        <f t="shared" ca="1" si="86"/>
        <v>6.4073833375431279</v>
      </c>
      <c r="DM135" s="20">
        <f t="shared" ca="1" si="87"/>
        <v>8334.1678956972864</v>
      </c>
      <c r="DN135" s="20">
        <f t="shared" ca="1" si="88"/>
        <v>9997.6039986442429</v>
      </c>
      <c r="DO135" s="20">
        <f t="shared" ca="1" si="89"/>
        <v>9165.8859471707656</v>
      </c>
      <c r="DP135" s="113"/>
      <c r="DQ135" s="2"/>
      <c r="DR135" s="3"/>
      <c r="DT135" s="20"/>
      <c r="DU135" s="18"/>
      <c r="DV135" s="20"/>
    </row>
    <row r="136" spans="1:126" x14ac:dyDescent="0.25">
      <c r="A136">
        <v>0.5</v>
      </c>
      <c r="C136" s="190">
        <f>IF(C135*(1+A136*Model!$B$19*IF(Model!$B$28=0,1,((Model!$B$28-B136)/(Model!$B$28-$B$9))))&gt;Model!$B$44,C135*(1+A136*Model!$B$19*IF(Model!$B$28=0,1,((Model!$B$28-B136)/(Model!$B$28-$B$9)))),Model!$B$44)</f>
        <v>50</v>
      </c>
      <c r="H136" s="17"/>
      <c r="O136" s="18"/>
      <c r="CY136" s="20" t="str">
        <f t="shared" si="80"/>
        <v>Demo path - C price $300 3%</v>
      </c>
      <c r="CZ136" s="3">
        <f t="shared" si="73"/>
        <v>2042</v>
      </c>
      <c r="DA136" s="18">
        <f t="shared" si="90"/>
        <v>0</v>
      </c>
      <c r="DB136" s="18">
        <f ca="1">(L27+IF($DB$3&gt;0,NPV($DB$2,L28:OFFSET(L27,$DB$3,0)),0))/($DB$3+1)</f>
        <v>624.49426100816049</v>
      </c>
      <c r="DC136" s="18">
        <f t="shared" ca="1" si="83"/>
        <v>324.49426100816049</v>
      </c>
      <c r="DD136" s="18">
        <f t="shared" si="75"/>
        <v>300</v>
      </c>
      <c r="DE136" s="20">
        <f t="shared" si="74"/>
        <v>20178.380919926673</v>
      </c>
      <c r="DF136" s="20" cm="1">
        <f t="array" ref="DF136">SUMPRODUCT(($BG$2:$BM$2=CY136)*($B$5:$B$35=CZ136)*($BG$5:$BM$35))</f>
        <v>12194.629153327802</v>
      </c>
      <c r="DG136" s="20">
        <f t="shared" si="81"/>
        <v>7983.7517665988707</v>
      </c>
      <c r="DH136" s="20" cm="1">
        <f t="array" ref="DH136">IF(CZ136=2023,SUMPRODUCT(($B$5:$B$35=CZ136-1)*($BN$5:$BN$35))-SUMPRODUCT(($BG$2:$BM$2=CY136)*($B$5:$B$35=CZ136-1)*($BG$5:$BM$35)),DG135)</f>
        <v>8133.5387567990911</v>
      </c>
      <c r="DI136" s="18">
        <f t="shared" ca="1" si="82"/>
        <v>624.49426100816049</v>
      </c>
      <c r="DJ136" s="89">
        <f t="shared" si="84"/>
        <v>8.9851637261500965</v>
      </c>
      <c r="DK136" s="89">
        <f t="shared" si="85"/>
        <v>9.0037513792777268</v>
      </c>
      <c r="DL136" s="89">
        <f t="shared" ca="1" si="86"/>
        <v>6.436942139784672</v>
      </c>
      <c r="DM136" s="20">
        <f t="shared" ca="1" si="87"/>
        <v>8736.7699172976463</v>
      </c>
      <c r="DN136" s="20">
        <f t="shared" ca="1" si="88"/>
        <v>10211.302005234013</v>
      </c>
      <c r="DO136" s="20">
        <f t="shared" ca="1" si="89"/>
        <v>9474.0359612658285</v>
      </c>
      <c r="DP136" s="113"/>
      <c r="DQ136" s="2"/>
      <c r="DR136" s="3"/>
      <c r="DT136" s="20"/>
      <c r="DU136" s="18"/>
      <c r="DV136" s="20"/>
    </row>
    <row r="137" spans="1:126" x14ac:dyDescent="0.25">
      <c r="A137">
        <v>0.5</v>
      </c>
      <c r="C137" s="190">
        <f>IF(C136*(1+A137*Model!$B$19*IF(Model!$B$28=0,1,((Model!$B$28-B137)/(Model!$B$28-$B$9))))&gt;Model!$B$44,C136*(1+A137*Model!$B$19*IF(Model!$B$28=0,1,((Model!$B$28-B137)/(Model!$B$28-$B$9)))),Model!$B$44)</f>
        <v>50</v>
      </c>
      <c r="H137" s="17"/>
      <c r="O137" s="18"/>
      <c r="CY137" s="20" t="str">
        <f t="shared" si="80"/>
        <v>Demo path - C price $300 3%</v>
      </c>
      <c r="CZ137" s="3">
        <f t="shared" si="73"/>
        <v>2043</v>
      </c>
      <c r="DA137" s="18">
        <f t="shared" si="90"/>
        <v>0</v>
      </c>
      <c r="DB137" s="18">
        <f ca="1">(L28+IF($DB$3&gt;0,NPV($DB$2,L29:OFFSET(L28,$DB$3,0)),0))/($DB$3+1)</f>
        <v>643.22908883840535</v>
      </c>
      <c r="DC137" s="18">
        <f t="shared" ca="1" si="83"/>
        <v>343.22908883840535</v>
      </c>
      <c r="DD137" s="18">
        <f t="shared" si="75"/>
        <v>300</v>
      </c>
      <c r="DE137" s="20">
        <f t="shared" si="74"/>
        <v>19320.318365199299</v>
      </c>
      <c r="DF137" s="20" cm="1">
        <f t="array" ref="DF137">SUMPRODUCT(($BG$2:$BM$2=CY137)*($B$5:$B$35=CZ137)*($BG$5:$BM$35))</f>
        <v>11241.1982581969</v>
      </c>
      <c r="DG137" s="20">
        <f t="shared" si="81"/>
        <v>8079.1201070023981</v>
      </c>
      <c r="DH137" s="20" cm="1">
        <f t="array" ref="DH137">IF(CZ137=2023,SUMPRODUCT(($B$5:$B$35=CZ137-1)*($BN$5:$BN$35))-SUMPRODUCT(($BG$2:$BM$2=CY137)*($B$5:$B$35=CZ137-1)*($BG$5:$BM$35)),DG136)</f>
        <v>7983.7517665988707</v>
      </c>
      <c r="DI137" s="18">
        <f t="shared" ca="1" si="82"/>
        <v>643.22908883840535</v>
      </c>
      <c r="DJ137" s="89">
        <f t="shared" si="84"/>
        <v>8.9970382479371445</v>
      </c>
      <c r="DK137" s="89">
        <f t="shared" si="85"/>
        <v>8.9851637261500965</v>
      </c>
      <c r="DL137" s="89">
        <f t="shared" ca="1" si="86"/>
        <v>6.4665009420262169</v>
      </c>
      <c r="DM137" s="20">
        <f t="shared" ca="1" si="87"/>
        <v>9142.3221514534343</v>
      </c>
      <c r="DN137" s="20">
        <f t="shared" ca="1" si="88"/>
        <v>10429.135384776755</v>
      </c>
      <c r="DO137" s="20">
        <f t="shared" ca="1" si="89"/>
        <v>9785.7287681150956</v>
      </c>
      <c r="DP137" s="113"/>
      <c r="DQ137" s="2"/>
      <c r="DR137" s="3"/>
      <c r="DT137" s="20"/>
      <c r="DU137" s="18"/>
      <c r="DV137" s="20"/>
    </row>
    <row r="138" spans="1:126" x14ac:dyDescent="0.25">
      <c r="A138">
        <v>0.5</v>
      </c>
      <c r="C138" s="190">
        <f>IF(C137*(1+A138*Model!$B$19*IF(Model!$B$28=0,1,((Model!$B$28-B138)/(Model!$B$28-$B$9))))&gt;Model!$B$44,C137*(1+A138*Model!$B$19*IF(Model!$B$28=0,1,((Model!$B$28-B138)/(Model!$B$28-$B$9)))),Model!$B$44)</f>
        <v>50</v>
      </c>
      <c r="H138" s="17"/>
      <c r="O138" s="18"/>
      <c r="CY138" s="20" t="str">
        <f t="shared" si="80"/>
        <v>Demo path - C price $300 3%</v>
      </c>
      <c r="CZ138" s="3">
        <f t="shared" si="73"/>
        <v>2044</v>
      </c>
      <c r="DA138" s="18">
        <f t="shared" si="90"/>
        <v>0</v>
      </c>
      <c r="DB138" s="18">
        <f ca="1">(L29+IF($DB$3&gt;0,NPV($DB$2,L30:OFFSET(L29,$DB$3,0)),0))/($DB$3+1)</f>
        <v>662.52596150355748</v>
      </c>
      <c r="DC138" s="18">
        <f t="shared" ca="1" si="83"/>
        <v>362.52596150355748</v>
      </c>
      <c r="DD138" s="18">
        <f t="shared" si="75"/>
        <v>300</v>
      </c>
      <c r="DE138" s="20">
        <f t="shared" si="74"/>
        <v>18472.725707396126</v>
      </c>
      <c r="DF138" s="20" cm="1">
        <f t="array" ref="DF138">SUMPRODUCT(($BG$2:$BM$2=CY138)*($B$5:$B$35=CZ138)*($BG$5:$BM$35))</f>
        <v>10536.796484580542</v>
      </c>
      <c r="DG138" s="20">
        <f t="shared" si="81"/>
        <v>7935.9292228155846</v>
      </c>
      <c r="DH138" s="20" cm="1">
        <f t="array" ref="DH138">IF(CZ138=2023,SUMPRODUCT(($B$5:$B$35=CZ138-1)*($BN$5:$BN$35))-SUMPRODUCT(($BG$2:$BM$2=CY138)*($B$5:$B$35=CZ138-1)*($BG$5:$BM$35)),DG137)</f>
        <v>8079.1201070023981</v>
      </c>
      <c r="DI138" s="18">
        <f t="shared" ca="1" si="82"/>
        <v>662.52596150355748</v>
      </c>
      <c r="DJ138" s="89">
        <f t="shared" si="84"/>
        <v>8.9791557304289178</v>
      </c>
      <c r="DK138" s="89">
        <f t="shared" si="85"/>
        <v>8.9970382479371445</v>
      </c>
      <c r="DL138" s="89">
        <f t="shared" ca="1" si="86"/>
        <v>6.496059744267761</v>
      </c>
      <c r="DM138" s="20">
        <f t="shared" ca="1" si="87"/>
        <v>9551.459173864605</v>
      </c>
      <c r="DN138" s="20">
        <f t="shared" ca="1" si="88"/>
        <v>10651.346705783313</v>
      </c>
      <c r="DO138" s="20">
        <f t="shared" ca="1" si="89"/>
        <v>10101.402939823958</v>
      </c>
      <c r="DP138" s="113"/>
      <c r="DQ138" s="2"/>
      <c r="DR138" s="3"/>
      <c r="DT138" s="20"/>
      <c r="DU138" s="18"/>
      <c r="DV138" s="20"/>
    </row>
    <row r="139" spans="1:126" x14ac:dyDescent="0.25">
      <c r="A139">
        <v>0.5</v>
      </c>
      <c r="C139" s="190">
        <f>IF(C138*(1+A139*Model!$B$19*IF(Model!$B$28=0,1,((Model!$B$28-B139)/(Model!$B$28-$B$9))))&gt;Model!$B$44,C138*(1+A139*Model!$B$19*IF(Model!$B$28=0,1,((Model!$B$28-B139)/(Model!$B$28-$B$9)))),Model!$B$44)</f>
        <v>50</v>
      </c>
      <c r="H139" s="17"/>
      <c r="O139" s="18"/>
      <c r="CY139" s="20" t="str">
        <f t="shared" si="80"/>
        <v>Demo path - C price $300 3%</v>
      </c>
      <c r="CZ139" s="3">
        <f t="shared" si="73"/>
        <v>2045</v>
      </c>
      <c r="DA139" s="18">
        <f t="shared" si="90"/>
        <v>0</v>
      </c>
      <c r="DB139" s="18">
        <f ca="1">(L30+IF($DB$3&gt;0,NPV($DB$2,L31:OFFSET(L30,$DB$3,0)),0))/($DB$3+1)</f>
        <v>682.40174034866413</v>
      </c>
      <c r="DC139" s="18">
        <f t="shared" ca="1" si="83"/>
        <v>382.40174034866413</v>
      </c>
      <c r="DD139" s="18">
        <f t="shared" si="75"/>
        <v>300</v>
      </c>
      <c r="DE139" s="20">
        <f t="shared" si="74"/>
        <v>17677.489690197111</v>
      </c>
      <c r="DF139" s="20" cm="1">
        <f t="array" ref="DF139">SUMPRODUCT(($BG$2:$BM$2=CY139)*($B$5:$B$35=CZ139)*($BG$5:$BM$35))</f>
        <v>9982.7614196315099</v>
      </c>
      <c r="DG139" s="20">
        <f t="shared" si="81"/>
        <v>7694.7282705656016</v>
      </c>
      <c r="DH139" s="20" cm="1">
        <f t="array" ref="DH139">IF(CZ139=2023,SUMPRODUCT(($B$5:$B$35=CZ139-1)*($BN$5:$BN$35))-SUMPRODUCT(($BG$2:$BM$2=CY139)*($B$5:$B$35=CZ139-1)*($BG$5:$BM$35)),DG138)</f>
        <v>7935.9292228155846</v>
      </c>
      <c r="DI139" s="18">
        <f t="shared" ca="1" si="82"/>
        <v>682.40174034866413</v>
      </c>
      <c r="DJ139" s="89">
        <f t="shared" si="84"/>
        <v>8.9482907331823718</v>
      </c>
      <c r="DK139" s="89">
        <f t="shared" si="85"/>
        <v>8.9791557304289178</v>
      </c>
      <c r="DL139" s="89">
        <f t="shared" ca="1" si="86"/>
        <v>6.5256185465093051</v>
      </c>
      <c r="DM139" s="20">
        <f t="shared" ca="1" si="87"/>
        <v>9964.8019291554428</v>
      </c>
      <c r="DN139" s="20">
        <f t="shared" ca="1" si="88"/>
        <v>10878.125284705076</v>
      </c>
      <c r="DO139" s="20">
        <f t="shared" ca="1" si="89"/>
        <v>10421.46360693026</v>
      </c>
      <c r="DP139" s="113"/>
      <c r="DQ139" s="2"/>
      <c r="DR139" s="3"/>
      <c r="DT139" s="20"/>
      <c r="DU139" s="18"/>
      <c r="DV139" s="20"/>
    </row>
    <row r="140" spans="1:126" x14ac:dyDescent="0.25">
      <c r="A140">
        <v>0.5</v>
      </c>
      <c r="C140" s="190">
        <f>IF(C139*(1+A140*Model!$B$19*IF(Model!$B$28=0,1,((Model!$B$28-B140)/(Model!$B$28-$B$9))))&gt;Model!$B$44,C139*(1+A140*Model!$B$19*IF(Model!$B$28=0,1,((Model!$B$28-B140)/(Model!$B$28-$B$9)))),Model!$B$44)</f>
        <v>50</v>
      </c>
      <c r="H140" s="17"/>
      <c r="O140" s="18"/>
      <c r="CY140" s="20" t="str">
        <f t="shared" si="80"/>
        <v>Demo path - C price $300 3%</v>
      </c>
      <c r="CZ140" s="3">
        <f t="shared" si="73"/>
        <v>2046</v>
      </c>
      <c r="DA140" s="18">
        <f t="shared" si="90"/>
        <v>0</v>
      </c>
      <c r="DB140" s="18">
        <f ca="1">(L31+IF($DB$3&gt;0,NPV($DB$2,L32:OFFSET(L31,$DB$3,0)),0))/($DB$3+1)</f>
        <v>702.87379255912413</v>
      </c>
      <c r="DC140" s="18">
        <f t="shared" ca="1" si="83"/>
        <v>402.87379255912413</v>
      </c>
      <c r="DD140" s="18">
        <f t="shared" si="75"/>
        <v>300</v>
      </c>
      <c r="DE140" s="20">
        <f t="shared" si="74"/>
        <v>16949.211978015726</v>
      </c>
      <c r="DF140" s="20" cm="1">
        <f t="array" ref="DF140">SUMPRODUCT(($BG$2:$BM$2=CY140)*($B$5:$B$35=CZ140)*($BG$5:$BM$35))</f>
        <v>9437.1247957458017</v>
      </c>
      <c r="DG140" s="20">
        <f t="shared" si="81"/>
        <v>7512.0871822699246</v>
      </c>
      <c r="DH140" s="20" cm="1">
        <f t="array" ref="DH140">IF(CZ140=2023,SUMPRODUCT(($B$5:$B$35=CZ140-1)*($BN$5:$BN$35))-SUMPRODUCT(($BG$2:$BM$2=CY140)*($B$5:$B$35=CZ140-1)*($BG$5:$BM$35)),DG139)</f>
        <v>7694.7282705656016</v>
      </c>
      <c r="DI140" s="18">
        <f t="shared" ca="1" si="82"/>
        <v>702.87379255912413</v>
      </c>
      <c r="DJ140" s="89">
        <f t="shared" si="84"/>
        <v>8.9242686265542357</v>
      </c>
      <c r="DK140" s="89">
        <f t="shared" si="85"/>
        <v>8.9482907331823718</v>
      </c>
      <c r="DL140" s="89">
        <f t="shared" ca="1" si="86"/>
        <v>6.55517734875085</v>
      </c>
      <c r="DM140" s="20">
        <f t="shared" ca="1" si="87"/>
        <v>10382.95927631114</v>
      </c>
      <c r="DN140" s="20">
        <f t="shared" ca="1" si="88"/>
        <v>11109.628113331382</v>
      </c>
      <c r="DO140" s="20">
        <f t="shared" ca="1" si="89"/>
        <v>10746.293694821261</v>
      </c>
      <c r="DP140" s="113"/>
      <c r="DQ140" s="2"/>
      <c r="DR140" s="3"/>
      <c r="DT140" s="20"/>
      <c r="DU140" s="18"/>
      <c r="DV140" s="20"/>
    </row>
    <row r="141" spans="1:126" x14ac:dyDescent="0.25">
      <c r="A141">
        <v>0.5</v>
      </c>
      <c r="C141" s="190">
        <f>IF(C140*(1+A141*Model!$B$19*IF(Model!$B$28=0,1,((Model!$B$28-B141)/(Model!$B$28-$B$9))))&gt;Model!$B$44,C140*(1+A141*Model!$B$19*IF(Model!$B$28=0,1,((Model!$B$28-B141)/(Model!$B$28-$B$9)))),Model!$B$44)</f>
        <v>50</v>
      </c>
      <c r="H141" s="17"/>
      <c r="O141" s="18"/>
      <c r="CY141" s="20" t="str">
        <f t="shared" si="80"/>
        <v>Demo path - C price $300 3%</v>
      </c>
      <c r="CZ141" s="3">
        <f t="shared" si="73"/>
        <v>2047</v>
      </c>
      <c r="DA141" s="18">
        <f t="shared" si="90"/>
        <v>0</v>
      </c>
      <c r="DB141" s="18">
        <f ca="1">(L32+IF($DB$3&gt;0,NPV($DB$2,L33:OFFSET(L32,$DB$3,0)),0))/($DB$3+1)</f>
        <v>723.96000633589824</v>
      </c>
      <c r="DC141" s="18">
        <f t="shared" ca="1" si="83"/>
        <v>423.96000633589824</v>
      </c>
      <c r="DD141" s="18">
        <f t="shared" si="75"/>
        <v>300</v>
      </c>
      <c r="DE141" s="20">
        <f t="shared" si="74"/>
        <v>16245.780919206421</v>
      </c>
      <c r="DF141" s="20" cm="1">
        <f t="array" ref="DF141">SUMPRODUCT(($BG$2:$BM$2=CY141)*($B$5:$B$35=CZ141)*($BG$5:$BM$35))</f>
        <v>8995.2431705045383</v>
      </c>
      <c r="DG141" s="20">
        <f t="shared" si="81"/>
        <v>7250.5377487018832</v>
      </c>
      <c r="DH141" s="20" cm="1">
        <f t="array" ref="DH141">IF(CZ141=2023,SUMPRODUCT(($B$5:$B$35=CZ141-1)*($BN$5:$BN$35))-SUMPRODUCT(($BG$2:$BM$2=CY141)*($B$5:$B$35=CZ141-1)*($BG$5:$BM$35)),DG140)</f>
        <v>7512.0871822699246</v>
      </c>
      <c r="DI141" s="18">
        <f t="shared" ca="1" si="82"/>
        <v>723.96000633589824</v>
      </c>
      <c r="DJ141" s="89">
        <f t="shared" si="84"/>
        <v>8.8888309173328395</v>
      </c>
      <c r="DK141" s="89">
        <f t="shared" si="85"/>
        <v>8.9242686265542357</v>
      </c>
      <c r="DL141" s="89">
        <f t="shared" ca="1" si="86"/>
        <v>6.584736150992395</v>
      </c>
      <c r="DM141" s="20">
        <f t="shared" ca="1" si="87"/>
        <v>10806.529463558245</v>
      </c>
      <c r="DN141" s="20">
        <f t="shared" ca="1" si="88"/>
        <v>11345.992903261187</v>
      </c>
      <c r="DO141" s="20">
        <f t="shared" ca="1" si="89"/>
        <v>11076.261183409715</v>
      </c>
      <c r="DP141" s="113"/>
      <c r="DQ141" s="2"/>
      <c r="DR141" s="3"/>
      <c r="DT141" s="20"/>
      <c r="DU141" s="18"/>
      <c r="DV141" s="20"/>
    </row>
    <row r="142" spans="1:126" x14ac:dyDescent="0.25">
      <c r="A142">
        <v>0.5</v>
      </c>
      <c r="C142" s="190">
        <f>IF(C141*(1+A142*Model!$B$19*IF(Model!$B$28=0,1,((Model!$B$28-B142)/(Model!$B$28-$B$9))))&gt;Model!$B$44,C141*(1+A142*Model!$B$19*IF(Model!$B$28=0,1,((Model!$B$28-B142)/(Model!$B$28-$B$9)))),Model!$B$44)</f>
        <v>50</v>
      </c>
      <c r="H142" s="17"/>
      <c r="O142" s="18"/>
      <c r="CY142" s="20" t="str">
        <f t="shared" si="80"/>
        <v>Demo path - C price $300 3%</v>
      </c>
      <c r="CZ142" s="3">
        <f t="shared" si="73"/>
        <v>2048</v>
      </c>
      <c r="DA142" s="18">
        <f t="shared" si="90"/>
        <v>0</v>
      </c>
      <c r="DB142" s="18">
        <f ca="1">(L33+IF($DB$3&gt;0,NPV($DB$2,L34:OFFSET(L33,$DB$3,0)),0))/($DB$3+1)</f>
        <v>745.67880652597512</v>
      </c>
      <c r="DC142" s="18">
        <f t="shared" ca="1" si="83"/>
        <v>445.67880652597512</v>
      </c>
      <c r="DD142" s="18">
        <f t="shared" si="75"/>
        <v>300</v>
      </c>
      <c r="DE142" s="20">
        <f t="shared" si="74"/>
        <v>15581.870841314774</v>
      </c>
      <c r="DF142" s="20" cm="1">
        <f t="array" ref="DF142">SUMPRODUCT(($BG$2:$BM$2=CY142)*($B$5:$B$35=CZ142)*($BG$5:$BM$35))</f>
        <v>8571.367068358506</v>
      </c>
      <c r="DG142" s="20">
        <f t="shared" si="81"/>
        <v>7010.5037729562682</v>
      </c>
      <c r="DH142" s="20" cm="1">
        <f t="array" ref="DH142">IF(CZ142=2023,SUMPRODUCT(($B$5:$B$35=CZ142-1)*($BN$5:$BN$35))-SUMPRODUCT(($BG$2:$BM$2=CY142)*($B$5:$B$35=CZ142-1)*($BG$5:$BM$35)),DG141)</f>
        <v>7250.5377487018832</v>
      </c>
      <c r="DI142" s="18">
        <f t="shared" ca="1" si="82"/>
        <v>745.67880652597512</v>
      </c>
      <c r="DJ142" s="89">
        <f t="shared" si="84"/>
        <v>8.8551648423475147</v>
      </c>
      <c r="DK142" s="89">
        <f t="shared" si="85"/>
        <v>8.8888309173328395</v>
      </c>
      <c r="DL142" s="89">
        <f t="shared" ca="1" si="86"/>
        <v>6.614294953233939</v>
      </c>
      <c r="DM142" s="20">
        <f t="shared" ca="1" si="87"/>
        <v>11236.101537566961</v>
      </c>
      <c r="DN142" s="20">
        <f t="shared" ca="1" si="88"/>
        <v>11587.346221676651</v>
      </c>
      <c r="DO142" s="20">
        <f t="shared" ca="1" si="89"/>
        <v>11411.723879621806</v>
      </c>
      <c r="DP142" s="113"/>
      <c r="DQ142" s="2"/>
      <c r="DR142" s="3"/>
      <c r="DT142" s="20"/>
      <c r="DU142" s="18"/>
      <c r="DV142" s="20"/>
    </row>
    <row r="143" spans="1:126" x14ac:dyDescent="0.25">
      <c r="A143">
        <v>0.5</v>
      </c>
      <c r="C143" s="190">
        <f>IF(C142*(1+A143*Model!$B$19*IF(Model!$B$28=0,1,((Model!$B$28-B143)/(Model!$B$28-$B$9))))&gt;Model!$B$44,C142*(1+A143*Model!$B$19*IF(Model!$B$28=0,1,((Model!$B$28-B143)/(Model!$B$28-$B$9)))),Model!$B$44)</f>
        <v>50</v>
      </c>
      <c r="H143" s="17"/>
      <c r="O143" s="18"/>
      <c r="CY143" s="20" t="str">
        <f t="shared" si="80"/>
        <v>Demo path - C price $300 3%</v>
      </c>
      <c r="CZ143" s="3">
        <f t="shared" si="73"/>
        <v>2049</v>
      </c>
      <c r="DA143" s="18">
        <f t="shared" si="90"/>
        <v>0</v>
      </c>
      <c r="DB143" s="18">
        <f ca="1">(L34+IF($DB$3&gt;0,NPV($DB$2,L35:OFFSET(L34,$DB$3,0)),0))/($DB$3+1)</f>
        <v>768.04917072175408</v>
      </c>
      <c r="DC143" s="18">
        <f t="shared" ca="1" si="83"/>
        <v>468.04917072175408</v>
      </c>
      <c r="DD143" s="18">
        <f t="shared" si="75"/>
        <v>300</v>
      </c>
      <c r="DE143" s="20">
        <f t="shared" si="74"/>
        <v>15012.992887840681</v>
      </c>
      <c r="DF143" s="20" cm="1">
        <f t="array" ref="DF143">SUMPRODUCT(($BG$2:$BM$2=CY143)*($B$5:$B$35=CZ143)*($BG$5:$BM$35))</f>
        <v>8149.6310404626247</v>
      </c>
      <c r="DG143" s="20">
        <f t="shared" si="81"/>
        <v>6863.3618473780562</v>
      </c>
      <c r="DH143" s="20" cm="1">
        <f t="array" ref="DH143">IF(CZ143=2023,SUMPRODUCT(($B$5:$B$35=CZ143-1)*($BN$5:$BN$35))-SUMPRODUCT(($BG$2:$BM$2=CY143)*($B$5:$B$35=CZ143-1)*($BG$5:$BM$35)),DG142)</f>
        <v>7010.5037729562682</v>
      </c>
      <c r="DI143" s="18">
        <f t="shared" ca="1" si="82"/>
        <v>768.04917072175408</v>
      </c>
      <c r="DJ143" s="89">
        <f t="shared" si="84"/>
        <v>8.8339526658926513</v>
      </c>
      <c r="DK143" s="89">
        <f t="shared" si="85"/>
        <v>8.8551648423475147</v>
      </c>
      <c r="DL143" s="89">
        <f t="shared" ca="1" si="86"/>
        <v>6.6438537554754831</v>
      </c>
      <c r="DM143" s="20">
        <f t="shared" ca="1" si="87"/>
        <v>11672.256691581104</v>
      </c>
      <c r="DN143" s="20">
        <f t="shared" ca="1" si="88"/>
        <v>11833.808571869002</v>
      </c>
      <c r="DO143" s="20">
        <f t="shared" ca="1" si="89"/>
        <v>11753.032631725053</v>
      </c>
      <c r="DP143" s="113"/>
      <c r="DQ143" s="2"/>
      <c r="DR143" s="3"/>
      <c r="DT143" s="20"/>
      <c r="DU143" s="18"/>
      <c r="DV143" s="20"/>
    </row>
    <row r="144" spans="1:126" x14ac:dyDescent="0.25">
      <c r="A144">
        <v>0.5</v>
      </c>
      <c r="C144" s="190">
        <f>IF(C143*(1+A144*Model!$B$19*IF(Model!$B$28=0,1,((Model!$B$28-B144)/(Model!$B$28-$B$9))))&gt;Model!$B$44,C143*(1+A144*Model!$B$19*IF(Model!$B$28=0,1,((Model!$B$28-B144)/(Model!$B$28-$B$9)))),Model!$B$44)</f>
        <v>50</v>
      </c>
      <c r="H144" s="17"/>
      <c r="O144" s="18"/>
      <c r="CY144" s="94" t="str">
        <f t="shared" si="80"/>
        <v>Demo path - C price $300 3%</v>
      </c>
      <c r="CZ144" s="3">
        <f t="shared" si="73"/>
        <v>2050</v>
      </c>
      <c r="DA144" s="18">
        <f t="shared" si="90"/>
        <v>0</v>
      </c>
      <c r="DB144" s="18">
        <f ca="1">(L35+IF($DB$3&gt;0,NPV($DB$2,L36:OFFSET(L35,$DB$3,0)),0))/($DB$3+1)</f>
        <v>791.09064584340695</v>
      </c>
      <c r="DC144" s="18">
        <f t="shared" ca="1" si="83"/>
        <v>491.09064584340695</v>
      </c>
      <c r="DD144" s="18">
        <f t="shared" si="75"/>
        <v>300</v>
      </c>
      <c r="DE144" s="20">
        <f t="shared" si="74"/>
        <v>14477.451467153383</v>
      </c>
      <c r="DF144" s="20" cm="1">
        <f t="array" ref="DF144">SUMPRODUCT(($BG$2:$BM$2=CY144)*($B$5:$B$35=CZ144)*($BG$5:$BM$35))</f>
        <v>7786.694520079237</v>
      </c>
      <c r="DG144" s="20">
        <f t="shared" si="81"/>
        <v>6690.7569470741464</v>
      </c>
      <c r="DH144" s="20" cm="1">
        <f t="array" ref="DH144">IF(CZ144=2023,SUMPRODUCT(($B$5:$B$35=CZ144-1)*($BN$5:$BN$35))-SUMPRODUCT(($BG$2:$BM$2=CY144)*($B$5:$B$35=CZ144-1)*($BG$5:$BM$35)),DG143)</f>
        <v>6863.3618473780562</v>
      </c>
      <c r="DI144" s="18">
        <f t="shared" ca="1" si="82"/>
        <v>791.09064584340695</v>
      </c>
      <c r="DJ144" s="89">
        <f t="shared" si="84"/>
        <v>8.8084822927716893</v>
      </c>
      <c r="DK144" s="89">
        <f t="shared" si="85"/>
        <v>8.8339526658926513</v>
      </c>
      <c r="DL144" s="89">
        <f t="shared" ca="1" si="86"/>
        <v>6.673412557717028</v>
      </c>
      <c r="DM144" s="20">
        <f t="shared" ca="1" si="87"/>
        <v>12115.569556826345</v>
      </c>
      <c r="DN144" s="20">
        <f t="shared" ca="1" si="88"/>
        <v>12085.497572756345</v>
      </c>
      <c r="DO144" s="20">
        <f t="shared" ca="1" si="89"/>
        <v>12100.533564791345</v>
      </c>
      <c r="DP144" s="113"/>
      <c r="DQ144" s="2"/>
      <c r="DR144" s="3"/>
      <c r="DT144" s="20"/>
      <c r="DU144" s="18"/>
      <c r="DV144" s="20"/>
    </row>
    <row r="145" spans="1:126" x14ac:dyDescent="0.25">
      <c r="A145">
        <v>0.5</v>
      </c>
      <c r="C145" s="190">
        <f>IF(C144*(1+A145*Model!$B$19*IF(Model!$B$28=0,1,((Model!$B$28-B145)/(Model!$B$28-$B$9))))&gt;Model!$B$44,C144*(1+A145*Model!$B$19*IF(Model!$B$28=0,1,((Model!$B$28-B145)/(Model!$B$28-$B$9)))),Model!$B$44)</f>
        <v>50</v>
      </c>
      <c r="H145" s="17"/>
      <c r="O145" s="18"/>
      <c r="CY145" s="20" t="str">
        <f>M2</f>
        <v>Demo path - C price $50 3%</v>
      </c>
      <c r="CZ145" s="3">
        <f t="shared" si="73"/>
        <v>2023</v>
      </c>
      <c r="DA145" s="18">
        <f t="shared" si="90"/>
        <v>0</v>
      </c>
      <c r="DB145" s="18">
        <f ca="1">(M8+IF($DB$3&gt;0,NPV($DB$2,M9:OFFSET(M8,$DB$3,0)),0))/($DB$3+1)</f>
        <v>59.356725146198841</v>
      </c>
      <c r="DC145" s="18">
        <f t="shared" ca="1" si="83"/>
        <v>9.3567251461988405</v>
      </c>
      <c r="DD145" s="18">
        <v>50</v>
      </c>
      <c r="DE145" s="20">
        <f t="shared" si="74"/>
        <v>37354.602072444766</v>
      </c>
      <c r="DF145" s="20" cm="1">
        <f t="array" ref="DF145">SUMPRODUCT(($BG$2:$BM$2=CY145)*($B$5:$B$35=CZ145)*($BG$5:$BM$35))</f>
        <v>37091.146011130593</v>
      </c>
      <c r="DG145" s="20">
        <f t="shared" si="81"/>
        <v>263.45606131417298</v>
      </c>
      <c r="DH145" s="20" cm="1">
        <f t="array" ref="DH145">IF(CZ145=2023,SUMPRODUCT(($B$5:$B$35=CZ145-1)*($BN$5:$BN$35))-SUMPRODUCT(($BG$2:$BM$2=CY145)*($B$5:$B$35=CZ145-1)*($BG$5:$BM$35)),DG144)</f>
        <v>99.612556456348102</v>
      </c>
      <c r="DI145" s="18">
        <f t="shared" ca="1" si="82"/>
        <v>59.356725146198841</v>
      </c>
      <c r="DJ145" s="89">
        <f t="shared" si="84"/>
        <v>5.5738866038462094</v>
      </c>
      <c r="DK145" s="89">
        <f t="shared" si="85"/>
        <v>4.6012882254833807</v>
      </c>
      <c r="DL145" s="89">
        <f t="shared" ca="1" si="86"/>
        <v>4.0835654279672733</v>
      </c>
      <c r="DM145" s="20">
        <f t="shared" ca="1" si="87"/>
        <v>179.30927189727328</v>
      </c>
      <c r="DN145" s="20">
        <f t="shared" ca="1" si="88"/>
        <v>320.21064678314315</v>
      </c>
      <c r="DO145" s="20">
        <f t="shared" ca="1" si="89"/>
        <v>249.75995934020821</v>
      </c>
      <c r="DP145" s="113"/>
      <c r="DQ145" s="2"/>
      <c r="DR145" s="3"/>
      <c r="DT145" s="20"/>
      <c r="DU145" s="18"/>
      <c r="DV145" s="20"/>
    </row>
    <row r="146" spans="1:126" x14ac:dyDescent="0.25">
      <c r="A146">
        <v>0.5</v>
      </c>
      <c r="C146" s="190">
        <f>IF(C145*(1+A146*Model!$B$19*IF(Model!$B$28=0,1,((Model!$B$28-B146)/(Model!$B$28-$B$9))))&gt;Model!$B$44,C145*(1+A146*Model!$B$19*IF(Model!$B$28=0,1,((Model!$B$28-B146)/(Model!$B$28-$B$9)))),Model!$B$44)</f>
        <v>50</v>
      </c>
      <c r="H146" s="17"/>
      <c r="O146" s="18"/>
      <c r="CY146" s="20" t="str">
        <f>CY145</f>
        <v>Demo path - C price $50 3%</v>
      </c>
      <c r="CZ146" s="3">
        <f t="shared" si="73"/>
        <v>2024</v>
      </c>
      <c r="DA146" s="18">
        <f t="shared" si="90"/>
        <v>0</v>
      </c>
      <c r="DB146" s="18">
        <f ca="1">(M9+IF($DB$3&gt;0,NPV($DB$2,M10:OFFSET(M9,$DB$3,0)),0))/($DB$3+1)</f>
        <v>61.137426900584792</v>
      </c>
      <c r="DC146" s="18">
        <f t="shared" ca="1" si="83"/>
        <v>11.137426900584792</v>
      </c>
      <c r="DD146" s="18">
        <f t="shared" si="75"/>
        <v>50</v>
      </c>
      <c r="DE146" s="20">
        <f t="shared" si="74"/>
        <v>36520.25063854071</v>
      </c>
      <c r="DF146" s="20" cm="1">
        <f t="array" ref="DF146">SUMPRODUCT(($BG$2:$BM$2=CY146)*($B$5:$B$35=CZ146)*($BG$5:$BM$35))</f>
        <v>36198.691736115929</v>
      </c>
      <c r="DG146" s="20">
        <f t="shared" si="81"/>
        <v>321.55890242478199</v>
      </c>
      <c r="DH146" s="20" cm="1">
        <f t="array" ref="DH146">IF(CZ146=2023,SUMPRODUCT(($B$5:$B$35=CZ146-1)*($BN$5:$BN$35))-SUMPRODUCT(($BG$2:$BM$2=CY146)*($B$5:$B$35=CZ146-1)*($BG$5:$BM$35)),DG145)</f>
        <v>263.45606131417298</v>
      </c>
      <c r="DI146" s="18">
        <f t="shared" ca="1" si="82"/>
        <v>61.137426900584792</v>
      </c>
      <c r="DJ146" s="89">
        <f t="shared" si="84"/>
        <v>5.7731807381711322</v>
      </c>
      <c r="DK146" s="89">
        <f t="shared" si="85"/>
        <v>5.5738866038462094</v>
      </c>
      <c r="DL146" s="89">
        <f t="shared" ca="1" si="86"/>
        <v>4.1131242302088182</v>
      </c>
      <c r="DM146" s="20">
        <f t="shared" ca="1" si="87"/>
        <v>256.80784763797175</v>
      </c>
      <c r="DN146" s="20">
        <f t="shared" ca="1" si="88"/>
        <v>657.53139251672042</v>
      </c>
      <c r="DO146" s="20">
        <f t="shared" ca="1" si="89"/>
        <v>457.16962007734605</v>
      </c>
      <c r="DP146" s="113"/>
      <c r="DQ146" s="2"/>
      <c r="DR146" s="3"/>
      <c r="DT146" s="20"/>
      <c r="DU146" s="18"/>
      <c r="DV146" s="20"/>
    </row>
    <row r="147" spans="1:126" x14ac:dyDescent="0.25">
      <c r="A147">
        <v>0.5</v>
      </c>
      <c r="C147" s="190">
        <f>IF(C146*(1+A147*Model!$B$19*IF(Model!$B$28=0,1,((Model!$B$28-B147)/(Model!$B$28-$B$9))))&gt;Model!$B$44,C146*(1+A147*Model!$B$19*IF(Model!$B$28=0,1,((Model!$B$28-B147)/(Model!$B$28-$B$9)))),Model!$B$44)</f>
        <v>50</v>
      </c>
      <c r="H147" s="17"/>
      <c r="O147" s="18"/>
      <c r="CY147" s="20" t="str">
        <f t="shared" ref="CY147:CY172" si="91">CY146</f>
        <v>Demo path - C price $50 3%</v>
      </c>
      <c r="CZ147" s="3">
        <f t="shared" si="73"/>
        <v>2025</v>
      </c>
      <c r="DA147" s="18">
        <f t="shared" si="90"/>
        <v>0</v>
      </c>
      <c r="DB147" s="18">
        <f ca="1">(M10+IF($DB$3&gt;0,NPV($DB$2,M11:OFFSET(M10,$DB$3,0)),0))/($DB$3+1)</f>
        <v>62.971549707602321</v>
      </c>
      <c r="DC147" s="18">
        <f t="shared" ca="1" si="83"/>
        <v>12.971549707602321</v>
      </c>
      <c r="DD147" s="18">
        <f t="shared" si="75"/>
        <v>50</v>
      </c>
      <c r="DE147" s="20">
        <f t="shared" si="74"/>
        <v>36119.314820792293</v>
      </c>
      <c r="DF147" s="20" cm="1">
        <f t="array" ref="DF147">SUMPRODUCT(($BG$2:$BM$2=CY147)*($B$5:$B$35=CZ147)*($BG$5:$BM$35))</f>
        <v>35449.977426677535</v>
      </c>
      <c r="DG147" s="20">
        <f t="shared" si="81"/>
        <v>669.33739411475835</v>
      </c>
      <c r="DH147" s="20" cm="1">
        <f t="array" ref="DH147">IF(CZ147=2023,SUMPRODUCT(($B$5:$B$35=CZ147-1)*($BN$5:$BN$35))-SUMPRODUCT(($BG$2:$BM$2=CY147)*($B$5:$B$35=CZ147-1)*($BG$5:$BM$35)),DG146)</f>
        <v>321.55890242478199</v>
      </c>
      <c r="DI147" s="18">
        <f t="shared" ca="1" si="82"/>
        <v>62.971549707602321</v>
      </c>
      <c r="DJ147" s="89">
        <f t="shared" si="84"/>
        <v>6.5062882590296258</v>
      </c>
      <c r="DK147" s="89">
        <f t="shared" si="85"/>
        <v>5.7731807381711322</v>
      </c>
      <c r="DL147" s="89">
        <f t="shared" ca="1" si="86"/>
        <v>4.1426830324503623</v>
      </c>
      <c r="DM147" s="20">
        <f t="shared" ca="1" si="87"/>
        <v>332.31687676909098</v>
      </c>
      <c r="DN147" s="20">
        <f t="shared" ca="1" si="88"/>
        <v>1027.6220773857733</v>
      </c>
      <c r="DO147" s="20">
        <f t="shared" ca="1" si="89"/>
        <v>679.9694770774322</v>
      </c>
      <c r="DP147" s="113"/>
      <c r="DQ147" s="2"/>
      <c r="DR147" s="3"/>
      <c r="DT147" s="20"/>
      <c r="DU147" s="18"/>
      <c r="DV147" s="20"/>
    </row>
    <row r="148" spans="1:126" x14ac:dyDescent="0.25">
      <c r="A148">
        <v>0.5</v>
      </c>
      <c r="C148" s="190">
        <f>IF(C147*(1+A148*Model!$B$19*IF(Model!$B$28=0,1,((Model!$B$28-B148)/(Model!$B$28-$B$9))))&gt;Model!$B$44,C147*(1+A148*Model!$B$19*IF(Model!$B$28=0,1,((Model!$B$28-B148)/(Model!$B$28-$B$9)))),Model!$B$44)</f>
        <v>50</v>
      </c>
      <c r="H148" s="17"/>
      <c r="O148" s="18"/>
      <c r="CY148" s="20" t="str">
        <f t="shared" si="91"/>
        <v>Demo path - C price $50 3%</v>
      </c>
      <c r="CZ148" s="3">
        <f t="shared" si="73"/>
        <v>2026</v>
      </c>
      <c r="DA148" s="18">
        <f t="shared" si="90"/>
        <v>0</v>
      </c>
      <c r="DB148" s="18">
        <f ca="1">(M11+IF($DB$3&gt;0,NPV($DB$2,M12:OFFSET(M11,$DB$3,0)),0))/($DB$3+1)</f>
        <v>64.860696198830411</v>
      </c>
      <c r="DC148" s="18">
        <f t="shared" ca="1" si="83"/>
        <v>14.860696198830411</v>
      </c>
      <c r="DD148" s="18">
        <f t="shared" si="75"/>
        <v>50</v>
      </c>
      <c r="DE148" s="20">
        <f t="shared" si="74"/>
        <v>35989.651978621361</v>
      </c>
      <c r="DF148" s="20" cm="1">
        <f t="array" ref="DF148">SUMPRODUCT(($BG$2:$BM$2=CY148)*($B$5:$B$35=CZ148)*($BG$5:$BM$35))</f>
        <v>34946.346248030473</v>
      </c>
      <c r="DG148" s="20">
        <f t="shared" si="81"/>
        <v>1043.3057305908878</v>
      </c>
      <c r="DH148" s="20" cm="1">
        <f t="array" ref="DH148">IF(CZ148=2023,SUMPRODUCT(($B$5:$B$35=CZ148-1)*($BN$5:$BN$35))-SUMPRODUCT(($BG$2:$BM$2=CY148)*($B$5:$B$35=CZ148-1)*($BG$5:$BM$35)),DG147)</f>
        <v>669.33739411475835</v>
      </c>
      <c r="DI148" s="18">
        <f t="shared" ca="1" si="82"/>
        <v>64.860696198830411</v>
      </c>
      <c r="DJ148" s="89">
        <f t="shared" si="84"/>
        <v>6.9501495382134513</v>
      </c>
      <c r="DK148" s="89">
        <f t="shared" si="85"/>
        <v>6.5062882590296258</v>
      </c>
      <c r="DL148" s="89">
        <f t="shared" ca="1" si="86"/>
        <v>4.1722418346919063</v>
      </c>
      <c r="DM148" s="20">
        <f t="shared" ca="1" si="87"/>
        <v>406.03478610711039</v>
      </c>
      <c r="DN148" s="20">
        <f t="shared" ca="1" si="88"/>
        <v>1359.9667557611558</v>
      </c>
      <c r="DO148" s="20">
        <f t="shared" ca="1" si="89"/>
        <v>883.00077093413313</v>
      </c>
      <c r="DP148" s="113"/>
      <c r="DQ148" s="2"/>
      <c r="DR148" s="3"/>
      <c r="DT148" s="20"/>
      <c r="DU148" s="18"/>
      <c r="DV148" s="20"/>
    </row>
    <row r="149" spans="1:126" x14ac:dyDescent="0.25">
      <c r="A149">
        <v>0.5</v>
      </c>
      <c r="C149" s="190">
        <f>IF(C148*(1+A149*Model!$B$19*IF(Model!$B$28=0,1,((Model!$B$28-B149)/(Model!$B$28-$B$9))))&gt;Model!$B$44,C148*(1+A149*Model!$B$19*IF(Model!$B$28=0,1,((Model!$B$28-B149)/(Model!$B$28-$B$9)))),Model!$B$44)</f>
        <v>50</v>
      </c>
      <c r="H149" s="17"/>
      <c r="O149" s="18"/>
      <c r="CY149" s="20" t="str">
        <f t="shared" si="91"/>
        <v>Demo path - C price $50 3%</v>
      </c>
      <c r="CZ149" s="3">
        <f t="shared" si="73"/>
        <v>2027</v>
      </c>
      <c r="DA149" s="18">
        <f t="shared" si="90"/>
        <v>0</v>
      </c>
      <c r="DB149" s="18">
        <f ca="1">(M12+IF($DB$3&gt;0,NPV($DB$2,M13:OFFSET(M12,$DB$3,0)),0))/($DB$3+1)</f>
        <v>66.806517084795317</v>
      </c>
      <c r="DC149" s="18">
        <f t="shared" ca="1" si="83"/>
        <v>16.806517084795317</v>
      </c>
      <c r="DD149" s="18">
        <f t="shared" si="75"/>
        <v>50</v>
      </c>
      <c r="DE149" s="20">
        <f t="shared" si="74"/>
        <v>35793.252751753469</v>
      </c>
      <c r="DF149" s="20" cm="1">
        <f t="array" ref="DF149">SUMPRODUCT(($BG$2:$BM$2=CY149)*($B$5:$B$35=CZ149)*($BG$5:$BM$35))</f>
        <v>34388.351526823491</v>
      </c>
      <c r="DG149" s="20">
        <f t="shared" si="81"/>
        <v>1404.9012249299776</v>
      </c>
      <c r="DH149" s="20" cm="1">
        <f t="array" ref="DH149">IF(CZ149=2023,SUMPRODUCT(($B$5:$B$35=CZ149-1)*($BN$5:$BN$35))-SUMPRODUCT(($BG$2:$BM$2=CY149)*($B$5:$B$35=CZ149-1)*($BG$5:$BM$35)),DG148)</f>
        <v>1043.3057305908878</v>
      </c>
      <c r="DI149" s="18">
        <f t="shared" ca="1" si="82"/>
        <v>66.806517084795317</v>
      </c>
      <c r="DJ149" s="89">
        <f t="shared" si="84"/>
        <v>7.2477222767555656</v>
      </c>
      <c r="DK149" s="89">
        <f t="shared" si="85"/>
        <v>6.9501495382134513</v>
      </c>
      <c r="DL149" s="89">
        <f t="shared" ca="1" si="86"/>
        <v>4.2018006369334513</v>
      </c>
      <c r="DM149" s="20">
        <f t="shared" ca="1" si="87"/>
        <v>478.15051376838062</v>
      </c>
      <c r="DN149" s="20">
        <f t="shared" ca="1" si="88"/>
        <v>1626.4088720681598</v>
      </c>
      <c r="DO149" s="20">
        <f t="shared" ca="1" si="89"/>
        <v>1052.2796929182703</v>
      </c>
      <c r="DP149" s="113"/>
      <c r="DQ149" s="2"/>
      <c r="DR149" s="3"/>
      <c r="DT149" s="20"/>
      <c r="DU149" s="18"/>
      <c r="DV149" s="20"/>
    </row>
    <row r="150" spans="1:126" x14ac:dyDescent="0.25">
      <c r="A150">
        <v>0.5</v>
      </c>
      <c r="C150" s="190">
        <f>IF(C149*(1+A150*Model!$B$19*IF(Model!$B$28=0,1,((Model!$B$28-B150)/(Model!$B$28-$B$9))))&gt;Model!$B$44,C149*(1+A150*Model!$B$19*IF(Model!$B$28=0,1,((Model!$B$28-B150)/(Model!$B$28-$B$9)))),Model!$B$44)</f>
        <v>50</v>
      </c>
      <c r="H150" s="17"/>
      <c r="O150" s="18"/>
      <c r="CY150" s="20" t="str">
        <f t="shared" si="91"/>
        <v>Demo path - C price $50 3%</v>
      </c>
      <c r="CZ150" s="3">
        <f t="shared" si="73"/>
        <v>2028</v>
      </c>
      <c r="DA150" s="18">
        <f t="shared" si="90"/>
        <v>0</v>
      </c>
      <c r="DB150" s="18">
        <f ca="1">(M13+IF($DB$3&gt;0,NPV($DB$2,M14:OFFSET(M13,$DB$3,0)),0))/($DB$3+1)</f>
        <v>68.81071259733919</v>
      </c>
      <c r="DC150" s="18">
        <f t="shared" ca="1" si="83"/>
        <v>18.81071259733919</v>
      </c>
      <c r="DD150" s="18">
        <f t="shared" si="75"/>
        <v>50</v>
      </c>
      <c r="DE150" s="20">
        <f t="shared" si="74"/>
        <v>35511.189170281767</v>
      </c>
      <c r="DF150" s="20" cm="1">
        <f t="array" ref="DF150">SUMPRODUCT(($BG$2:$BM$2=CY150)*($B$5:$B$35=CZ150)*($BG$5:$BM$35))</f>
        <v>33764.147321780722</v>
      </c>
      <c r="DG150" s="20">
        <f t="shared" si="81"/>
        <v>1747.041848501045</v>
      </c>
      <c r="DH150" s="20" cm="1">
        <f t="array" ref="DH150">IF(CZ150=2023,SUMPRODUCT(($B$5:$B$35=CZ150-1)*($BN$5:$BN$35))-SUMPRODUCT(($BG$2:$BM$2=CY150)*($B$5:$B$35=CZ150-1)*($BG$5:$BM$35)),DG149)</f>
        <v>1404.9012249299776</v>
      </c>
      <c r="DI150" s="18">
        <f t="shared" ca="1" si="82"/>
        <v>68.81071259733919</v>
      </c>
      <c r="DJ150" s="89">
        <f t="shared" si="84"/>
        <v>7.4656792643411674</v>
      </c>
      <c r="DK150" s="89">
        <f t="shared" si="85"/>
        <v>7.2477222767555656</v>
      </c>
      <c r="DL150" s="89">
        <f t="shared" ca="1" si="86"/>
        <v>4.2313594391749954</v>
      </c>
      <c r="DM150" s="20">
        <f t="shared" ca="1" si="87"/>
        <v>548.84414828904744</v>
      </c>
      <c r="DN150" s="20">
        <f t="shared" ca="1" si="88"/>
        <v>1828.6600555204668</v>
      </c>
      <c r="DO150" s="20">
        <f t="shared" ca="1" si="89"/>
        <v>1188.7521019047572</v>
      </c>
      <c r="DP150" s="113"/>
      <c r="DQ150" s="2"/>
      <c r="DR150" s="3"/>
      <c r="DT150" s="20"/>
      <c r="DU150" s="18"/>
      <c r="DV150" s="20"/>
    </row>
    <row r="151" spans="1:126" x14ac:dyDescent="0.25">
      <c r="A151">
        <v>0.5</v>
      </c>
      <c r="C151" s="190">
        <f>IF(C150*(1+A151*Model!$B$19*IF(Model!$B$28=0,1,((Model!$B$28-B151)/(Model!$B$28-$B$9))))&gt;Model!$B$44,C150*(1+A151*Model!$B$19*IF(Model!$B$28=0,1,((Model!$B$28-B151)/(Model!$B$28-$B$9)))),Model!$B$44)</f>
        <v>50</v>
      </c>
      <c r="H151" s="17"/>
      <c r="O151" s="18"/>
      <c r="CY151" s="20" t="str">
        <f t="shared" si="91"/>
        <v>Demo path - C price $50 3%</v>
      </c>
      <c r="CZ151" s="3">
        <f t="shared" si="73"/>
        <v>2029</v>
      </c>
      <c r="DA151" s="18">
        <f t="shared" si="90"/>
        <v>0</v>
      </c>
      <c r="DB151" s="18">
        <f ca="1">(M14+IF($DB$3&gt;0,NPV($DB$2,M15:OFFSET(M14,$DB$3,0)),0))/($DB$3+1)</f>
        <v>70.87503397525937</v>
      </c>
      <c r="DC151" s="18">
        <f t="shared" ca="1" si="83"/>
        <v>20.87503397525937</v>
      </c>
      <c r="DD151" s="18">
        <f t="shared" si="75"/>
        <v>50</v>
      </c>
      <c r="DE151" s="20">
        <f t="shared" si="74"/>
        <v>35177.841893805635</v>
      </c>
      <c r="DF151" s="20" cm="1">
        <f t="array" ref="DF151">SUMPRODUCT(($BG$2:$BM$2=CY151)*($B$5:$B$35=CZ151)*($BG$5:$BM$35))</f>
        <v>33196.401973163898</v>
      </c>
      <c r="DG151" s="20">
        <f t="shared" si="81"/>
        <v>1981.4399206417365</v>
      </c>
      <c r="DH151" s="20" cm="1">
        <f t="array" ref="DH151">IF(CZ151=2023,SUMPRODUCT(($B$5:$B$35=CZ151-1)*($BN$5:$BN$35))-SUMPRODUCT(($BG$2:$BM$2=CY151)*($B$5:$B$35=CZ151-1)*($BG$5:$BM$35)),DG150)</f>
        <v>1747.041848501045</v>
      </c>
      <c r="DI151" s="18">
        <f t="shared" ca="1" si="82"/>
        <v>70.87503397525937</v>
      </c>
      <c r="DJ151" s="89">
        <f t="shared" si="84"/>
        <v>7.5915790920303943</v>
      </c>
      <c r="DK151" s="89">
        <f t="shared" si="85"/>
        <v>7.4656792643411674</v>
      </c>
      <c r="DL151" s="89">
        <f t="shared" ca="1" si="86"/>
        <v>4.2609182414165403</v>
      </c>
      <c r="DM151" s="20">
        <f t="shared" ca="1" si="87"/>
        <v>618.28753165380374</v>
      </c>
      <c r="DN151" s="20">
        <f t="shared" ca="1" si="88"/>
        <v>1980.2149737252687</v>
      </c>
      <c r="DO151" s="20">
        <f t="shared" ca="1" si="89"/>
        <v>1299.2512526895362</v>
      </c>
      <c r="DP151" s="113"/>
      <c r="DQ151" s="2"/>
      <c r="DR151" s="3"/>
      <c r="DT151" s="20"/>
      <c r="DU151" s="18"/>
      <c r="DV151" s="20"/>
    </row>
    <row r="152" spans="1:126" x14ac:dyDescent="0.25">
      <c r="A152">
        <v>0.5</v>
      </c>
      <c r="C152" s="190">
        <f>IF(C151*(1+A152*Model!$B$19*IF(Model!$B$28=0,1,((Model!$B$28-B152)/(Model!$B$28-$B$9))))&gt;Model!$B$44,C151*(1+A152*Model!$B$19*IF(Model!$B$28=0,1,((Model!$B$28-B152)/(Model!$B$28-$B$9)))),Model!$B$44)</f>
        <v>50</v>
      </c>
      <c r="H152" s="17"/>
      <c r="O152" s="18"/>
      <c r="CY152" s="20" t="str">
        <f t="shared" si="91"/>
        <v>Demo path - C price $50 3%</v>
      </c>
      <c r="CZ152" s="3">
        <f t="shared" si="73"/>
        <v>2030</v>
      </c>
      <c r="DA152" s="18">
        <f t="shared" si="90"/>
        <v>0</v>
      </c>
      <c r="DB152" s="18">
        <f ca="1">(M15+IF($DB$3&gt;0,NPV($DB$2,M16:OFFSET(M15,$DB$3,0)),0))/($DB$3+1)</f>
        <v>73.001284994517135</v>
      </c>
      <c r="DC152" s="18">
        <f t="shared" ca="1" si="83"/>
        <v>23.001284994517135</v>
      </c>
      <c r="DD152" s="18">
        <f t="shared" si="75"/>
        <v>50</v>
      </c>
      <c r="DE152" s="20">
        <f t="shared" si="74"/>
        <v>33772.256001092159</v>
      </c>
      <c r="DF152" s="20" cm="1">
        <f t="array" ref="DF152">SUMPRODUCT(($BG$2:$BM$2=CY152)*($B$5:$B$35=CZ152)*($BG$5:$BM$35))</f>
        <v>31477.01813418062</v>
      </c>
      <c r="DG152" s="20">
        <f t="shared" si="81"/>
        <v>2295.2378669115387</v>
      </c>
      <c r="DH152" s="20" cm="1">
        <f t="array" ref="DH152">IF(CZ152=2023,SUMPRODUCT(($B$5:$B$35=CZ152-1)*($BN$5:$BN$35))-SUMPRODUCT(($BG$2:$BM$2=CY152)*($B$5:$B$35=CZ152-1)*($BG$5:$BM$35)),DG151)</f>
        <v>1981.4399206417365</v>
      </c>
      <c r="DI152" s="18">
        <f t="shared" ca="1" si="82"/>
        <v>73.001284994517135</v>
      </c>
      <c r="DJ152" s="89">
        <f t="shared" si="84"/>
        <v>7.7385917628368883</v>
      </c>
      <c r="DK152" s="89">
        <f t="shared" si="85"/>
        <v>7.5915790920303943</v>
      </c>
      <c r="DL152" s="89">
        <f t="shared" ca="1" si="86"/>
        <v>4.2904770436580844</v>
      </c>
      <c r="DM152" s="20">
        <f t="shared" ca="1" si="87"/>
        <v>686.64482845692282</v>
      </c>
      <c r="DN152" s="20">
        <f t="shared" ca="1" si="88"/>
        <v>2095.7918919048211</v>
      </c>
      <c r="DO152" s="20">
        <f t="shared" ca="1" si="89"/>
        <v>1391.218360180872</v>
      </c>
      <c r="DP152" s="113"/>
      <c r="DQ152" s="2"/>
      <c r="DR152" s="3"/>
      <c r="DT152" s="20"/>
      <c r="DU152" s="18"/>
      <c r="DV152" s="20"/>
    </row>
    <row r="153" spans="1:126" x14ac:dyDescent="0.25">
      <c r="A153">
        <v>0.5</v>
      </c>
      <c r="C153" s="190">
        <f>IF(C152*(1+A153*Model!$B$19*IF(Model!$B$28=0,1,((Model!$B$28-B153)/(Model!$B$28-$B$9))))&gt;Model!$B$44,C152*(1+A153*Model!$B$19*IF(Model!$B$28=0,1,((Model!$B$28-B153)/(Model!$B$28-$B$9)))),Model!$B$44)</f>
        <v>50</v>
      </c>
      <c r="H153" s="17"/>
      <c r="O153" s="18"/>
      <c r="CY153" s="20" t="str">
        <f t="shared" si="91"/>
        <v>Demo path - C price $50 3%</v>
      </c>
      <c r="CZ153" s="3">
        <f t="shared" si="73"/>
        <v>2031</v>
      </c>
      <c r="DA153" s="18">
        <f t="shared" si="90"/>
        <v>0</v>
      </c>
      <c r="DB153" s="18">
        <f ca="1">(M16+IF($DB$3&gt;0,NPV($DB$2,M17:OFFSET(M16,$DB$3,0)),0))/($DB$3+1)</f>
        <v>75.191323544352642</v>
      </c>
      <c r="DC153" s="18">
        <f t="shared" ca="1" si="83"/>
        <v>25.191323544352642</v>
      </c>
      <c r="DD153" s="18">
        <f t="shared" si="75"/>
        <v>50</v>
      </c>
      <c r="DE153" s="20">
        <f t="shared" si="74"/>
        <v>32544.850715439803</v>
      </c>
      <c r="DF153" s="20" cm="1">
        <f t="array" ref="DF153">SUMPRODUCT(($BG$2:$BM$2=CY153)*($B$5:$B$35=CZ153)*($BG$5:$BM$35))</f>
        <v>30481.781957002353</v>
      </c>
      <c r="DG153" s="20">
        <f t="shared" si="81"/>
        <v>2063.06875843745</v>
      </c>
      <c r="DH153" s="20" cm="1">
        <f t="array" ref="DH153">IF(CZ153=2023,SUMPRODUCT(($B$5:$B$35=CZ153-1)*($BN$5:$BN$35))-SUMPRODUCT(($BG$2:$BM$2=CY153)*($B$5:$B$35=CZ153-1)*($BG$5:$BM$35)),DG152)</f>
        <v>2295.2378669115387</v>
      </c>
      <c r="DI153" s="18">
        <f t="shared" ca="1" si="82"/>
        <v>75.191323544352642</v>
      </c>
      <c r="DJ153" s="89">
        <f t="shared" si="84"/>
        <v>7.6319498418602185</v>
      </c>
      <c r="DK153" s="89">
        <f t="shared" si="85"/>
        <v>7.7385917628368883</v>
      </c>
      <c r="DL153" s="89">
        <f t="shared" ca="1" si="86"/>
        <v>4.3200358458996284</v>
      </c>
      <c r="DM153" s="20">
        <f t="shared" ca="1" si="87"/>
        <v>754.07306328794061</v>
      </c>
      <c r="DN153" s="20">
        <f t="shared" ca="1" si="88"/>
        <v>2187.3936638497294</v>
      </c>
      <c r="DO153" s="20">
        <f t="shared" ca="1" si="89"/>
        <v>1470.7333635688351</v>
      </c>
      <c r="DP153" s="113"/>
      <c r="DQ153" s="2"/>
      <c r="DR153" s="3"/>
      <c r="DT153" s="20"/>
      <c r="DU153" s="18"/>
      <c r="DV153" s="20"/>
    </row>
    <row r="154" spans="1:126" x14ac:dyDescent="0.25">
      <c r="A154">
        <v>0.5</v>
      </c>
      <c r="C154" s="190">
        <f>IF(C153*(1+A154*Model!$B$19*IF(Model!$B$28=0,1,((Model!$B$28-B154)/(Model!$B$28-$B$9))))&gt;Model!$B$44,C153*(1+A154*Model!$B$19*IF(Model!$B$28=0,1,((Model!$B$28-B154)/(Model!$B$28-$B$9)))),Model!$B$44)</f>
        <v>50</v>
      </c>
      <c r="H154" s="17"/>
      <c r="O154" s="18"/>
      <c r="CY154" s="20" t="str">
        <f t="shared" si="91"/>
        <v>Demo path - C price $50 3%</v>
      </c>
      <c r="CZ154" s="3">
        <f t="shared" si="73"/>
        <v>2032</v>
      </c>
      <c r="DA154" s="18">
        <f t="shared" si="90"/>
        <v>0</v>
      </c>
      <c r="DB154" s="18">
        <f ca="1">(M17+IF($DB$3&gt;0,NPV($DB$2,M18:OFFSET(M17,$DB$3,0)),0))/($DB$3+1)</f>
        <v>77.447063250683243</v>
      </c>
      <c r="DC154" s="18">
        <f t="shared" ca="1" si="83"/>
        <v>27.447063250683243</v>
      </c>
      <c r="DD154" s="18">
        <f t="shared" si="75"/>
        <v>50</v>
      </c>
      <c r="DE154" s="20">
        <f t="shared" si="74"/>
        <v>31317.445429787447</v>
      </c>
      <c r="DF154" s="20" cm="1">
        <f t="array" ref="DF154">SUMPRODUCT(($BG$2:$BM$2=CY154)*($B$5:$B$35=CZ154)*($BG$5:$BM$35))</f>
        <v>29302.50087034209</v>
      </c>
      <c r="DG154" s="20">
        <f t="shared" si="81"/>
        <v>2014.9445594453573</v>
      </c>
      <c r="DH154" s="20" cm="1">
        <f t="array" ref="DH154">IF(CZ154=2023,SUMPRODUCT(($B$5:$B$35=CZ154-1)*($BN$5:$BN$35))-SUMPRODUCT(($BG$2:$BM$2=CY154)*($B$5:$B$35=CZ154-1)*($BG$5:$BM$35)),DG153)</f>
        <v>2063.06875843745</v>
      </c>
      <c r="DI154" s="18">
        <f t="shared" ca="1" si="82"/>
        <v>77.447063250683243</v>
      </c>
      <c r="DJ154" s="89">
        <f t="shared" si="84"/>
        <v>7.6083469600793689</v>
      </c>
      <c r="DK154" s="89">
        <f t="shared" si="85"/>
        <v>7.6319498418602185</v>
      </c>
      <c r="DL154" s="89">
        <f t="shared" ca="1" si="86"/>
        <v>4.3495946481411734</v>
      </c>
      <c r="DM154" s="20">
        <f t="shared" ca="1" si="87"/>
        <v>820.72262831116598</v>
      </c>
      <c r="DN154" s="20">
        <f t="shared" ca="1" si="88"/>
        <v>2263.6858874572249</v>
      </c>
      <c r="DO154" s="20">
        <f t="shared" ca="1" si="89"/>
        <v>1542.2042578841954</v>
      </c>
      <c r="DP154" s="113"/>
      <c r="DQ154" s="2"/>
      <c r="DR154" s="3"/>
      <c r="DT154" s="20"/>
      <c r="DU154" s="18"/>
      <c r="DV154" s="20"/>
    </row>
    <row r="155" spans="1:126" x14ac:dyDescent="0.25">
      <c r="A155">
        <v>0.5</v>
      </c>
      <c r="C155" s="190">
        <f>IF(C154*(1+A155*Model!$B$19*IF(Model!$B$28=0,1,((Model!$B$28-B155)/(Model!$B$28-$B$9))))&gt;Model!$B$44,C154*(1+A155*Model!$B$19*IF(Model!$B$28=0,1,((Model!$B$28-B155)/(Model!$B$28-$B$9)))),Model!$B$44)</f>
        <v>50</v>
      </c>
      <c r="H155" s="17"/>
      <c r="O155" s="18"/>
      <c r="CY155" s="20" t="str">
        <f t="shared" si="91"/>
        <v>Demo path - C price $50 3%</v>
      </c>
      <c r="CZ155" s="3">
        <f t="shared" si="73"/>
        <v>2033</v>
      </c>
      <c r="DA155" s="18">
        <f t="shared" si="90"/>
        <v>0</v>
      </c>
      <c r="DB155" s="18">
        <f ca="1">(M18+IF($DB$3&gt;0,NPV($DB$2,M19:OFFSET(M18,$DB$3,0)),0))/($DB$3+1)</f>
        <v>79.770475148203744</v>
      </c>
      <c r="DC155" s="18">
        <f t="shared" ca="1" si="83"/>
        <v>29.770475148203744</v>
      </c>
      <c r="DD155" s="18">
        <f t="shared" si="75"/>
        <v>50</v>
      </c>
      <c r="DE155" s="20">
        <f t="shared" si="74"/>
        <v>30090.040144135091</v>
      </c>
      <c r="DF155" s="20" cm="1">
        <f t="array" ref="DF155">SUMPRODUCT(($BG$2:$BM$2=CY155)*($B$5:$B$35=CZ155)*($BG$5:$BM$35))</f>
        <v>28309.317281758387</v>
      </c>
      <c r="DG155" s="20">
        <f t="shared" si="81"/>
        <v>1780.7228623767041</v>
      </c>
      <c r="DH155" s="20" cm="1">
        <f t="array" ref="DH155">IF(CZ155=2023,SUMPRODUCT(($B$5:$B$35=CZ155-1)*($BN$5:$BN$35))-SUMPRODUCT(($BG$2:$BM$2=CY155)*($B$5:$B$35=CZ155-1)*($BG$5:$BM$35)),DG154)</f>
        <v>2014.9445594453573</v>
      </c>
      <c r="DI155" s="18">
        <f t="shared" ca="1" si="82"/>
        <v>79.770475148203744</v>
      </c>
      <c r="DJ155" s="89">
        <f t="shared" si="84"/>
        <v>7.4847746633076682</v>
      </c>
      <c r="DK155" s="89">
        <f t="shared" si="85"/>
        <v>7.6083469600793689</v>
      </c>
      <c r="DL155" s="89">
        <f t="shared" ca="1" si="86"/>
        <v>4.3791534503827174</v>
      </c>
      <c r="DM155" s="20">
        <f t="shared" ca="1" si="87"/>
        <v>886.73776289243995</v>
      </c>
      <c r="DN155" s="20">
        <f t="shared" ca="1" si="88"/>
        <v>2330.5471952959228</v>
      </c>
      <c r="DO155" s="20">
        <f t="shared" ca="1" si="89"/>
        <v>1608.6424790941815</v>
      </c>
      <c r="DP155" s="113"/>
      <c r="DQ155" s="2"/>
      <c r="DR155" s="3"/>
      <c r="DT155" s="20"/>
      <c r="DU155" s="18"/>
      <c r="DV155" s="20"/>
    </row>
    <row r="156" spans="1:126" x14ac:dyDescent="0.25">
      <c r="A156">
        <v>0.5</v>
      </c>
      <c r="C156" s="190">
        <f>IF(C155*(1+A156*Model!$B$19*IF(Model!$B$28=0,1,((Model!$B$28-B156)/(Model!$B$28-$B$9))))&gt;Model!$B$44,C155*(1+A156*Model!$B$19*IF(Model!$B$28=0,1,((Model!$B$28-B156)/(Model!$B$28-$B$9)))),Model!$B$44)</f>
        <v>50</v>
      </c>
      <c r="H156" s="17"/>
      <c r="O156" s="18"/>
      <c r="CY156" s="20" t="str">
        <f t="shared" si="91"/>
        <v>Demo path - C price $50 3%</v>
      </c>
      <c r="CZ156" s="3">
        <f t="shared" si="73"/>
        <v>2034</v>
      </c>
      <c r="DA156" s="18">
        <f t="shared" si="90"/>
        <v>0</v>
      </c>
      <c r="DB156" s="18">
        <f ca="1">(M19+IF($DB$3&gt;0,NPV($DB$2,M20:OFFSET(M19,$DB$3,0)),0))/($DB$3+1)</f>
        <v>82.163589402649862</v>
      </c>
      <c r="DC156" s="18">
        <f t="shared" ca="1" si="83"/>
        <v>32.163589402649862</v>
      </c>
      <c r="DD156" s="18">
        <f t="shared" si="75"/>
        <v>50</v>
      </c>
      <c r="DE156" s="20">
        <f t="shared" si="74"/>
        <v>28862.634858482736</v>
      </c>
      <c r="DF156" s="20" cm="1">
        <f t="array" ref="DF156">SUMPRODUCT(($BG$2:$BM$2=CY156)*($B$5:$B$35=CZ156)*($BG$5:$BM$35))</f>
        <v>27265.500341524803</v>
      </c>
      <c r="DG156" s="20">
        <f t="shared" si="81"/>
        <v>1597.1345169579326</v>
      </c>
      <c r="DH156" s="20" cm="1">
        <f t="array" ref="DH156">IF(CZ156=2023,SUMPRODUCT(($B$5:$B$35=CZ156-1)*($BN$5:$BN$35))-SUMPRODUCT(($BG$2:$BM$2=CY156)*($B$5:$B$35=CZ156-1)*($BG$5:$BM$35)),DG155)</f>
        <v>1780.7228623767041</v>
      </c>
      <c r="DI156" s="18">
        <f t="shared" ca="1" si="82"/>
        <v>82.163589402649862</v>
      </c>
      <c r="DJ156" s="89">
        <f t="shared" si="84"/>
        <v>7.3759663756996714</v>
      </c>
      <c r="DK156" s="89">
        <f t="shared" si="85"/>
        <v>7.4847746633076682</v>
      </c>
      <c r="DL156" s="89">
        <f t="shared" ca="1" si="86"/>
        <v>4.4087122526242624</v>
      </c>
      <c r="DM156" s="20">
        <f t="shared" ca="1" si="87"/>
        <v>952.25700701779215</v>
      </c>
      <c r="DN156" s="20">
        <f t="shared" ca="1" si="88"/>
        <v>2391.8316693133047</v>
      </c>
      <c r="DO156" s="20">
        <f t="shared" ca="1" si="89"/>
        <v>1672.0443381655484</v>
      </c>
      <c r="DP156" s="113"/>
      <c r="DQ156" s="2"/>
      <c r="DR156" s="3"/>
      <c r="DT156" s="20"/>
      <c r="DU156" s="18"/>
      <c r="DV156" s="20"/>
    </row>
    <row r="157" spans="1:126" x14ac:dyDescent="0.25">
      <c r="A157">
        <v>0.5</v>
      </c>
      <c r="C157" s="190">
        <f>IF(C156*(1+A157*Model!$B$19*IF(Model!$B$28=0,1,((Model!$B$28-B157)/(Model!$B$28-$B$9))))&gt;Model!$B$44,C156*(1+A157*Model!$B$19*IF(Model!$B$28=0,1,((Model!$B$28-B157)/(Model!$B$28-$B$9)))),Model!$B$44)</f>
        <v>50</v>
      </c>
      <c r="H157" s="17"/>
      <c r="O157" s="18"/>
      <c r="CY157" s="20" t="str">
        <f t="shared" si="91"/>
        <v>Demo path - C price $50 3%</v>
      </c>
      <c r="CZ157" s="3">
        <f t="shared" si="73"/>
        <v>2035</v>
      </c>
      <c r="DA157" s="18">
        <f t="shared" si="90"/>
        <v>0</v>
      </c>
      <c r="DB157" s="18">
        <f ca="1">(M20+IF($DB$3&gt;0,NPV($DB$2,M21:OFFSET(M20,$DB$3,0)),0))/($DB$3+1)</f>
        <v>84.628497084729347</v>
      </c>
      <c r="DC157" s="18">
        <f t="shared" ca="1" si="83"/>
        <v>34.628497084729347</v>
      </c>
      <c r="DD157" s="18">
        <f t="shared" si="75"/>
        <v>50</v>
      </c>
      <c r="DE157" s="20">
        <f t="shared" si="74"/>
        <v>27635.22957283038</v>
      </c>
      <c r="DF157" s="20" cm="1">
        <f t="array" ref="DF157">SUMPRODUCT(($BG$2:$BM$2=CY157)*($B$5:$B$35=CZ157)*($BG$5:$BM$35))</f>
        <v>26211.955253299657</v>
      </c>
      <c r="DG157" s="20">
        <f t="shared" si="81"/>
        <v>1423.274319530723</v>
      </c>
      <c r="DH157" s="20" cm="1">
        <f t="array" ref="DH157">IF(CZ157=2023,SUMPRODUCT(($B$5:$B$35=CZ157-1)*($BN$5:$BN$35))-SUMPRODUCT(($BG$2:$BM$2=CY157)*($B$5:$B$35=CZ157-1)*($BG$5:$BM$35)),DG156)</f>
        <v>1597.1345169579326</v>
      </c>
      <c r="DI157" s="18">
        <f t="shared" ca="1" si="82"/>
        <v>84.628497084729347</v>
      </c>
      <c r="DJ157" s="89">
        <f t="shared" si="84"/>
        <v>7.2607153550069841</v>
      </c>
      <c r="DK157" s="89">
        <f t="shared" si="85"/>
        <v>7.3759663756996714</v>
      </c>
      <c r="DL157" s="89">
        <f t="shared" ca="1" si="86"/>
        <v>4.4382710548658064</v>
      </c>
      <c r="DM157" s="20">
        <f t="shared" ca="1" si="87"/>
        <v>1017.4136301464451</v>
      </c>
      <c r="DN157" s="20">
        <f t="shared" ca="1" si="88"/>
        <v>2450.0186479488625</v>
      </c>
      <c r="DO157" s="20">
        <f t="shared" ca="1" si="89"/>
        <v>1733.7161390476538</v>
      </c>
      <c r="DP157" s="113"/>
      <c r="DQ157" s="2"/>
      <c r="DR157" s="3"/>
      <c r="DT157" s="20"/>
      <c r="DU157" s="18"/>
      <c r="DV157" s="20"/>
    </row>
    <row r="158" spans="1:126" x14ac:dyDescent="0.25">
      <c r="A158">
        <v>0.5</v>
      </c>
      <c r="C158" s="190">
        <f>IF(C157*(1+A158*Model!$B$19*IF(Model!$B$28=0,1,((Model!$B$28-B158)/(Model!$B$28-$B$9))))&gt;Model!$B$44,C157*(1+A158*Model!$B$19*IF(Model!$B$28=0,1,((Model!$B$28-B158)/(Model!$B$28-$B$9)))),Model!$B$44)</f>
        <v>50</v>
      </c>
      <c r="H158" s="17"/>
      <c r="O158" s="18"/>
      <c r="CY158" s="20" t="str">
        <f t="shared" si="91"/>
        <v>Demo path - C price $50 3%</v>
      </c>
      <c r="CZ158" s="3">
        <f t="shared" si="73"/>
        <v>2036</v>
      </c>
      <c r="DA158" s="18">
        <f t="shared" si="90"/>
        <v>0</v>
      </c>
      <c r="DB158" s="18">
        <f ca="1">(M21+IF($DB$3&gt;0,NPV($DB$2,M22:OFFSET(M21,$DB$3,0)),0))/($DB$3+1)</f>
        <v>87.167351997271211</v>
      </c>
      <c r="DC158" s="18">
        <f t="shared" ca="1" si="83"/>
        <v>37.167351997271211</v>
      </c>
      <c r="DD158" s="18">
        <f t="shared" si="75"/>
        <v>50</v>
      </c>
      <c r="DE158" s="20">
        <f t="shared" si="74"/>
        <v>26407.824287178031</v>
      </c>
      <c r="DF158" s="20" cm="1">
        <f t="array" ref="DF158">SUMPRODUCT(($BG$2:$BM$2=CY158)*($B$5:$B$35=CZ158)*($BG$5:$BM$35))</f>
        <v>25127.868184721134</v>
      </c>
      <c r="DG158" s="20">
        <f t="shared" si="81"/>
        <v>1279.9561024568975</v>
      </c>
      <c r="DH158" s="20" cm="1">
        <f t="array" ref="DH158">IF(CZ158=2023,SUMPRODUCT(($B$5:$B$35=CZ158-1)*($BN$5:$BN$35))-SUMPRODUCT(($BG$2:$BM$2=CY158)*($B$5:$B$35=CZ158-1)*($BG$5:$BM$35)),DG157)</f>
        <v>1423.274319530723</v>
      </c>
      <c r="DI158" s="18">
        <f t="shared" ca="1" si="82"/>
        <v>87.167351997271211</v>
      </c>
      <c r="DJ158" s="89">
        <f t="shared" si="84"/>
        <v>7.1545810613700285</v>
      </c>
      <c r="DK158" s="89">
        <f t="shared" si="85"/>
        <v>7.2607153550069841</v>
      </c>
      <c r="DL158" s="89">
        <f t="shared" ca="1" si="86"/>
        <v>4.4678298571073505</v>
      </c>
      <c r="DM158" s="20">
        <f t="shared" ca="1" si="87"/>
        <v>1082.3360370445896</v>
      </c>
      <c r="DN158" s="20">
        <f t="shared" ca="1" si="88"/>
        <v>2506.6874457193107</v>
      </c>
      <c r="DO158" s="20">
        <f t="shared" ca="1" si="89"/>
        <v>1794.5117413819503</v>
      </c>
      <c r="DP158" s="113"/>
      <c r="DQ158" s="2"/>
      <c r="DR158" s="3"/>
      <c r="DT158" s="20"/>
      <c r="DU158" s="18"/>
      <c r="DV158" s="20"/>
    </row>
    <row r="159" spans="1:126" x14ac:dyDescent="0.25">
      <c r="A159">
        <v>0.5</v>
      </c>
      <c r="C159" s="190">
        <f>IF(C158*(1+A159*Model!$B$19*IF(Model!$B$28=0,1,((Model!$B$28-B159)/(Model!$B$28-$B$9))))&gt;Model!$B$44,C158*(1+A159*Model!$B$19*IF(Model!$B$28=0,1,((Model!$B$28-B159)/(Model!$B$28-$B$9)))),Model!$B$44)</f>
        <v>50</v>
      </c>
      <c r="H159" s="17"/>
      <c r="O159" s="18"/>
      <c r="CY159" s="20" t="str">
        <f t="shared" si="91"/>
        <v>Demo path - C price $50 3%</v>
      </c>
      <c r="CZ159" s="3">
        <f t="shared" si="73"/>
        <v>2037</v>
      </c>
      <c r="DA159" s="18">
        <f t="shared" si="90"/>
        <v>0</v>
      </c>
      <c r="DB159" s="18">
        <f ca="1">(M22+IF($DB$3&gt;0,NPV($DB$2,M23:OFFSET(M22,$DB$3,0)),0))/($DB$3+1)</f>
        <v>89.782372557189362</v>
      </c>
      <c r="DC159" s="18">
        <f t="shared" ca="1" si="83"/>
        <v>39.782372557189362</v>
      </c>
      <c r="DD159" s="18">
        <f t="shared" si="75"/>
        <v>50</v>
      </c>
      <c r="DE159" s="20">
        <f t="shared" si="74"/>
        <v>25490.617675668807</v>
      </c>
      <c r="DF159" s="20" cm="1">
        <f t="array" ref="DF159">SUMPRODUCT(($BG$2:$BM$2=CY159)*($B$5:$B$35=CZ159)*($BG$5:$BM$35))</f>
        <v>24148.710192370861</v>
      </c>
      <c r="DG159" s="20">
        <f t="shared" si="81"/>
        <v>1341.9074832979459</v>
      </c>
      <c r="DH159" s="20" cm="1">
        <f t="array" ref="DH159">IF(CZ159=2023,SUMPRODUCT(($B$5:$B$35=CZ159-1)*($BN$5:$BN$35))-SUMPRODUCT(($BG$2:$BM$2=CY159)*($B$5:$B$35=CZ159-1)*($BG$5:$BM$35)),DG158)</f>
        <v>1279.9561024568975</v>
      </c>
      <c r="DI159" s="18">
        <f t="shared" ca="1" si="82"/>
        <v>89.782372557189362</v>
      </c>
      <c r="DJ159" s="89">
        <f t="shared" si="84"/>
        <v>7.2018473757348875</v>
      </c>
      <c r="DK159" s="89">
        <f t="shared" si="85"/>
        <v>7.1545810613700285</v>
      </c>
      <c r="DL159" s="89">
        <f t="shared" ca="1" si="86"/>
        <v>4.4973886593488954</v>
      </c>
      <c r="DM159" s="20">
        <f t="shared" ca="1" si="87"/>
        <v>1147.1481520561495</v>
      </c>
      <c r="DN159" s="20">
        <f t="shared" ca="1" si="88"/>
        <v>2562.8403278638589</v>
      </c>
      <c r="DO159" s="20">
        <f t="shared" ca="1" si="89"/>
        <v>1854.9942399600041</v>
      </c>
      <c r="DP159" s="113"/>
      <c r="DQ159" s="2"/>
      <c r="DR159" s="3"/>
      <c r="DT159" s="20"/>
      <c r="DU159" s="18"/>
      <c r="DV159" s="20"/>
    </row>
    <row r="160" spans="1:126" x14ac:dyDescent="0.25">
      <c r="A160">
        <v>0.5</v>
      </c>
      <c r="C160" s="190">
        <f>IF(C159*(1+A160*Model!$B$19*IF(Model!$B$28=0,1,((Model!$B$28-B160)/(Model!$B$28-$B$9))))&gt;Model!$B$44,C159*(1+A160*Model!$B$19*IF(Model!$B$28=0,1,((Model!$B$28-B160)/(Model!$B$28-$B$9)))),Model!$B$44)</f>
        <v>50</v>
      </c>
      <c r="H160" s="17"/>
      <c r="O160" s="18"/>
      <c r="CY160" s="20" t="str">
        <f t="shared" si="91"/>
        <v>Demo path - C price $50 3%</v>
      </c>
      <c r="CZ160" s="3">
        <f t="shared" si="73"/>
        <v>2038</v>
      </c>
      <c r="DA160" s="18">
        <f t="shared" si="90"/>
        <v>0</v>
      </c>
      <c r="DB160" s="18">
        <f ca="1">(M23+IF($DB$3&gt;0,NPV($DB$2,M24:OFFSET(M23,$DB$3,0)),0))/($DB$3+1)</f>
        <v>92.47584373390508</v>
      </c>
      <c r="DC160" s="18">
        <f t="shared" ca="1" si="83"/>
        <v>42.47584373390508</v>
      </c>
      <c r="DD160" s="18">
        <f t="shared" si="75"/>
        <v>50</v>
      </c>
      <c r="DE160" s="20">
        <f t="shared" si="74"/>
        <v>24570.879657466994</v>
      </c>
      <c r="DF160" s="20" cm="1">
        <f t="array" ref="DF160">SUMPRODUCT(($BG$2:$BM$2=CY160)*($B$5:$B$35=CZ160)*($BG$5:$BM$35))</f>
        <v>23131.791090139421</v>
      </c>
      <c r="DG160" s="20">
        <f t="shared" si="81"/>
        <v>1439.0885673275734</v>
      </c>
      <c r="DH160" s="20" cm="1">
        <f t="array" ref="DH160">IF(CZ160=2023,SUMPRODUCT(($B$5:$B$35=CZ160-1)*($BN$5:$BN$35))-SUMPRODUCT(($BG$2:$BM$2=CY160)*($B$5:$B$35=CZ160-1)*($BG$5:$BM$35)),DG159)</f>
        <v>1341.9074832979459</v>
      </c>
      <c r="DI160" s="18">
        <f t="shared" ca="1" si="82"/>
        <v>92.47584373390508</v>
      </c>
      <c r="DJ160" s="89">
        <f t="shared" si="84"/>
        <v>7.2717652528235188</v>
      </c>
      <c r="DK160" s="89">
        <f t="shared" si="85"/>
        <v>7.2018473757348875</v>
      </c>
      <c r="DL160" s="89">
        <f t="shared" ca="1" si="86"/>
        <v>4.5269474615904404</v>
      </c>
      <c r="DM160" s="20">
        <f t="shared" ca="1" si="87"/>
        <v>1211.9697831820056</v>
      </c>
      <c r="DN160" s="20">
        <f t="shared" ca="1" si="88"/>
        <v>2619.1141352414716</v>
      </c>
      <c r="DO160" s="20">
        <f t="shared" ca="1" si="89"/>
        <v>1915.5419592117387</v>
      </c>
      <c r="DP160" s="113"/>
      <c r="DQ160" s="2"/>
      <c r="DR160" s="3"/>
      <c r="DT160" s="20"/>
      <c r="DU160" s="18"/>
      <c r="DV160" s="20"/>
    </row>
    <row r="161" spans="1:126" x14ac:dyDescent="0.25">
      <c r="A161">
        <v>0.5</v>
      </c>
      <c r="C161" s="190">
        <f>IF(C160*(1+A161*Model!$B$19*IF(Model!$B$28=0,1,((Model!$B$28-B161)/(Model!$B$28-$B$9))))&gt;Model!$B$44,C160*(1+A161*Model!$B$19*IF(Model!$B$28=0,1,((Model!$B$28-B161)/(Model!$B$28-$B$9)))),Model!$B$44)</f>
        <v>50</v>
      </c>
      <c r="H161" s="17"/>
      <c r="O161" s="18"/>
      <c r="CY161" s="20" t="str">
        <f t="shared" si="91"/>
        <v>Demo path - C price $50 3%</v>
      </c>
      <c r="CZ161" s="3">
        <f t="shared" si="73"/>
        <v>2039</v>
      </c>
      <c r="DA161" s="18">
        <f t="shared" si="90"/>
        <v>0</v>
      </c>
      <c r="DB161" s="18">
        <f ca="1">(M24+IF($DB$3&gt;0,NPV($DB$2,M25:OFFSET(M24,$DB$3,0)),0))/($DB$3+1)</f>
        <v>95.25011904592219</v>
      </c>
      <c r="DC161" s="18">
        <f t="shared" ca="1" si="83"/>
        <v>45.25011904592219</v>
      </c>
      <c r="DD161" s="18">
        <f t="shared" si="75"/>
        <v>50</v>
      </c>
      <c r="DE161" s="20">
        <f t="shared" si="74"/>
        <v>23633.677186249501</v>
      </c>
      <c r="DF161" s="20" cm="1">
        <f t="array" ref="DF161">SUMPRODUCT(($BG$2:$BM$2=CY161)*($B$5:$B$35=CZ161)*($BG$5:$BM$35))</f>
        <v>21983.941009502036</v>
      </c>
      <c r="DG161" s="20">
        <f t="shared" si="81"/>
        <v>1649.7361767474649</v>
      </c>
      <c r="DH161" s="20" cm="1">
        <f t="array" ref="DH161">IF(CZ161=2023,SUMPRODUCT(($B$5:$B$35=CZ161-1)*($BN$5:$BN$35))-SUMPRODUCT(($BG$2:$BM$2=CY161)*($B$5:$B$35=CZ161-1)*($BG$5:$BM$35)),DG160)</f>
        <v>1439.0885673275734</v>
      </c>
      <c r="DI161" s="18">
        <f t="shared" ca="1" si="82"/>
        <v>95.25011904592219</v>
      </c>
      <c r="DJ161" s="89">
        <f t="shared" si="84"/>
        <v>7.408370661230073</v>
      </c>
      <c r="DK161" s="89">
        <f t="shared" si="85"/>
        <v>7.2717652528235188</v>
      </c>
      <c r="DL161" s="89">
        <f t="shared" ca="1" si="86"/>
        <v>4.5565062638319844</v>
      </c>
      <c r="DM161" s="20">
        <f t="shared" ca="1" si="87"/>
        <v>1276.9169672595483</v>
      </c>
      <c r="DN161" s="20">
        <f t="shared" ca="1" si="88"/>
        <v>2675.9160458003535</v>
      </c>
      <c r="DO161" s="20">
        <f t="shared" ca="1" si="89"/>
        <v>1976.4165065299508</v>
      </c>
      <c r="DP161" s="113"/>
      <c r="DQ161" s="2"/>
      <c r="DR161" s="3"/>
      <c r="DT161" s="20"/>
      <c r="DU161" s="18"/>
      <c r="DV161" s="20"/>
    </row>
    <row r="162" spans="1:126" x14ac:dyDescent="0.25">
      <c r="A162">
        <v>0.5</v>
      </c>
      <c r="C162" s="190">
        <f>IF(C161*(1+A162*Model!$B$19*IF(Model!$B$28=0,1,((Model!$B$28-B162)/(Model!$B$28-$B$9))))&gt;Model!$B$44,C161*(1+A162*Model!$B$19*IF(Model!$B$28=0,1,((Model!$B$28-B162)/(Model!$B$28-$B$9)))),Model!$B$44)</f>
        <v>50</v>
      </c>
      <c r="H162" s="17"/>
      <c r="O162" s="18"/>
      <c r="CY162" s="20" t="str">
        <f t="shared" si="91"/>
        <v>Demo path - C price $50 3%</v>
      </c>
      <c r="CZ162" s="3">
        <f t="shared" ref="CZ162:CZ200" si="92">CZ134</f>
        <v>2040</v>
      </c>
      <c r="DA162" s="18">
        <f t="shared" si="90"/>
        <v>0</v>
      </c>
      <c r="DB162" s="18">
        <f ca="1">(M25+IF($DB$3&gt;0,NPV($DB$2,M26:OFFSET(M25,$DB$3,0)),0))/($DB$3+1)</f>
        <v>98.107622617299882</v>
      </c>
      <c r="DC162" s="18">
        <f t="shared" ca="1" si="83"/>
        <v>48.107622617299882</v>
      </c>
      <c r="DD162" s="18">
        <f t="shared" si="75"/>
        <v>50</v>
      </c>
      <c r="DE162" s="20">
        <f t="shared" ref="DE162:DE200" si="93">DE134</f>
        <v>21832.628998595821</v>
      </c>
      <c r="DF162" s="20" cm="1">
        <f t="array" ref="DF162">SUMPRODUCT(($BG$2:$BM$2=CY162)*($B$5:$B$35=CZ162)*($BG$5:$BM$35))</f>
        <v>20121.886982337306</v>
      </c>
      <c r="DG162" s="20">
        <f t="shared" si="81"/>
        <v>1710.7420162585149</v>
      </c>
      <c r="DH162" s="20" cm="1">
        <f t="array" ref="DH162">IF(CZ162=2023,SUMPRODUCT(($B$5:$B$35=CZ162-1)*($BN$5:$BN$35))-SUMPRODUCT(($BG$2:$BM$2=CY162)*($B$5:$B$35=CZ162-1)*($BG$5:$BM$35)),DG161)</f>
        <v>1649.7361767474649</v>
      </c>
      <c r="DI162" s="18">
        <f t="shared" ca="1" si="82"/>
        <v>98.107622617299882</v>
      </c>
      <c r="DJ162" s="89">
        <f t="shared" si="84"/>
        <v>7.4446824830138931</v>
      </c>
      <c r="DK162" s="89">
        <f t="shared" si="85"/>
        <v>7.408370661230073</v>
      </c>
      <c r="DL162" s="89">
        <f t="shared" ca="1" si="86"/>
        <v>4.5860650660735285</v>
      </c>
      <c r="DM162" s="20">
        <f t="shared" ca="1" si="87"/>
        <v>1342.1022974596583</v>
      </c>
      <c r="DN162" s="20">
        <f t="shared" ca="1" si="88"/>
        <v>2733.5096035327006</v>
      </c>
      <c r="DO162" s="20">
        <f t="shared" ca="1" si="89"/>
        <v>2037.8059504961793</v>
      </c>
      <c r="DP162" s="113"/>
      <c r="DQ162" s="2"/>
      <c r="DR162" s="3"/>
      <c r="DT162" s="20"/>
      <c r="DU162" s="18"/>
      <c r="DV162" s="20"/>
    </row>
    <row r="163" spans="1:126" x14ac:dyDescent="0.25">
      <c r="A163">
        <v>0.5</v>
      </c>
      <c r="C163" s="190">
        <f>IF(C162*(1+A163*Model!$B$19*IF(Model!$B$28=0,1,((Model!$B$28-B163)/(Model!$B$28-$B$9))))&gt;Model!$B$44,C162*(1+A163*Model!$B$19*IF(Model!$B$28=0,1,((Model!$B$28-B163)/(Model!$B$28-$B$9)))),Model!$B$44)</f>
        <v>50</v>
      </c>
      <c r="H163" s="17"/>
      <c r="O163" s="18"/>
      <c r="CY163" s="20" t="str">
        <f t="shared" si="91"/>
        <v>Demo path - C price $50 3%</v>
      </c>
      <c r="CZ163" s="3">
        <f t="shared" si="92"/>
        <v>2041</v>
      </c>
      <c r="DA163" s="18">
        <f t="shared" si="90"/>
        <v>0</v>
      </c>
      <c r="DB163" s="18">
        <f ca="1">(M26+IF($DB$3&gt;0,NPV($DB$2,M27:OFFSET(M26,$DB$3,0)),0))/($DB$3+1)</f>
        <v>101.05085129581884</v>
      </c>
      <c r="DC163" s="18">
        <f t="shared" ca="1" si="83"/>
        <v>51.050851295818845</v>
      </c>
      <c r="DD163" s="18">
        <f t="shared" ref="DD163:DD200" si="94">DD162</f>
        <v>50</v>
      </c>
      <c r="DE163" s="20">
        <f t="shared" si="93"/>
        <v>21020.865912256821</v>
      </c>
      <c r="DF163" s="20" cm="1">
        <f t="array" ref="DF163">SUMPRODUCT(($BG$2:$BM$2=CY163)*($B$5:$B$35=CZ163)*($BG$5:$BM$35))</f>
        <v>19084.77936974962</v>
      </c>
      <c r="DG163" s="20">
        <f t="shared" si="81"/>
        <v>1936.0865425072006</v>
      </c>
      <c r="DH163" s="20" cm="1">
        <f t="array" ref="DH163">IF(CZ163=2023,SUMPRODUCT(($B$5:$B$35=CZ163-1)*($BN$5:$BN$35))-SUMPRODUCT(($BG$2:$BM$2=CY163)*($B$5:$B$35=CZ163-1)*($BG$5:$BM$35)),DG162)</f>
        <v>1710.7420162585149</v>
      </c>
      <c r="DI163" s="18">
        <f t="shared" ca="1" si="82"/>
        <v>101.05085129581884</v>
      </c>
      <c r="DJ163" s="89">
        <f t="shared" si="84"/>
        <v>7.5684239685456953</v>
      </c>
      <c r="DK163" s="89">
        <f t="shared" si="85"/>
        <v>7.4446824830138931</v>
      </c>
      <c r="DL163" s="89">
        <f t="shared" ca="1" si="86"/>
        <v>4.6156238683150725</v>
      </c>
      <c r="DM163" s="20">
        <f t="shared" ca="1" si="87"/>
        <v>1407.6352342479961</v>
      </c>
      <c r="DN163" s="20">
        <f t="shared" ca="1" si="88"/>
        <v>2792.068838012563</v>
      </c>
      <c r="DO163" s="20">
        <f t="shared" ca="1" si="89"/>
        <v>2099.8520361302794</v>
      </c>
      <c r="DP163" s="113"/>
      <c r="DQ163" s="2"/>
      <c r="DR163" s="3"/>
      <c r="DT163" s="20"/>
      <c r="DU163" s="18"/>
      <c r="DV163" s="20"/>
    </row>
    <row r="164" spans="1:126" x14ac:dyDescent="0.25">
      <c r="A164">
        <v>0.5</v>
      </c>
      <c r="C164" s="190">
        <f>IF(C163*(1+A164*Model!$B$19*IF(Model!$B$28=0,1,((Model!$B$28-B164)/(Model!$B$28-$B$9))))&gt;Model!$B$44,C163*(1+A164*Model!$B$19*IF(Model!$B$28=0,1,((Model!$B$28-B164)/(Model!$B$28-$B$9)))),Model!$B$44)</f>
        <v>50</v>
      </c>
      <c r="H164" s="17"/>
      <c r="O164" s="18"/>
      <c r="CY164" s="20" t="str">
        <f t="shared" si="91"/>
        <v>Demo path - C price $50 3%</v>
      </c>
      <c r="CZ164" s="3">
        <f t="shared" si="92"/>
        <v>2042</v>
      </c>
      <c r="DA164" s="18">
        <f t="shared" si="90"/>
        <v>0</v>
      </c>
      <c r="DB164" s="18">
        <f ca="1">(M27+IF($DB$3&gt;0,NPV($DB$2,M28:OFFSET(M27,$DB$3,0)),0))/($DB$3+1)</f>
        <v>104.08237683469342</v>
      </c>
      <c r="DC164" s="18">
        <f t="shared" ca="1" si="83"/>
        <v>54.08237683469342</v>
      </c>
      <c r="DD164" s="18">
        <f t="shared" si="94"/>
        <v>50</v>
      </c>
      <c r="DE164" s="20">
        <f t="shared" si="93"/>
        <v>20178.380919926673</v>
      </c>
      <c r="DF164" s="20" cm="1">
        <f t="array" ref="DF164">SUMPRODUCT(($BG$2:$BM$2=CY164)*($B$5:$B$35=CZ164)*($BG$5:$BM$35))</f>
        <v>17948.002254739178</v>
      </c>
      <c r="DG164" s="20">
        <f t="shared" si="81"/>
        <v>2230.3786651874943</v>
      </c>
      <c r="DH164" s="20" cm="1">
        <f t="array" ref="DH164">IF(CZ164=2023,SUMPRODUCT(($B$5:$B$35=CZ164-1)*($BN$5:$BN$35))-SUMPRODUCT(($BG$2:$BM$2=CY164)*($B$5:$B$35=CZ164-1)*($BG$5:$BM$35)),DG163)</f>
        <v>1936.0865425072006</v>
      </c>
      <c r="DI164" s="18">
        <f t="shared" ca="1" si="82"/>
        <v>104.08237683469342</v>
      </c>
      <c r="DJ164" s="89">
        <f t="shared" si="84"/>
        <v>7.7099266550557379</v>
      </c>
      <c r="DK164" s="89">
        <f t="shared" si="85"/>
        <v>7.5684239685456953</v>
      </c>
      <c r="DL164" s="89">
        <f t="shared" ca="1" si="86"/>
        <v>4.6451826705566175</v>
      </c>
      <c r="DM164" s="20">
        <f t="shared" ca="1" si="87"/>
        <v>1473.6224008915415</v>
      </c>
      <c r="DN164" s="20">
        <f t="shared" ca="1" si="88"/>
        <v>2851.7121631694949</v>
      </c>
      <c r="DO164" s="20">
        <f t="shared" ca="1" si="89"/>
        <v>2162.6672820305184</v>
      </c>
      <c r="DP164" s="113"/>
      <c r="DQ164" s="2"/>
      <c r="DR164" s="3"/>
      <c r="DT164" s="20"/>
      <c r="DU164" s="18"/>
      <c r="DV164" s="20"/>
    </row>
    <row r="165" spans="1:126" x14ac:dyDescent="0.25">
      <c r="A165">
        <v>0.5</v>
      </c>
      <c r="C165" s="190">
        <f>IF(C164*(1+A165*Model!$B$19*IF(Model!$B$28=0,1,((Model!$B$28-B165)/(Model!$B$28-$B$9))))&gt;Model!$B$44,C164*(1+A165*Model!$B$19*IF(Model!$B$28=0,1,((Model!$B$28-B165)/(Model!$B$28-$B$9)))),Model!$B$44)</f>
        <v>50</v>
      </c>
      <c r="H165" s="17"/>
      <c r="O165" s="18"/>
      <c r="CY165" s="20" t="str">
        <f t="shared" si="91"/>
        <v>Demo path - C price $50 3%</v>
      </c>
      <c r="CZ165" s="3">
        <f t="shared" si="92"/>
        <v>2043</v>
      </c>
      <c r="DA165" s="18">
        <f t="shared" si="90"/>
        <v>0</v>
      </c>
      <c r="DB165" s="18">
        <f ca="1">(M28+IF($DB$3&gt;0,NPV($DB$2,M29:OFFSET(M28,$DB$3,0)),0))/($DB$3+1)</f>
        <v>107.20484813973421</v>
      </c>
      <c r="DC165" s="18">
        <f t="shared" ca="1" si="83"/>
        <v>57.20484813973421</v>
      </c>
      <c r="DD165" s="18">
        <f t="shared" si="94"/>
        <v>50</v>
      </c>
      <c r="DE165" s="20">
        <f t="shared" si="93"/>
        <v>19320.318365199299</v>
      </c>
      <c r="DF165" s="20" cm="1">
        <f t="array" ref="DF165">SUMPRODUCT(($BG$2:$BM$2=CY165)*($B$5:$B$35=CZ165)*($BG$5:$BM$35))</f>
        <v>17033.411812301281</v>
      </c>
      <c r="DG165" s="20">
        <f t="shared" ref="DG165:DG196" si="95">DE165-DF165</f>
        <v>2286.9065528980173</v>
      </c>
      <c r="DH165" s="20" cm="1">
        <f t="array" ref="DH165">IF(CZ165=2023,SUMPRODUCT(($B$5:$B$35=CZ165-1)*($BN$5:$BN$35))-SUMPRODUCT(($BG$2:$BM$2=CY165)*($B$5:$B$35=CZ165-1)*($BG$5:$BM$35)),DG164)</f>
        <v>2230.3786651874943</v>
      </c>
      <c r="DI165" s="18">
        <f t="shared" ref="DI165:DI200" ca="1" si="96">DB165</f>
        <v>107.20484813973421</v>
      </c>
      <c r="DJ165" s="89">
        <f t="shared" si="84"/>
        <v>7.7349553330646854</v>
      </c>
      <c r="DK165" s="89">
        <f t="shared" si="85"/>
        <v>7.7099266550557379</v>
      </c>
      <c r="DL165" s="89">
        <f t="shared" ca="1" si="86"/>
        <v>4.6747414727981615</v>
      </c>
      <c r="DM165" s="20">
        <f t="shared" ca="1" si="87"/>
        <v>1540.1678645294051</v>
      </c>
      <c r="DN165" s="20">
        <f t="shared" ca="1" si="88"/>
        <v>2912.5235561462841</v>
      </c>
      <c r="DO165" s="20">
        <f t="shared" ca="1" si="89"/>
        <v>2226.3457103378446</v>
      </c>
      <c r="DP165" s="113"/>
      <c r="DQ165" s="2"/>
      <c r="DR165" s="3"/>
      <c r="DT165" s="20"/>
      <c r="DU165" s="18"/>
      <c r="DV165" s="20"/>
    </row>
    <row r="166" spans="1:126" x14ac:dyDescent="0.25">
      <c r="A166">
        <v>0.5</v>
      </c>
      <c r="C166" s="190">
        <f>IF(C165*(1+A166*Model!$B$19*IF(Model!$B$28=0,1,((Model!$B$28-B166)/(Model!$B$28-$B$9))))&gt;Model!$B$44,C165*(1+A166*Model!$B$19*IF(Model!$B$28=0,1,((Model!$B$28-B166)/(Model!$B$28-$B$9)))),Model!$B$44)</f>
        <v>50</v>
      </c>
      <c r="H166" s="17"/>
      <c r="O166" s="18"/>
      <c r="CY166" s="20" t="str">
        <f t="shared" si="91"/>
        <v>Demo path - C price $50 3%</v>
      </c>
      <c r="CZ166" s="3">
        <f t="shared" si="92"/>
        <v>2044</v>
      </c>
      <c r="DA166" s="18">
        <f t="shared" si="90"/>
        <v>0</v>
      </c>
      <c r="DB166" s="18">
        <f ca="1">(M29+IF($DB$3&gt;0,NPV($DB$2,M30:OFFSET(M29,$DB$3,0)),0))/($DB$3+1)</f>
        <v>110.42099358392629</v>
      </c>
      <c r="DC166" s="18">
        <f t="shared" ca="1" si="83"/>
        <v>60.42099358392629</v>
      </c>
      <c r="DD166" s="18">
        <f t="shared" si="94"/>
        <v>50</v>
      </c>
      <c r="DE166" s="20">
        <f t="shared" si="93"/>
        <v>18472.725707396126</v>
      </c>
      <c r="DF166" s="20" cm="1">
        <f t="array" ref="DF166">SUMPRODUCT(($BG$2:$BM$2=CY166)*($B$5:$B$35=CZ166)*($BG$5:$BM$35))</f>
        <v>16135.623423670379</v>
      </c>
      <c r="DG166" s="20">
        <f t="shared" si="95"/>
        <v>2337.1022837257478</v>
      </c>
      <c r="DH166" s="20" cm="1">
        <f t="array" ref="DH166">IF(CZ166=2023,SUMPRODUCT(($B$5:$B$35=CZ166-1)*($BN$5:$BN$35))-SUMPRODUCT(($BG$2:$BM$2=CY166)*($B$5:$B$35=CZ166-1)*($BG$5:$BM$35)),DG165)</f>
        <v>2286.9065528980173</v>
      </c>
      <c r="DI166" s="18">
        <f t="shared" ca="1" si="96"/>
        <v>110.42099358392629</v>
      </c>
      <c r="DJ166" s="89">
        <f t="shared" ref="DJ166:DJ200" si="97">LN(DG166)</f>
        <v>7.7566671006866894</v>
      </c>
      <c r="DK166" s="89">
        <f t="shared" si="85"/>
        <v>7.7349553330646854</v>
      </c>
      <c r="DL166" s="89">
        <f t="shared" ca="1" si="86"/>
        <v>4.7043002750397065</v>
      </c>
      <c r="DM166" s="20">
        <f t="shared" ca="1" si="87"/>
        <v>1607.3734037688102</v>
      </c>
      <c r="DN166" s="20">
        <f t="shared" ref="DN166:DN200" ca="1" si="98">EXP($DT$61+IF(CZ166=2023,DK166,LN(DN165))*$DT$62+DL166*$DT$63)</f>
        <v>2974.5657697937572</v>
      </c>
      <c r="DO166" s="20">
        <f t="shared" ca="1" si="89"/>
        <v>2290.9695867812839</v>
      </c>
      <c r="DP166" s="113"/>
      <c r="DQ166" s="2"/>
      <c r="DR166" s="3"/>
      <c r="DT166" s="20"/>
      <c r="DU166" s="18"/>
      <c r="DV166" s="20"/>
    </row>
    <row r="167" spans="1:126" x14ac:dyDescent="0.25">
      <c r="A167">
        <v>0.5</v>
      </c>
      <c r="C167" s="190">
        <f>IF(C166*(1+A167*Model!$B$19*IF(Model!$B$28=0,1,((Model!$B$28-B167)/(Model!$B$28-$B$9))))&gt;Model!$B$44,C166*(1+A167*Model!$B$19*IF(Model!$B$28=0,1,((Model!$B$28-B167)/(Model!$B$28-$B$9)))),Model!$B$44)</f>
        <v>50</v>
      </c>
      <c r="H167" s="17"/>
      <c r="O167" s="18"/>
      <c r="CY167" s="20" t="str">
        <f t="shared" si="91"/>
        <v>Demo path - C price $50 3%</v>
      </c>
      <c r="CZ167" s="3">
        <f t="shared" si="92"/>
        <v>2045</v>
      </c>
      <c r="DA167" s="18">
        <f t="shared" si="90"/>
        <v>0</v>
      </c>
      <c r="DB167" s="18">
        <f ca="1">(M30+IF($DB$3&gt;0,NPV($DB$2,M31:OFFSET(M30,$DB$3,0)),0))/($DB$3+1)</f>
        <v>113.73362339144408</v>
      </c>
      <c r="DC167" s="18">
        <f t="shared" ca="1" si="83"/>
        <v>63.733623391444084</v>
      </c>
      <c r="DD167" s="18">
        <f t="shared" si="94"/>
        <v>50</v>
      </c>
      <c r="DE167" s="20">
        <f t="shared" si="93"/>
        <v>17677.489690197111</v>
      </c>
      <c r="DF167" s="20" cm="1">
        <f t="array" ref="DF167">SUMPRODUCT(($BG$2:$BM$2=CY167)*($B$5:$B$35=CZ167)*($BG$5:$BM$35))</f>
        <v>15201.525490239124</v>
      </c>
      <c r="DG167" s="20">
        <f t="shared" si="95"/>
        <v>2475.9641999579871</v>
      </c>
      <c r="DH167" s="20" cm="1">
        <f t="array" ref="DH167">IF(CZ167=2023,SUMPRODUCT(($B$5:$B$35=CZ167-1)*($BN$5:$BN$35))-SUMPRODUCT(($BG$2:$BM$2=CY167)*($B$5:$B$35=CZ167-1)*($BG$5:$BM$35)),DG166)</f>
        <v>2337.1022837257478</v>
      </c>
      <c r="DI167" s="18">
        <f t="shared" ca="1" si="96"/>
        <v>113.73362339144408</v>
      </c>
      <c r="DJ167" s="89">
        <f t="shared" si="97"/>
        <v>7.8143851748784652</v>
      </c>
      <c r="DK167" s="89">
        <f t="shared" si="85"/>
        <v>7.7566671006866894</v>
      </c>
      <c r="DL167" s="89">
        <f t="shared" ca="1" si="86"/>
        <v>4.7338590772812505</v>
      </c>
      <c r="DM167" s="20">
        <f t="shared" ca="1" si="87"/>
        <v>1675.3387637125711</v>
      </c>
      <c r="DN167" s="20">
        <f t="shared" ca="1" si="98"/>
        <v>3037.8885691411742</v>
      </c>
      <c r="DO167" s="20">
        <f t="shared" ca="1" si="89"/>
        <v>2356.6136664268724</v>
      </c>
      <c r="DP167" s="113"/>
      <c r="DQ167" s="2"/>
      <c r="DR167" s="3"/>
      <c r="DT167" s="20"/>
      <c r="DU167" s="18"/>
      <c r="DV167" s="20"/>
    </row>
    <row r="168" spans="1:126" x14ac:dyDescent="0.25">
      <c r="A168">
        <v>0.5</v>
      </c>
      <c r="C168" s="190">
        <f>IF(C167*(1+A168*Model!$B$19*IF(Model!$B$28=0,1,((Model!$B$28-B168)/(Model!$B$28-$B$9))))&gt;Model!$B$44,C167*(1+A168*Model!$B$19*IF(Model!$B$28=0,1,((Model!$B$28-B168)/(Model!$B$28-$B$9)))),Model!$B$44)</f>
        <v>50</v>
      </c>
      <c r="H168" s="17"/>
      <c r="O168" s="18"/>
      <c r="CY168" s="20" t="str">
        <f t="shared" si="91"/>
        <v>Demo path - C price $50 3%</v>
      </c>
      <c r="CZ168" s="3">
        <f t="shared" si="92"/>
        <v>2046</v>
      </c>
      <c r="DA168" s="18">
        <f t="shared" si="90"/>
        <v>0</v>
      </c>
      <c r="DB168" s="18">
        <f ca="1">(M31+IF($DB$3&gt;0,NPV($DB$2,M32:OFFSET(M31,$DB$3,0)),0))/($DB$3+1)</f>
        <v>117.14563209318736</v>
      </c>
      <c r="DC168" s="18">
        <f t="shared" ca="1" si="83"/>
        <v>67.145632093187359</v>
      </c>
      <c r="DD168" s="18">
        <f t="shared" si="94"/>
        <v>50</v>
      </c>
      <c r="DE168" s="20">
        <f t="shared" si="93"/>
        <v>16949.211978015726</v>
      </c>
      <c r="DF168" s="20" cm="1">
        <f t="array" ref="DF168">SUMPRODUCT(($BG$2:$BM$2=CY168)*($B$5:$B$35=CZ168)*($BG$5:$BM$35))</f>
        <v>14332.513058434515</v>
      </c>
      <c r="DG168" s="20">
        <f t="shared" si="95"/>
        <v>2616.6989195812112</v>
      </c>
      <c r="DH168" s="20" cm="1">
        <f t="array" ref="DH168">IF(CZ168=2023,SUMPRODUCT(($B$5:$B$35=CZ168-1)*($BN$5:$BN$35))-SUMPRODUCT(($BG$2:$BM$2=CY168)*($B$5:$B$35=CZ168-1)*($BG$5:$BM$35)),DG167)</f>
        <v>2475.9641999579871</v>
      </c>
      <c r="DI168" s="18">
        <f t="shared" ca="1" si="96"/>
        <v>117.14563209318736</v>
      </c>
      <c r="DJ168" s="89">
        <f t="shared" si="97"/>
        <v>7.8696688479869836</v>
      </c>
      <c r="DK168" s="89">
        <f t="shared" si="85"/>
        <v>7.8143851748784652</v>
      </c>
      <c r="DL168" s="89">
        <f t="shared" ca="1" si="86"/>
        <v>4.7634178795227946</v>
      </c>
      <c r="DM168" s="20">
        <f t="shared" ca="1" si="87"/>
        <v>1744.1618992731826</v>
      </c>
      <c r="DN168" s="20">
        <f t="shared" ca="1" si="98"/>
        <v>3102.5338647112349</v>
      </c>
      <c r="DO168" s="20">
        <f t="shared" ca="1" si="89"/>
        <v>2423.3478819922088</v>
      </c>
      <c r="DP168" s="113"/>
      <c r="DQ168" s="2"/>
      <c r="DR168" s="3"/>
      <c r="DT168" s="20"/>
      <c r="DU168" s="18"/>
      <c r="DV168" s="20"/>
    </row>
    <row r="169" spans="1:126" x14ac:dyDescent="0.25">
      <c r="A169">
        <v>0.5</v>
      </c>
      <c r="C169" s="190">
        <f>IF(C168*(1+A169*Model!$B$19*IF(Model!$B$28=0,1,((Model!$B$28-B169)/(Model!$B$28-$B$9))))&gt;Model!$B$44,C168*(1+A169*Model!$B$19*IF(Model!$B$28=0,1,((Model!$B$28-B169)/(Model!$B$28-$B$9)))),Model!$B$44)</f>
        <v>50</v>
      </c>
      <c r="H169" s="17"/>
      <c r="O169" s="18"/>
      <c r="CY169" s="20" t="str">
        <f t="shared" si="91"/>
        <v>Demo path - C price $50 3%</v>
      </c>
      <c r="CZ169" s="3">
        <f t="shared" si="92"/>
        <v>2047</v>
      </c>
      <c r="DA169" s="18">
        <f t="shared" si="90"/>
        <v>0</v>
      </c>
      <c r="DB169" s="18">
        <f ca="1">(M32+IF($DB$3&gt;0,NPV($DB$2,M33:OFFSET(M32,$DB$3,0)),0))/($DB$3+1)</f>
        <v>120.660001055983</v>
      </c>
      <c r="DC169" s="18">
        <f t="shared" ca="1" si="83"/>
        <v>70.660001055983003</v>
      </c>
      <c r="DD169" s="18">
        <f t="shared" si="94"/>
        <v>50</v>
      </c>
      <c r="DE169" s="20">
        <f t="shared" si="93"/>
        <v>16245.780919206421</v>
      </c>
      <c r="DF169" s="20" cm="1">
        <f t="array" ref="DF169">SUMPRODUCT(($BG$2:$BM$2=CY169)*($B$5:$B$35=CZ169)*($BG$5:$BM$35))</f>
        <v>13562.578319513677</v>
      </c>
      <c r="DG169" s="20">
        <f t="shared" si="95"/>
        <v>2683.2025996927441</v>
      </c>
      <c r="DH169" s="20" cm="1">
        <f t="array" ref="DH169">IF(CZ169=2023,SUMPRODUCT(($B$5:$B$35=CZ169-1)*($BN$5:$BN$35))-SUMPRODUCT(($BG$2:$BM$2=CY169)*($B$5:$B$35=CZ169-1)*($BG$5:$BM$35)),DG168)</f>
        <v>2616.6989195812112</v>
      </c>
      <c r="DI169" s="18">
        <f t="shared" ca="1" si="96"/>
        <v>120.660001055983</v>
      </c>
      <c r="DJ169" s="89">
        <f t="shared" si="97"/>
        <v>7.8947663599462121</v>
      </c>
      <c r="DK169" s="89">
        <f t="shared" si="85"/>
        <v>7.8696688479869836</v>
      </c>
      <c r="DL169" s="89">
        <f t="shared" ca="1" si="86"/>
        <v>4.7929766817643396</v>
      </c>
      <c r="DM169" s="20">
        <f t="shared" ca="1" si="87"/>
        <v>1813.9392075805756</v>
      </c>
      <c r="DN169" s="20">
        <f t="shared" ca="1" si="98"/>
        <v>3168.5389125610354</v>
      </c>
      <c r="DO169" s="20">
        <f t="shared" ca="1" si="89"/>
        <v>2491.2390600708054</v>
      </c>
      <c r="DP169" s="113"/>
      <c r="DQ169" s="2"/>
      <c r="DR169" s="3"/>
      <c r="DT169" s="20"/>
      <c r="DU169" s="18"/>
      <c r="DV169" s="20"/>
    </row>
    <row r="170" spans="1:126" x14ac:dyDescent="0.25">
      <c r="A170">
        <v>0.5</v>
      </c>
      <c r="C170" s="190">
        <f>IF(C169*(1+A170*Model!$B$19*IF(Model!$B$28=0,1,((Model!$B$28-B170)/(Model!$B$28-$B$9))))&gt;Model!$B$44,C169*(1+A170*Model!$B$19*IF(Model!$B$28=0,1,((Model!$B$28-B170)/(Model!$B$28-$B$9)))),Model!$B$44)</f>
        <v>50</v>
      </c>
      <c r="H170" s="17"/>
      <c r="O170" s="18"/>
      <c r="CY170" s="20" t="str">
        <f t="shared" si="91"/>
        <v>Demo path - C price $50 3%</v>
      </c>
      <c r="CZ170" s="3">
        <f t="shared" si="92"/>
        <v>2048</v>
      </c>
      <c r="DA170" s="18">
        <f t="shared" si="90"/>
        <v>0</v>
      </c>
      <c r="DB170" s="18">
        <f ca="1">(M33+IF($DB$3&gt;0,NPV($DB$2,M34:OFFSET(M33,$DB$3,0)),0))/($DB$3+1)</f>
        <v>124.27980108766251</v>
      </c>
      <c r="DC170" s="18">
        <f t="shared" ca="1" si="83"/>
        <v>74.279801087662506</v>
      </c>
      <c r="DD170" s="18">
        <f t="shared" si="94"/>
        <v>50</v>
      </c>
      <c r="DE170" s="20">
        <f t="shared" si="93"/>
        <v>15581.870841314774</v>
      </c>
      <c r="DF170" s="20" cm="1">
        <f t="array" ref="DF170">SUMPRODUCT(($BG$2:$BM$2=CY170)*($B$5:$B$35=CZ170)*($BG$5:$BM$35))</f>
        <v>12878.517972759888</v>
      </c>
      <c r="DG170" s="20">
        <f t="shared" si="95"/>
        <v>2703.3528685548863</v>
      </c>
      <c r="DH170" s="20" cm="1">
        <f t="array" ref="DH170">IF(CZ170=2023,SUMPRODUCT(($B$5:$B$35=CZ170-1)*($BN$5:$BN$35))-SUMPRODUCT(($BG$2:$BM$2=CY170)*($B$5:$B$35=CZ170-1)*($BG$5:$BM$35)),DG169)</f>
        <v>2683.2025996927441</v>
      </c>
      <c r="DI170" s="18">
        <f t="shared" ca="1" si="96"/>
        <v>124.27980108766251</v>
      </c>
      <c r="DJ170" s="89">
        <f t="shared" si="97"/>
        <v>7.9022480847610659</v>
      </c>
      <c r="DK170" s="89">
        <f t="shared" si="85"/>
        <v>7.8947663599462121</v>
      </c>
      <c r="DL170" s="89">
        <f t="shared" ca="1" si="86"/>
        <v>4.8225354840058836</v>
      </c>
      <c r="DM170" s="20">
        <f t="shared" ca="1" si="87"/>
        <v>1884.7657502454972</v>
      </c>
      <c r="DN170" s="20">
        <f t="shared" ca="1" si="98"/>
        <v>3235.9383106398104</v>
      </c>
      <c r="DO170" s="20">
        <f t="shared" ca="1" si="89"/>
        <v>2560.3520304426538</v>
      </c>
      <c r="DP170" s="113"/>
      <c r="DQ170" s="2"/>
      <c r="DR170" s="3"/>
      <c r="DT170" s="20"/>
      <c r="DU170" s="18"/>
      <c r="DV170" s="20"/>
    </row>
    <row r="171" spans="1:126" x14ac:dyDescent="0.25">
      <c r="A171">
        <v>0.5</v>
      </c>
      <c r="C171" s="190">
        <f>IF(C170*(1+A171*Model!$B$19*IF(Model!$B$28=0,1,((Model!$B$28-B171)/(Model!$B$28-$B$9))))&gt;Model!$B$44,C170*(1+A171*Model!$B$19*IF(Model!$B$28=0,1,((Model!$B$28-B171)/(Model!$B$28-$B$9)))),Model!$B$44)</f>
        <v>50</v>
      </c>
      <c r="H171" s="17"/>
      <c r="O171" s="18"/>
      <c r="CY171" s="20" t="str">
        <f t="shared" si="91"/>
        <v>Demo path - C price $50 3%</v>
      </c>
      <c r="CZ171" s="3">
        <f t="shared" si="92"/>
        <v>2049</v>
      </c>
      <c r="DA171" s="18">
        <f t="shared" si="90"/>
        <v>0</v>
      </c>
      <c r="DB171" s="18">
        <f ca="1">(M34+IF($DB$3&gt;0,NPV($DB$2,M35:OFFSET(M34,$DB$3,0)),0))/($DB$3+1)</f>
        <v>128.00819512029238</v>
      </c>
      <c r="DC171" s="18">
        <f t="shared" ca="1" si="83"/>
        <v>78.008195120292385</v>
      </c>
      <c r="DD171" s="18">
        <f t="shared" si="94"/>
        <v>50</v>
      </c>
      <c r="DE171" s="20">
        <f t="shared" si="93"/>
        <v>15012.992887840681</v>
      </c>
      <c r="DF171" s="20" cm="1">
        <f t="array" ref="DF171">SUMPRODUCT(($BG$2:$BM$2=CY171)*($B$5:$B$35=CZ171)*($BG$5:$BM$35))</f>
        <v>12130.728982678997</v>
      </c>
      <c r="DG171" s="20">
        <f t="shared" si="95"/>
        <v>2882.2639051616843</v>
      </c>
      <c r="DH171" s="20" cm="1">
        <f t="array" ref="DH171">IF(CZ171=2023,SUMPRODUCT(($B$5:$B$35=CZ171-1)*($BN$5:$BN$35))-SUMPRODUCT(($BG$2:$BM$2=CY171)*($B$5:$B$35=CZ171-1)*($BG$5:$BM$35)),DG170)</f>
        <v>2703.3528685548863</v>
      </c>
      <c r="DI171" s="18">
        <f t="shared" ca="1" si="96"/>
        <v>128.00819512029238</v>
      </c>
      <c r="DJ171" s="89">
        <f t="shared" si="97"/>
        <v>7.9663313425134943</v>
      </c>
      <c r="DK171" s="89">
        <f t="shared" si="85"/>
        <v>7.9022480847610659</v>
      </c>
      <c r="DL171" s="89">
        <f t="shared" ca="1" si="86"/>
        <v>4.8520942862474286</v>
      </c>
      <c r="DM171" s="20">
        <f t="shared" ca="1" si="87"/>
        <v>1956.7354661981797</v>
      </c>
      <c r="DN171" s="20">
        <f t="shared" ca="1" si="98"/>
        <v>3304.7652460272539</v>
      </c>
      <c r="DO171" s="20">
        <f t="shared" ca="1" si="89"/>
        <v>2630.7503561127169</v>
      </c>
      <c r="DP171" s="113"/>
      <c r="DQ171" s="2"/>
      <c r="DR171" s="3"/>
      <c r="DT171" s="20"/>
      <c r="DU171" s="18"/>
      <c r="DV171" s="20"/>
    </row>
    <row r="172" spans="1:126" x14ac:dyDescent="0.25">
      <c r="A172">
        <v>0.5</v>
      </c>
      <c r="C172" s="190">
        <f>IF(C171*(1+A172*Model!$B$19*IF(Model!$B$28=0,1,((Model!$B$28-B172)/(Model!$B$28-$B$9))))&gt;Model!$B$44,C171*(1+A172*Model!$B$19*IF(Model!$B$28=0,1,((Model!$B$28-B172)/(Model!$B$28-$B$9)))),Model!$B$44)</f>
        <v>50</v>
      </c>
      <c r="H172" s="17"/>
      <c r="O172" s="18"/>
      <c r="CY172" s="94" t="str">
        <f t="shared" si="91"/>
        <v>Demo path - C price $50 3%</v>
      </c>
      <c r="CZ172" s="3">
        <f t="shared" si="92"/>
        <v>2050</v>
      </c>
      <c r="DA172" s="18">
        <f t="shared" si="90"/>
        <v>0</v>
      </c>
      <c r="DB172" s="18">
        <f ca="1">(M35+IF($DB$3&gt;0,NPV($DB$2,M36:OFFSET(M35,$DB$3,0)),0))/($DB$3+1)</f>
        <v>131.84844097390118</v>
      </c>
      <c r="DC172" s="18">
        <f t="shared" ca="1" si="83"/>
        <v>81.848440973901177</v>
      </c>
      <c r="DD172" s="18">
        <f t="shared" si="94"/>
        <v>50</v>
      </c>
      <c r="DE172" s="20">
        <f t="shared" si="93"/>
        <v>14477.451467153383</v>
      </c>
      <c r="DF172" s="20" cm="1">
        <f t="array" ref="DF172">SUMPRODUCT(($BG$2:$BM$2=CY172)*($B$5:$B$35=CZ172)*($BG$5:$BM$35))</f>
        <v>11503.206425451652</v>
      </c>
      <c r="DG172" s="20">
        <f t="shared" si="95"/>
        <v>2974.2450417017317</v>
      </c>
      <c r="DH172" s="20" cm="1">
        <f t="array" ref="DH172">IF(CZ172=2023,SUMPRODUCT(($B$5:$B$35=CZ172-1)*($BN$5:$BN$35))-SUMPRODUCT(($BG$2:$BM$2=CY172)*($B$5:$B$35=CZ172-1)*($BG$5:$BM$35)),DG171)</f>
        <v>2882.2639051616843</v>
      </c>
      <c r="DI172" s="18">
        <f t="shared" ca="1" si="96"/>
        <v>131.84844097390118</v>
      </c>
      <c r="DJ172" s="89">
        <f t="shared" si="97"/>
        <v>7.9977455182800945</v>
      </c>
      <c r="DK172" s="89">
        <f t="shared" si="85"/>
        <v>7.9663313425134943</v>
      </c>
      <c r="DL172" s="89">
        <f t="shared" ca="1" si="86"/>
        <v>4.8816530884889726</v>
      </c>
      <c r="DM172" s="20">
        <f t="shared" ca="1" si="87"/>
        <v>2029.9413757822883</v>
      </c>
      <c r="DN172" s="20">
        <f t="shared" ca="1" si="98"/>
        <v>3375.0522760968934</v>
      </c>
      <c r="DO172" s="20">
        <f t="shared" ca="1" si="89"/>
        <v>2702.496825939591</v>
      </c>
      <c r="DP172" s="113"/>
      <c r="DQ172" s="2"/>
      <c r="DR172" s="3"/>
      <c r="DT172" s="20"/>
      <c r="DU172" s="18"/>
      <c r="DV172" s="20"/>
    </row>
    <row r="173" spans="1:126" x14ac:dyDescent="0.25">
      <c r="A173">
        <v>0.5</v>
      </c>
      <c r="C173" s="190">
        <f>IF(C172*(1+A173*Model!$B$19*IF(Model!$B$28=0,1,((Model!$B$28-B173)/(Model!$B$28-$B$9))))&gt;Model!$B$44,C172*(1+A173*Model!$B$19*IF(Model!$B$28=0,1,((Model!$B$28-B173)/(Model!$B$28-$B$9)))),Model!$B$44)</f>
        <v>50</v>
      </c>
      <c r="O173" s="18"/>
      <c r="CY173" s="20" t="str">
        <f>N2</f>
        <v>2022 Demo path</v>
      </c>
      <c r="CZ173" s="3">
        <f t="shared" si="92"/>
        <v>2023</v>
      </c>
      <c r="DA173" s="18">
        <f t="shared" si="90"/>
        <v>0</v>
      </c>
      <c r="DB173" s="18">
        <f ca="1">(N8+IF($DB$3&gt;0,NPV($DB$2,N9:OFFSET(N8,$DB$3,0)),0))/($DB$3+1)</f>
        <v>123.75149267194932</v>
      </c>
      <c r="DC173" s="18">
        <f ca="1">DB173-$DB$173</f>
        <v>0</v>
      </c>
      <c r="DD173" s="18">
        <f>N8</f>
        <v>93.75863831252174</v>
      </c>
      <c r="DE173" s="20">
        <f t="shared" si="93"/>
        <v>37354.602072444766</v>
      </c>
      <c r="DF173" s="20" cm="1">
        <f t="array" ref="DF173">SUMPRODUCT(($BG$2:$BM$2=CY173)*($B$5:$B$35=CZ173)*($BG$5:$BM$35))</f>
        <v>36832.278310175461</v>
      </c>
      <c r="DG173" s="20">
        <f t="shared" si="95"/>
        <v>522.32376226930501</v>
      </c>
      <c r="DH173" s="20" cm="1">
        <f t="array" ref="DH173">IF(CZ173=2023,SUMPRODUCT(($B$5:$B$35=CZ173-1)*($BN$5:$BN$35))-SUMPRODUCT(($BG$2:$BM$2=CY173)*($B$5:$B$35=CZ173-1)*($BG$5:$BM$35)),DG172)</f>
        <v>170.85291231462907</v>
      </c>
      <c r="DI173" s="18">
        <f t="shared" ca="1" si="96"/>
        <v>123.75149267194932</v>
      </c>
      <c r="DJ173" s="89">
        <f t="shared" si="97"/>
        <v>6.258287629849268</v>
      </c>
      <c r="DK173" s="89">
        <f t="shared" si="85"/>
        <v>5.1408030244483811</v>
      </c>
      <c r="DL173" s="89">
        <f t="shared" ca="1" si="86"/>
        <v>4.8182754633716041</v>
      </c>
      <c r="DM173" s="20">
        <f t="shared" ca="1" si="87"/>
        <v>339.21395181637467</v>
      </c>
      <c r="DN173" s="20">
        <f t="shared" ca="1" si="98"/>
        <v>545.6956031554455</v>
      </c>
      <c r="DO173" s="20">
        <f t="shared" ca="1" si="89"/>
        <v>442.45477748591009</v>
      </c>
      <c r="DP173" s="113"/>
      <c r="DQ173" s="2"/>
      <c r="DR173" s="3"/>
      <c r="DT173" s="20"/>
      <c r="DU173" s="18"/>
      <c r="DV173" s="20"/>
    </row>
    <row r="174" spans="1:126" x14ac:dyDescent="0.25">
      <c r="A174">
        <v>0.5</v>
      </c>
      <c r="C174" s="190">
        <f>IF(C173*(1+A174*Model!$B$19*IF(Model!$B$28=0,1,((Model!$B$28-B174)/(Model!$B$28-$B$9))))&gt;Model!$B$44,C173*(1+A174*Model!$B$19*IF(Model!$B$28=0,1,((Model!$B$28-B174)/(Model!$B$28-$B$9)))),Model!$B$44)</f>
        <v>50</v>
      </c>
      <c r="O174" s="18"/>
      <c r="CY174" s="20" t="str">
        <f>CY173</f>
        <v>2022 Demo path</v>
      </c>
      <c r="CZ174" s="3">
        <f t="shared" si="92"/>
        <v>2024</v>
      </c>
      <c r="DA174" s="18">
        <f t="shared" si="90"/>
        <v>0</v>
      </c>
      <c r="DB174" s="18">
        <f ca="1">(N9+IF($DB$3&gt;0,NPV($DB$2,N10:OFFSET(N9,$DB$3,0)),0))/($DB$3+1)</f>
        <v>131.69588155004493</v>
      </c>
      <c r="DC174" s="18">
        <f t="shared" ref="DC174:DC200" ca="1" si="99">DB174-$DB$173</f>
        <v>7.9443888780956087</v>
      </c>
      <c r="DD174" s="18">
        <f t="shared" si="94"/>
        <v>93.75863831252174</v>
      </c>
      <c r="DE174" s="20">
        <f t="shared" si="93"/>
        <v>36520.25063854071</v>
      </c>
      <c r="DF174" s="20" cm="1">
        <f t="array" ref="DF174">SUMPRODUCT(($BG$2:$BM$2=CY174)*($B$5:$B$35=CZ174)*($BG$5:$BM$35))</f>
        <v>35750.689873770811</v>
      </c>
      <c r="DG174" s="20">
        <f t="shared" si="95"/>
        <v>769.56076476989983</v>
      </c>
      <c r="DH174" s="20" cm="1">
        <f t="array" ref="DH174">IF(CZ174=2023,SUMPRODUCT(($B$5:$B$35=CZ174-1)*($BN$5:$BN$35))-SUMPRODUCT(($BG$2:$BM$2=CY174)*($B$5:$B$35=CZ174-1)*($BG$5:$BM$35)),DG173)</f>
        <v>522.32376226930501</v>
      </c>
      <c r="DI174" s="18">
        <f t="shared" ca="1" si="96"/>
        <v>131.69588155004493</v>
      </c>
      <c r="DJ174" s="89">
        <f t="shared" si="97"/>
        <v>6.6458199167238119</v>
      </c>
      <c r="DK174" s="89">
        <f t="shared" si="85"/>
        <v>6.258287629849268</v>
      </c>
      <c r="DL174" s="89">
        <f t="shared" ca="1" si="86"/>
        <v>4.8804953368103492</v>
      </c>
      <c r="DM174" s="20">
        <f t="shared" ca="1" si="87"/>
        <v>508.96718956679518</v>
      </c>
      <c r="DN174" s="20">
        <f t="shared" ca="1" si="98"/>
        <v>1126.3580936904518</v>
      </c>
      <c r="DO174" s="20">
        <f t="shared" ca="1" si="89"/>
        <v>817.66264162862353</v>
      </c>
      <c r="DP174" s="113"/>
      <c r="DQ174" s="2"/>
      <c r="DR174" s="3"/>
      <c r="DT174" s="20"/>
      <c r="DU174" s="18"/>
      <c r="DV174" s="20"/>
    </row>
    <row r="175" spans="1:126" x14ac:dyDescent="0.25">
      <c r="A175">
        <v>0.5</v>
      </c>
      <c r="C175" s="190">
        <f>IF(C174*(1+A175*Model!$B$19*IF(Model!$B$28=0,1,((Model!$B$28-B175)/(Model!$B$28-$B$9))))&gt;Model!$B$44,C174*(1+A175*Model!$B$19*IF(Model!$B$28=0,1,((Model!$B$28-B175)/(Model!$B$28-$B$9)))),Model!$B$44)</f>
        <v>50</v>
      </c>
      <c r="O175" s="18"/>
      <c r="CY175" s="20" t="str">
        <f t="shared" ref="CY175:CY200" si="100">CY174</f>
        <v>2022 Demo path</v>
      </c>
      <c r="CZ175" s="3">
        <f t="shared" si="92"/>
        <v>2025</v>
      </c>
      <c r="DA175" s="18">
        <f t="shared" si="90"/>
        <v>0</v>
      </c>
      <c r="DB175" s="18">
        <f ca="1">(N10+IF($DB$3&gt;0,NPV($DB$2,N11:OFFSET(N10,$DB$3,0)),0))/($DB$3+1)</f>
        <v>139.23711292389285</v>
      </c>
      <c r="DC175" s="18">
        <f t="shared" ca="1" si="99"/>
        <v>15.48562025194353</v>
      </c>
      <c r="DD175" s="18">
        <f t="shared" si="94"/>
        <v>93.75863831252174</v>
      </c>
      <c r="DE175" s="20">
        <f t="shared" si="93"/>
        <v>36119.314820792293</v>
      </c>
      <c r="DF175" s="20" cm="1">
        <f t="array" ref="DF175">SUMPRODUCT(($BG$2:$BM$2=CY175)*($B$5:$B$35=CZ175)*($BG$5:$BM$35))</f>
        <v>34568.220278447727</v>
      </c>
      <c r="DG175" s="20">
        <f t="shared" si="95"/>
        <v>1551.0945423445664</v>
      </c>
      <c r="DH175" s="20" cm="1">
        <f t="array" ref="DH175">IF(CZ175=2023,SUMPRODUCT(($B$5:$B$35=CZ175-1)*($BN$5:$BN$35))-SUMPRODUCT(($BG$2:$BM$2=CY175)*($B$5:$B$35=CZ175-1)*($BG$5:$BM$35)),DG174)</f>
        <v>769.56076476989983</v>
      </c>
      <c r="DI175" s="18">
        <f t="shared" ca="1" si="96"/>
        <v>139.23711292389285</v>
      </c>
      <c r="DJ175" s="89">
        <f t="shared" si="97"/>
        <v>7.3467161170535435</v>
      </c>
      <c r="DK175" s="89">
        <f t="shared" si="85"/>
        <v>6.6458199167238119</v>
      </c>
      <c r="DL175" s="89">
        <f t="shared" ca="1" si="86"/>
        <v>4.9361783281971983</v>
      </c>
      <c r="DM175" s="20">
        <f t="shared" ca="1" si="87"/>
        <v>679.4475528909278</v>
      </c>
      <c r="DN175" s="20">
        <f t="shared" ca="1" si="98"/>
        <v>1778.7633359263696</v>
      </c>
      <c r="DO175" s="20">
        <f t="shared" ca="1" si="89"/>
        <v>1229.1054444086487</v>
      </c>
      <c r="DP175" s="113"/>
      <c r="DQ175" s="2"/>
      <c r="DR175" s="3"/>
      <c r="DT175" s="20"/>
      <c r="DU175" s="18"/>
      <c r="DV175" s="20"/>
    </row>
    <row r="176" spans="1:126" x14ac:dyDescent="0.25">
      <c r="A176">
        <v>0.5</v>
      </c>
      <c r="C176" s="190">
        <f>IF(C175*(1+A176*Model!$B$19*IF(Model!$B$28=0,1,((Model!$B$28-B176)/(Model!$B$28-$B$9))))&gt;Model!$B$44,C175*(1+A176*Model!$B$19*IF(Model!$B$28=0,1,((Model!$B$28-B176)/(Model!$B$28-$B$9)))),Model!$B$44)</f>
        <v>50</v>
      </c>
      <c r="O176" s="18"/>
      <c r="CY176" s="20" t="str">
        <f t="shared" si="100"/>
        <v>2022 Demo path</v>
      </c>
      <c r="CZ176" s="3">
        <f t="shared" si="92"/>
        <v>2026</v>
      </c>
      <c r="DA176" s="18">
        <f t="shared" si="90"/>
        <v>0</v>
      </c>
      <c r="DB176" s="18">
        <f ca="1">(N11+IF($DB$3&gt;0,NPV($DB$2,N12:OFFSET(N11,$DB$3,0)),0))/($DB$3+1)</f>
        <v>146.37480202420983</v>
      </c>
      <c r="DC176" s="18">
        <f t="shared" ca="1" si="99"/>
        <v>22.623309352260506</v>
      </c>
      <c r="DD176" s="18">
        <f t="shared" si="94"/>
        <v>93.75863831252174</v>
      </c>
      <c r="DE176" s="20">
        <f t="shared" si="93"/>
        <v>35989.651978621361</v>
      </c>
      <c r="DF176" s="20" cm="1">
        <f t="array" ref="DF176">SUMPRODUCT(($BG$2:$BM$2=CY176)*($B$5:$B$35=CZ176)*($BG$5:$BM$35))</f>
        <v>33977.421765005165</v>
      </c>
      <c r="DG176" s="20">
        <f t="shared" si="95"/>
        <v>2012.2302136161961</v>
      </c>
      <c r="DH176" s="20" cm="1">
        <f t="array" ref="DH176">IF(CZ176=2023,SUMPRODUCT(($B$5:$B$35=CZ176-1)*($BN$5:$BN$35))-SUMPRODUCT(($BG$2:$BM$2=CY176)*($B$5:$B$35=CZ176-1)*($BG$5:$BM$35)),DG175)</f>
        <v>1551.0945423445664</v>
      </c>
      <c r="DI176" s="18">
        <f t="shared" ca="1" si="96"/>
        <v>146.37480202420983</v>
      </c>
      <c r="DJ176" s="89">
        <f t="shared" si="97"/>
        <v>7.606998944960508</v>
      </c>
      <c r="DK176" s="89">
        <f t="shared" si="85"/>
        <v>7.3467161170535435</v>
      </c>
      <c r="DL176" s="89">
        <f t="shared" ca="1" si="86"/>
        <v>4.9861704693923539</v>
      </c>
      <c r="DM176" s="20">
        <f t="shared" ca="1" si="87"/>
        <v>850.02920153184368</v>
      </c>
      <c r="DN176" s="20">
        <f t="shared" ca="1" si="98"/>
        <v>2382.5310284122038</v>
      </c>
      <c r="DO176" s="20">
        <f t="shared" ca="1" si="89"/>
        <v>1616.2801149720237</v>
      </c>
      <c r="DP176" s="113"/>
      <c r="DQ176" s="2"/>
      <c r="DR176" s="3"/>
      <c r="DT176" s="20"/>
      <c r="DU176" s="18"/>
      <c r="DV176" s="20"/>
    </row>
    <row r="177" spans="1:126" x14ac:dyDescent="0.25">
      <c r="A177">
        <v>0.5</v>
      </c>
      <c r="C177" s="190">
        <f>IF(C176*(1+A177*Model!$B$19*IF(Model!$B$28=0,1,((Model!$B$28-B177)/(Model!$B$28-$B$9))))&gt;Model!$B$44,C176*(1+A177*Model!$B$19*IF(Model!$B$28=0,1,((Model!$B$28-B177)/(Model!$B$28-$B$9)))),Model!$B$44)</f>
        <v>50</v>
      </c>
      <c r="O177" s="18"/>
      <c r="CY177" s="20" t="str">
        <f t="shared" si="100"/>
        <v>2022 Demo path</v>
      </c>
      <c r="CZ177" s="3">
        <f t="shared" si="92"/>
        <v>2027</v>
      </c>
      <c r="DA177" s="18">
        <f t="shared" si="90"/>
        <v>0</v>
      </c>
      <c r="DB177" s="18">
        <f ca="1">(N12+IF($DB$3&gt;0,NPV($DB$2,N13:OFFSET(N12,$DB$3,0)),0))/($DB$3+1)</f>
        <v>153.10890383730919</v>
      </c>
      <c r="DC177" s="18">
        <f t="shared" ca="1" si="99"/>
        <v>29.357411165359864</v>
      </c>
      <c r="DD177" s="18">
        <f t="shared" si="94"/>
        <v>93.75863831252174</v>
      </c>
      <c r="DE177" s="20">
        <f t="shared" si="93"/>
        <v>35793.252751753469</v>
      </c>
      <c r="DF177" s="20" cm="1">
        <f t="array" ref="DF177">SUMPRODUCT(($BG$2:$BM$2=CY177)*($B$5:$B$35=CZ177)*($BG$5:$BM$35))</f>
        <v>33251.697154477297</v>
      </c>
      <c r="DG177" s="20">
        <f t="shared" si="95"/>
        <v>2541.5555972761722</v>
      </c>
      <c r="DH177" s="20" cm="1">
        <f t="array" ref="DH177">IF(CZ177=2023,SUMPRODUCT(($B$5:$B$35=CZ177-1)*($BN$5:$BN$35))-SUMPRODUCT(($BG$2:$BM$2=CY177)*($B$5:$B$35=CZ177-1)*($BG$5:$BM$35)),DG176)</f>
        <v>2012.2302136161961</v>
      </c>
      <c r="DI177" s="18">
        <f t="shared" ca="1" si="96"/>
        <v>153.10890383730919</v>
      </c>
      <c r="DJ177" s="89">
        <f t="shared" si="97"/>
        <v>7.840531612420329</v>
      </c>
      <c r="DK177" s="89">
        <f t="shared" si="85"/>
        <v>7.606998944960508</v>
      </c>
      <c r="DL177" s="89">
        <f t="shared" ca="1" si="86"/>
        <v>5.0311494579765643</v>
      </c>
      <c r="DM177" s="20">
        <f t="shared" ca="1" si="87"/>
        <v>1020.1236708808188</v>
      </c>
      <c r="DN177" s="20">
        <f t="shared" ca="1" si="98"/>
        <v>2882.6146125073728</v>
      </c>
      <c r="DO177" s="20">
        <f t="shared" ca="1" si="89"/>
        <v>1951.3691416940958</v>
      </c>
      <c r="DP177" s="113"/>
      <c r="DQ177" s="2"/>
      <c r="DR177" s="3"/>
      <c r="DT177" s="20"/>
      <c r="DU177" s="18"/>
      <c r="DV177" s="20"/>
    </row>
    <row r="178" spans="1:126" x14ac:dyDescent="0.25">
      <c r="A178">
        <v>0.5</v>
      </c>
      <c r="C178" s="190">
        <f>IF(C177*(1+A178*Model!$B$19*IF(Model!$B$28=0,1,((Model!$B$28-B178)/(Model!$B$28-$B$9))))&gt;Model!$B$44,C177*(1+A178*Model!$B$19*IF(Model!$B$28=0,1,((Model!$B$28-B178)/(Model!$B$28-$B$9)))),Model!$B$44)</f>
        <v>50</v>
      </c>
      <c r="O178" s="18"/>
      <c r="CY178" s="20" t="str">
        <f t="shared" si="100"/>
        <v>2022 Demo path</v>
      </c>
      <c r="CZ178" s="3">
        <f t="shared" si="92"/>
        <v>2028</v>
      </c>
      <c r="DA178" s="18">
        <f t="shared" si="90"/>
        <v>0</v>
      </c>
      <c r="DB178" s="18">
        <f ca="1">(N13+IF($DB$3&gt;0,NPV($DB$2,N14:OFFSET(N13,$DB$3,0)),0))/($DB$3+1)</f>
        <v>159.43973383672957</v>
      </c>
      <c r="DC178" s="18">
        <f t="shared" ca="1" si="99"/>
        <v>35.688241164780251</v>
      </c>
      <c r="DD178" s="18">
        <f t="shared" si="94"/>
        <v>93.75863831252174</v>
      </c>
      <c r="DE178" s="20">
        <f t="shared" si="93"/>
        <v>35511.189170281767</v>
      </c>
      <c r="DF178" s="20" cm="1">
        <f t="array" ref="DF178">SUMPRODUCT(($BG$2:$BM$2=CY178)*($B$5:$B$35=CZ178)*($BG$5:$BM$35))</f>
        <v>32478.728971611461</v>
      </c>
      <c r="DG178" s="20">
        <f t="shared" si="95"/>
        <v>3032.4601986703055</v>
      </c>
      <c r="DH178" s="20" cm="1">
        <f t="array" ref="DH178">IF(CZ178=2023,SUMPRODUCT(($B$5:$B$35=CZ178-1)*($BN$5:$BN$35))-SUMPRODUCT(($BG$2:$BM$2=CY178)*($B$5:$B$35=CZ178-1)*($BG$5:$BM$35)),DG177)</f>
        <v>2541.5555972761722</v>
      </c>
      <c r="DI178" s="18">
        <f t="shared" ca="1" si="96"/>
        <v>159.43973383672957</v>
      </c>
      <c r="DJ178" s="89">
        <f t="shared" si="97"/>
        <v>8.0171295158088434</v>
      </c>
      <c r="DK178" s="89">
        <f t="shared" si="85"/>
        <v>7.840531612420329</v>
      </c>
      <c r="DL178" s="89">
        <f t="shared" ca="1" si="86"/>
        <v>5.0716660065399344</v>
      </c>
      <c r="DM178" s="20">
        <f t="shared" ca="1" si="87"/>
        <v>1189.1781562051276</v>
      </c>
      <c r="DN178" s="20">
        <f t="shared" ca="1" si="98"/>
        <v>3274.0712070118916</v>
      </c>
      <c r="DO178" s="20">
        <f t="shared" ca="1" si="89"/>
        <v>2231.6246816085095</v>
      </c>
      <c r="DP178" s="113"/>
      <c r="DQ178" s="2"/>
      <c r="DR178" s="3"/>
      <c r="DT178" s="20"/>
      <c r="DU178" s="18"/>
      <c r="DV178" s="20"/>
    </row>
    <row r="179" spans="1:126" x14ac:dyDescent="0.25">
      <c r="A179">
        <v>0.5</v>
      </c>
      <c r="C179" s="190">
        <f>IF(C178*(1+A179*Model!$B$19*IF(Model!$B$28=0,1,((Model!$B$28-B179)/(Model!$B$28-$B$9))))&gt;Model!$B$44,C178*(1+A179*Model!$B$19*IF(Model!$B$28=0,1,((Model!$B$28-B179)/(Model!$B$28-$B$9)))),Model!$B$44)</f>
        <v>50</v>
      </c>
      <c r="O179" s="18"/>
      <c r="CY179" s="20" t="str">
        <f t="shared" si="100"/>
        <v>2022 Demo path</v>
      </c>
      <c r="CZ179" s="3">
        <f t="shared" si="92"/>
        <v>2029</v>
      </c>
      <c r="DA179" s="18">
        <f t="shared" si="90"/>
        <v>0</v>
      </c>
      <c r="DB179" s="18">
        <f ca="1">(N14+IF($DB$3&gt;0,NPV($DB$2,N15:OFFSET(N14,$DB$3,0)),0))/($DB$3+1)</f>
        <v>165.36798965298033</v>
      </c>
      <c r="DC179" s="18">
        <f t="shared" ca="1" si="99"/>
        <v>41.616496981031005</v>
      </c>
      <c r="DD179" s="18">
        <f t="shared" si="94"/>
        <v>93.75863831252174</v>
      </c>
      <c r="DE179" s="20">
        <f t="shared" si="93"/>
        <v>35177.841893805635</v>
      </c>
      <c r="DF179" s="20" cm="1">
        <f t="array" ref="DF179">SUMPRODUCT(($BG$2:$BM$2=CY179)*($B$5:$B$35=CZ179)*($BG$5:$BM$35))</f>
        <v>31640.569515247476</v>
      </c>
      <c r="DG179" s="20">
        <f t="shared" si="95"/>
        <v>3537.2723785581584</v>
      </c>
      <c r="DH179" s="20" cm="1">
        <f t="array" ref="DH179">IF(CZ179=2023,SUMPRODUCT(($B$5:$B$35=CZ179-1)*($BN$5:$BN$35))-SUMPRODUCT(($BG$2:$BM$2=CY179)*($B$5:$B$35=CZ179-1)*($BG$5:$BM$35)),DG178)</f>
        <v>3032.4601986703055</v>
      </c>
      <c r="DI179" s="18">
        <f t="shared" ca="1" si="96"/>
        <v>165.36798965298033</v>
      </c>
      <c r="DJ179" s="89">
        <f t="shared" si="97"/>
        <v>8.1711111945973336</v>
      </c>
      <c r="DK179" s="89">
        <f t="shared" si="85"/>
        <v>8.0171295158088434</v>
      </c>
      <c r="DL179" s="89">
        <f t="shared" ca="1" si="86"/>
        <v>5.1081732309272718</v>
      </c>
      <c r="DM179" s="20">
        <f t="shared" ca="1" si="87"/>
        <v>1356.6739307921105</v>
      </c>
      <c r="DN179" s="20">
        <f t="shared" ca="1" si="98"/>
        <v>3574.2618242659883</v>
      </c>
      <c r="DO179" s="20">
        <f t="shared" ca="1" si="89"/>
        <v>2465.4678775290495</v>
      </c>
      <c r="DP179" s="113"/>
      <c r="DQ179" s="2"/>
      <c r="DR179" s="3"/>
      <c r="DT179" s="20"/>
      <c r="DU179" s="18"/>
      <c r="DV179" s="20"/>
    </row>
    <row r="180" spans="1:126" x14ac:dyDescent="0.25">
      <c r="A180">
        <v>0.5</v>
      </c>
      <c r="C180" s="190">
        <f>IF(C179*(1+A180*Model!$B$19*IF(Model!$B$28=0,1,((Model!$B$28-B180)/(Model!$B$28-$B$9))))&gt;Model!$B$44,C179*(1+A180*Model!$B$19*IF(Model!$B$28=0,1,((Model!$B$28-B180)/(Model!$B$28-$B$9)))),Model!$B$44)</f>
        <v>50</v>
      </c>
      <c r="O180" s="18"/>
      <c r="CY180" s="20" t="str">
        <f t="shared" si="100"/>
        <v>2022 Demo path</v>
      </c>
      <c r="CZ180" s="3">
        <f t="shared" si="92"/>
        <v>2030</v>
      </c>
      <c r="DA180" s="18">
        <f t="shared" si="90"/>
        <v>0</v>
      </c>
      <c r="DB180" s="18">
        <f ca="1">(N15+IF($DB$3&gt;0,NPV($DB$2,N16:OFFSET(N15,$DB$3,0)),0))/($DB$3+1)</f>
        <v>170.89477371903351</v>
      </c>
      <c r="DC180" s="18">
        <f t="shared" ca="1" si="99"/>
        <v>47.143281047084187</v>
      </c>
      <c r="DD180" s="18">
        <f t="shared" si="94"/>
        <v>93.75863831252174</v>
      </c>
      <c r="DE180" s="20">
        <f t="shared" si="93"/>
        <v>33772.256001092159</v>
      </c>
      <c r="DF180" s="20" cm="1">
        <f t="array" ref="DF180">SUMPRODUCT(($BG$2:$BM$2=CY180)*($B$5:$B$35=CZ180)*($BG$5:$BM$35))</f>
        <v>29686.989195497019</v>
      </c>
      <c r="DG180" s="20">
        <f t="shared" si="95"/>
        <v>4085.2668055951399</v>
      </c>
      <c r="DH180" s="20" cm="1">
        <f t="array" ref="DH180">IF(CZ180=2023,SUMPRODUCT(($B$5:$B$35=CZ180-1)*($BN$5:$BN$35))-SUMPRODUCT(($BG$2:$BM$2=CY180)*($B$5:$B$35=CZ180-1)*($BG$5:$BM$35)),DG179)</f>
        <v>3537.2723785581584</v>
      </c>
      <c r="DI180" s="18">
        <f t="shared" ca="1" si="96"/>
        <v>170.89477371903351</v>
      </c>
      <c r="DJ180" s="89">
        <f t="shared" si="97"/>
        <v>8.3151423186484532</v>
      </c>
      <c r="DK180" s="89">
        <f t="shared" si="85"/>
        <v>8.1711111945973336</v>
      </c>
      <c r="DL180" s="89">
        <f t="shared" ca="1" si="86"/>
        <v>5.1410480087237662</v>
      </c>
      <c r="DM180" s="20">
        <f t="shared" ca="1" si="87"/>
        <v>1522.1248914061089</v>
      </c>
      <c r="DN180" s="20">
        <f t="shared" ca="1" si="98"/>
        <v>3805.1028497896759</v>
      </c>
      <c r="DO180" s="20">
        <f t="shared" ca="1" si="89"/>
        <v>2663.6138705978924</v>
      </c>
      <c r="DP180" s="113"/>
      <c r="DQ180" s="2"/>
      <c r="DR180" s="3"/>
      <c r="DT180" s="20"/>
      <c r="DU180" s="18"/>
      <c r="DV180" s="20"/>
    </row>
    <row r="181" spans="1:126" x14ac:dyDescent="0.25">
      <c r="A181">
        <v>0.5</v>
      </c>
      <c r="C181" s="190">
        <f>IF(C180*(1+A181*Model!$B$19*IF(Model!$B$28=0,1,((Model!$B$28-B181)/(Model!$B$28-$B$9))))&gt;Model!$B$44,C180*(1+A181*Model!$B$19*IF(Model!$B$28=0,1,((Model!$B$28-B181)/(Model!$B$28-$B$9)))),Model!$B$44)</f>
        <v>50</v>
      </c>
      <c r="O181" s="18"/>
      <c r="CY181" s="20" t="str">
        <f t="shared" si="100"/>
        <v>2022 Demo path</v>
      </c>
      <c r="CZ181" s="3">
        <f t="shared" si="92"/>
        <v>2031</v>
      </c>
      <c r="DA181" s="18">
        <f t="shared" si="90"/>
        <v>0</v>
      </c>
      <c r="DB181" s="18">
        <f ca="1">(N16+IF($DB$3&gt;0,NPV($DB$2,N17:OFFSET(N16,$DB$3,0)),0))/($DB$3+1)</f>
        <v>176.02161693060455</v>
      </c>
      <c r="DC181" s="18">
        <f t="shared" ca="1" si="99"/>
        <v>52.27012425865523</v>
      </c>
      <c r="DD181" s="18">
        <f t="shared" si="94"/>
        <v>93.75863831252174</v>
      </c>
      <c r="DE181" s="20">
        <f t="shared" si="93"/>
        <v>32544.850715439803</v>
      </c>
      <c r="DF181" s="20" cm="1">
        <f t="array" ref="DF181">SUMPRODUCT(($BG$2:$BM$2=CY181)*($B$5:$B$35=CZ181)*($BG$5:$BM$35))</f>
        <v>28465.728168087095</v>
      </c>
      <c r="DG181" s="20">
        <f t="shared" si="95"/>
        <v>4079.1225473527084</v>
      </c>
      <c r="DH181" s="20" cm="1">
        <f t="array" ref="DH181">IF(CZ181=2023,SUMPRODUCT(($B$5:$B$35=CZ181-1)*($BN$5:$BN$35))-SUMPRODUCT(($BG$2:$BM$2=CY181)*($B$5:$B$35=CZ181-1)*($BG$5:$BM$35)),DG180)</f>
        <v>4085.2668055951399</v>
      </c>
      <c r="DI181" s="18">
        <f t="shared" ca="1" si="96"/>
        <v>176.02161693060455</v>
      </c>
      <c r="DJ181" s="89">
        <f t="shared" si="97"/>
        <v>8.3136371823457207</v>
      </c>
      <c r="DK181" s="89">
        <f t="shared" si="85"/>
        <v>8.3151423186484532</v>
      </c>
      <c r="DL181" s="89">
        <f t="shared" ca="1" si="86"/>
        <v>5.1706068109653112</v>
      </c>
      <c r="DM181" s="20">
        <f t="shared" ca="1" si="87"/>
        <v>1685.0762249062445</v>
      </c>
      <c r="DN181" s="20">
        <f t="shared" ca="1" si="98"/>
        <v>3985.611687722168</v>
      </c>
      <c r="DO181" s="20">
        <f t="shared" ca="1" si="89"/>
        <v>2835.3439563142065</v>
      </c>
      <c r="DP181" s="113"/>
      <c r="DQ181" s="2"/>
      <c r="DR181" s="3"/>
      <c r="DT181" s="20"/>
      <c r="DU181" s="18"/>
      <c r="DV181" s="20"/>
    </row>
    <row r="182" spans="1:126" x14ac:dyDescent="0.25">
      <c r="A182">
        <v>0.5</v>
      </c>
      <c r="C182" s="190">
        <f>IF(C181*(1+A182*Model!$B$19*IF(Model!$B$28=0,1,((Model!$B$28-B182)/(Model!$B$28-$B$9))))&gt;Model!$B$44,C181*(1+A182*Model!$B$19*IF(Model!$B$28=0,1,((Model!$B$28-B182)/(Model!$B$28-$B$9)))),Model!$B$44)</f>
        <v>50</v>
      </c>
      <c r="O182" s="18"/>
      <c r="CY182" s="20" t="str">
        <f t="shared" si="100"/>
        <v>2022 Demo path</v>
      </c>
      <c r="CZ182" s="3">
        <f t="shared" si="92"/>
        <v>2032</v>
      </c>
      <c r="DA182" s="18">
        <f t="shared" si="90"/>
        <v>0</v>
      </c>
      <c r="DB182" s="18">
        <f ca="1">(N17+IF($DB$3&gt;0,NPV($DB$2,N18:OFFSET(N17,$DB$3,0)),0))/($DB$3+1)</f>
        <v>181.30226543852265</v>
      </c>
      <c r="DC182" s="18">
        <f t="shared" ca="1" si="99"/>
        <v>57.550772766573331</v>
      </c>
      <c r="DD182" s="18">
        <f t="shared" si="94"/>
        <v>93.75863831252174</v>
      </c>
      <c r="DE182" s="20">
        <f t="shared" si="93"/>
        <v>31317.445429787447</v>
      </c>
      <c r="DF182" s="20" cm="1">
        <f t="array" ref="DF182">SUMPRODUCT(($BG$2:$BM$2=CY182)*($B$5:$B$35=CZ182)*($BG$5:$BM$35))</f>
        <v>27210.620768268473</v>
      </c>
      <c r="DG182" s="20">
        <f t="shared" si="95"/>
        <v>4106.8246615189746</v>
      </c>
      <c r="DH182" s="20" cm="1">
        <f t="array" ref="DH182">IF(CZ182=2023,SUMPRODUCT(($B$5:$B$35=CZ182-1)*($BN$5:$BN$35))-SUMPRODUCT(($BG$2:$BM$2=CY182)*($B$5:$B$35=CZ182-1)*($BG$5:$BM$35)),DG181)</f>
        <v>4079.1225473527084</v>
      </c>
      <c r="DI182" s="18">
        <f t="shared" ca="1" si="96"/>
        <v>181.30226543852265</v>
      </c>
      <c r="DJ182" s="89">
        <f t="shared" si="97"/>
        <v>8.3204054204518201</v>
      </c>
      <c r="DK182" s="89">
        <f t="shared" si="85"/>
        <v>8.3136371823457207</v>
      </c>
      <c r="DL182" s="89">
        <f t="shared" ca="1" si="86"/>
        <v>5.2001656132068552</v>
      </c>
      <c r="DM182" s="20">
        <f t="shared" ca="1" si="87"/>
        <v>1845.899422357845</v>
      </c>
      <c r="DN182" s="20">
        <f t="shared" ca="1" si="98"/>
        <v>4133.5979947174828</v>
      </c>
      <c r="DO182" s="20">
        <f t="shared" ca="1" si="89"/>
        <v>2989.7487085376638</v>
      </c>
      <c r="DP182" s="113"/>
      <c r="DQ182" s="2"/>
      <c r="DR182" s="3"/>
      <c r="DT182" s="20"/>
      <c r="DU182" s="18"/>
      <c r="DV182" s="20"/>
    </row>
    <row r="183" spans="1:126" x14ac:dyDescent="0.25">
      <c r="A183">
        <v>0.5</v>
      </c>
      <c r="C183" s="190">
        <f>IF(C182*(1+A183*Model!$B$19*IF(Model!$B$28=0,1,((Model!$B$28-B183)/(Model!$B$28-$B$9))))&gt;Model!$B$44,C182*(1+A183*Model!$B$19*IF(Model!$B$28=0,1,((Model!$B$28-B183)/(Model!$B$28-$B$9)))),Model!$B$44)</f>
        <v>50</v>
      </c>
      <c r="O183" s="18"/>
      <c r="CY183" s="20" t="str">
        <f t="shared" si="100"/>
        <v>2022 Demo path</v>
      </c>
      <c r="CZ183" s="3">
        <f t="shared" si="92"/>
        <v>2033</v>
      </c>
      <c r="DA183" s="18">
        <f t="shared" si="90"/>
        <v>0</v>
      </c>
      <c r="DB183" s="18">
        <f ca="1">(N18+IF($DB$3&gt;0,NPV($DB$2,N19:OFFSET(N18,$DB$3,0)),0))/($DB$3+1)</f>
        <v>186.7413334016783</v>
      </c>
      <c r="DC183" s="18">
        <f t="shared" ca="1" si="99"/>
        <v>62.989840729728982</v>
      </c>
      <c r="DD183" s="18">
        <f t="shared" si="94"/>
        <v>93.75863831252174</v>
      </c>
      <c r="DE183" s="20">
        <f t="shared" si="93"/>
        <v>30090.040144135091</v>
      </c>
      <c r="DF183" s="20" cm="1">
        <f t="array" ref="DF183">SUMPRODUCT(($BG$2:$BM$2=CY183)*($B$5:$B$35=CZ183)*($BG$5:$BM$35))</f>
        <v>26027.098642132438</v>
      </c>
      <c r="DG183" s="20">
        <f t="shared" si="95"/>
        <v>4062.9415020026536</v>
      </c>
      <c r="DH183" s="20" cm="1">
        <f t="array" ref="DH183">IF(CZ183=2023,SUMPRODUCT(($B$5:$B$35=CZ183-1)*($BN$5:$BN$35))-SUMPRODUCT(($BG$2:$BM$2=CY183)*($B$5:$B$35=CZ183-1)*($BG$5:$BM$35)),DG182)</f>
        <v>4106.8246615189746</v>
      </c>
      <c r="DI183" s="18">
        <f t="shared" ca="1" si="96"/>
        <v>186.7413334016783</v>
      </c>
      <c r="DJ183" s="89">
        <f t="shared" si="97"/>
        <v>8.3096624981490681</v>
      </c>
      <c r="DK183" s="89">
        <f t="shared" si="85"/>
        <v>8.3204054204518201</v>
      </c>
      <c r="DL183" s="89">
        <f t="shared" ca="1" si="86"/>
        <v>5.2297244154483993</v>
      </c>
      <c r="DM183" s="20">
        <f t="shared" ca="1" si="87"/>
        <v>2004.9504091043464</v>
      </c>
      <c r="DN183" s="20">
        <f t="shared" ca="1" si="98"/>
        <v>4261.3286552978998</v>
      </c>
      <c r="DO183" s="20">
        <f t="shared" ca="1" si="89"/>
        <v>3133.1395322011231</v>
      </c>
      <c r="DP183" s="113"/>
      <c r="DQ183" s="2"/>
      <c r="DR183" s="3"/>
      <c r="DT183" s="20"/>
      <c r="DU183" s="18"/>
      <c r="DV183" s="20"/>
    </row>
    <row r="184" spans="1:126" x14ac:dyDescent="0.25">
      <c r="A184">
        <v>0.5</v>
      </c>
      <c r="C184" s="190">
        <f>IF(C183*(1+A184*Model!$B$19*IF(Model!$B$28=0,1,((Model!$B$28-B184)/(Model!$B$28-$B$9))))&gt;Model!$B$44,C183*(1+A184*Model!$B$19*IF(Model!$B$28=0,1,((Model!$B$28-B184)/(Model!$B$28-$B$9)))),Model!$B$44)</f>
        <v>50</v>
      </c>
      <c r="O184" s="18"/>
      <c r="CY184" s="20" t="str">
        <f t="shared" si="100"/>
        <v>2022 Demo path</v>
      </c>
      <c r="CZ184" s="3">
        <f t="shared" si="92"/>
        <v>2034</v>
      </c>
      <c r="DA184" s="18">
        <f t="shared" si="90"/>
        <v>0</v>
      </c>
      <c r="DB184" s="18">
        <f ca="1">(N19+IF($DB$3&gt;0,NPV($DB$2,N20:OFFSET(N19,$DB$3,0)),0))/($DB$3+1)</f>
        <v>192.3435734037287</v>
      </c>
      <c r="DC184" s="18">
        <f t="shared" ca="1" si="99"/>
        <v>68.592080731779376</v>
      </c>
      <c r="DD184" s="18">
        <f t="shared" si="94"/>
        <v>93.75863831252174</v>
      </c>
      <c r="DE184" s="20">
        <f t="shared" si="93"/>
        <v>28862.634858482736</v>
      </c>
      <c r="DF184" s="20" cm="1">
        <f t="array" ref="DF184">SUMPRODUCT(($BG$2:$BM$2=CY184)*($B$5:$B$35=CZ184)*($BG$5:$BM$35))</f>
        <v>24852.93780605646</v>
      </c>
      <c r="DG184" s="20">
        <f t="shared" si="95"/>
        <v>4009.6970524262761</v>
      </c>
      <c r="DH184" s="20" cm="1">
        <f t="array" ref="DH184">IF(CZ184=2023,SUMPRODUCT(($B$5:$B$35=CZ184-1)*($BN$5:$BN$35))-SUMPRODUCT(($BG$2:$BM$2=CY184)*($B$5:$B$35=CZ184-1)*($BG$5:$BM$35)),DG183)</f>
        <v>4062.9415020026536</v>
      </c>
      <c r="DI184" s="18">
        <f t="shared" ca="1" si="96"/>
        <v>192.3435734037287</v>
      </c>
      <c r="DJ184" s="89">
        <f t="shared" si="97"/>
        <v>8.2964709694233463</v>
      </c>
      <c r="DK184" s="89">
        <f t="shared" si="85"/>
        <v>8.3096624981490681</v>
      </c>
      <c r="DL184" s="89">
        <f t="shared" ca="1" si="86"/>
        <v>5.2592832176899442</v>
      </c>
      <c r="DM184" s="20">
        <f t="shared" ca="1" si="87"/>
        <v>2162.5706757362782</v>
      </c>
      <c r="DN184" s="20">
        <f t="shared" ca="1" si="98"/>
        <v>4376.9141580780397</v>
      </c>
      <c r="DO184" s="20">
        <f t="shared" ca="1" si="89"/>
        <v>3269.7424169071592</v>
      </c>
      <c r="DP184" s="113"/>
      <c r="DQ184" s="2"/>
      <c r="DR184" s="3"/>
      <c r="DT184" s="20"/>
      <c r="DU184" s="18"/>
      <c r="DV184" s="20"/>
    </row>
    <row r="185" spans="1:126" x14ac:dyDescent="0.25">
      <c r="A185">
        <v>0.5</v>
      </c>
      <c r="C185" s="190">
        <f>IF(C184*(1+A185*Model!$B$19*IF(Model!$B$28=0,1,((Model!$B$28-B185)/(Model!$B$28-$B$9))))&gt;Model!$B$44,C184*(1+A185*Model!$B$19*IF(Model!$B$28=0,1,((Model!$B$28-B185)/(Model!$B$28-$B$9)))),Model!$B$44)</f>
        <v>50</v>
      </c>
      <c r="O185" s="18"/>
      <c r="CY185" s="20" t="str">
        <f t="shared" si="100"/>
        <v>2022 Demo path</v>
      </c>
      <c r="CZ185" s="3">
        <f t="shared" si="92"/>
        <v>2035</v>
      </c>
      <c r="DA185" s="18">
        <f t="shared" si="90"/>
        <v>0</v>
      </c>
      <c r="DB185" s="18">
        <f ca="1">(N20+IF($DB$3&gt;0,NPV($DB$2,N21:OFFSET(N20,$DB$3,0)),0))/($DB$3+1)</f>
        <v>198.11388060584056</v>
      </c>
      <c r="DC185" s="18">
        <f t="shared" ca="1" si="99"/>
        <v>74.362387933891242</v>
      </c>
      <c r="DD185" s="18">
        <f t="shared" si="94"/>
        <v>93.75863831252174</v>
      </c>
      <c r="DE185" s="20">
        <f t="shared" si="93"/>
        <v>27635.22957283038</v>
      </c>
      <c r="DF185" s="20" cm="1">
        <f t="array" ref="DF185">SUMPRODUCT(($BG$2:$BM$2=CY185)*($B$5:$B$35=CZ185)*($BG$5:$BM$35))</f>
        <v>23581.731977147552</v>
      </c>
      <c r="DG185" s="20">
        <f t="shared" si="95"/>
        <v>4053.4975956828275</v>
      </c>
      <c r="DH185" s="20" cm="1">
        <f t="array" ref="DH185">IF(CZ185=2023,SUMPRODUCT(($B$5:$B$35=CZ185-1)*($BN$5:$BN$35))-SUMPRODUCT(($BG$2:$BM$2=CY185)*($B$5:$B$35=CZ185-1)*($BG$5:$BM$35)),DG184)</f>
        <v>4009.6970524262761</v>
      </c>
      <c r="DI185" s="18">
        <f t="shared" ca="1" si="96"/>
        <v>198.11388060584056</v>
      </c>
      <c r="DJ185" s="89">
        <f t="shared" si="97"/>
        <v>8.3073353912816206</v>
      </c>
      <c r="DK185" s="89">
        <f t="shared" si="85"/>
        <v>8.2964709694233463</v>
      </c>
      <c r="DL185" s="89">
        <f t="shared" ca="1" si="86"/>
        <v>5.2888420199314883</v>
      </c>
      <c r="DM185" s="20">
        <f t="shared" ca="1" si="87"/>
        <v>2319.0883473932572</v>
      </c>
      <c r="DN185" s="20">
        <f t="shared" ca="1" si="98"/>
        <v>4485.5962753820622</v>
      </c>
      <c r="DO185" s="20">
        <f t="shared" ca="1" si="89"/>
        <v>3402.3423113876597</v>
      </c>
      <c r="DP185" s="113"/>
      <c r="DQ185" s="2"/>
      <c r="DR185" s="3"/>
      <c r="DT185" s="20"/>
      <c r="DU185" s="18"/>
      <c r="DV185" s="20"/>
    </row>
    <row r="186" spans="1:126" x14ac:dyDescent="0.25">
      <c r="A186">
        <v>0.5</v>
      </c>
      <c r="C186" s="190">
        <f>IF(C185*(1+A186*Model!$B$19*IF(Model!$B$28=0,1,((Model!$B$28-B186)/(Model!$B$28-$B$9))))&gt;Model!$B$44,C185*(1+A186*Model!$B$19*IF(Model!$B$28=0,1,((Model!$B$28-B186)/(Model!$B$28-$B$9)))),Model!$B$44)</f>
        <v>50</v>
      </c>
      <c r="O186" s="18"/>
      <c r="CY186" s="20" t="str">
        <f t="shared" si="100"/>
        <v>2022 Demo path</v>
      </c>
      <c r="CZ186" s="3">
        <f t="shared" si="92"/>
        <v>2036</v>
      </c>
      <c r="DA186" s="18">
        <f t="shared" si="90"/>
        <v>0</v>
      </c>
      <c r="DB186" s="18">
        <f ca="1">(N21+IF($DB$3&gt;0,NPV($DB$2,N22:OFFSET(N21,$DB$3,0)),0))/($DB$3+1)</f>
        <v>204.05729702401578</v>
      </c>
      <c r="DC186" s="18">
        <f t="shared" ca="1" si="99"/>
        <v>80.30580435206646</v>
      </c>
      <c r="DD186" s="18">
        <f t="shared" si="94"/>
        <v>93.75863831252174</v>
      </c>
      <c r="DE186" s="20">
        <f t="shared" si="93"/>
        <v>26407.824287178031</v>
      </c>
      <c r="DF186" s="20" cm="1">
        <f t="array" ref="DF186">SUMPRODUCT(($BG$2:$BM$2=CY186)*($B$5:$B$35=CZ186)*($BG$5:$BM$35))</f>
        <v>22266.886316596469</v>
      </c>
      <c r="DG186" s="20">
        <f t="shared" si="95"/>
        <v>4140.9379705815627</v>
      </c>
      <c r="DH186" s="20" cm="1">
        <f t="array" ref="DH186">IF(CZ186=2023,SUMPRODUCT(($B$5:$B$35=CZ186-1)*($BN$5:$BN$35))-SUMPRODUCT(($BG$2:$BM$2=CY186)*($B$5:$B$35=CZ186-1)*($BG$5:$BM$35)),DG185)</f>
        <v>4053.4975956828275</v>
      </c>
      <c r="DI186" s="18">
        <f t="shared" ca="1" si="96"/>
        <v>204.05729702401578</v>
      </c>
      <c r="DJ186" s="89">
        <f t="shared" si="97"/>
        <v>8.3286776041002586</v>
      </c>
      <c r="DK186" s="89">
        <f t="shared" si="85"/>
        <v>8.3073353912816206</v>
      </c>
      <c r="DL186" s="89">
        <f t="shared" ca="1" si="86"/>
        <v>5.3184008221730332</v>
      </c>
      <c r="DM186" s="20">
        <f t="shared" ca="1" si="87"/>
        <v>2474.8191952679608</v>
      </c>
      <c r="DN186" s="20">
        <f t="shared" ca="1" si="98"/>
        <v>4590.7215783365546</v>
      </c>
      <c r="DO186" s="20">
        <f t="shared" ca="1" si="89"/>
        <v>3532.7703868022577</v>
      </c>
      <c r="DP186" s="113"/>
      <c r="DQ186" s="2"/>
      <c r="DR186" s="3"/>
      <c r="DT186" s="20"/>
      <c r="DU186" s="18"/>
      <c r="DV186" s="20"/>
    </row>
    <row r="187" spans="1:126" x14ac:dyDescent="0.25">
      <c r="A187">
        <v>0.5</v>
      </c>
      <c r="C187" s="190">
        <f>IF(C186*(1+A187*Model!$B$19*IF(Model!$B$28=0,1,((Model!$B$28-B187)/(Model!$B$28-$B$9))))&gt;Model!$B$44,C186*(1+A187*Model!$B$19*IF(Model!$B$28=0,1,((Model!$B$28-B187)/(Model!$B$28-$B$9)))),Model!$B$44)</f>
        <v>50</v>
      </c>
      <c r="O187" s="18"/>
      <c r="CY187" s="20" t="str">
        <f t="shared" si="100"/>
        <v>2022 Demo path</v>
      </c>
      <c r="CZ187" s="3">
        <f t="shared" si="92"/>
        <v>2037</v>
      </c>
      <c r="DA187" s="18">
        <f t="shared" si="90"/>
        <v>0</v>
      </c>
      <c r="DB187" s="18">
        <f ca="1">(N22+IF($DB$3&gt;0,NPV($DB$2,N23:OFFSET(N22,$DB$3,0)),0))/($DB$3+1)</f>
        <v>210.17901593473624</v>
      </c>
      <c r="DC187" s="18">
        <f t="shared" ca="1" si="99"/>
        <v>86.42752326278692</v>
      </c>
      <c r="DD187" s="18">
        <f t="shared" si="94"/>
        <v>93.75863831252174</v>
      </c>
      <c r="DE187" s="20">
        <f t="shared" si="93"/>
        <v>25490.617675668807</v>
      </c>
      <c r="DF187" s="20" cm="1">
        <f t="array" ref="DF187">SUMPRODUCT(($BG$2:$BM$2=CY187)*($B$5:$B$35=CZ187)*($BG$5:$BM$35))</f>
        <v>20954.476226696865</v>
      </c>
      <c r="DG187" s="20">
        <f t="shared" si="95"/>
        <v>4536.1414489719427</v>
      </c>
      <c r="DH187" s="20" cm="1">
        <f t="array" ref="DH187">IF(CZ187=2023,SUMPRODUCT(($B$5:$B$35=CZ187-1)*($BN$5:$BN$35))-SUMPRODUCT(($BG$2:$BM$2=CY187)*($B$5:$B$35=CZ187-1)*($BG$5:$BM$35)),DG186)</f>
        <v>4140.9379705815627</v>
      </c>
      <c r="DI187" s="18">
        <f t="shared" ca="1" si="96"/>
        <v>210.17901593473624</v>
      </c>
      <c r="DJ187" s="89">
        <f t="shared" si="97"/>
        <v>8.4198320285571775</v>
      </c>
      <c r="DK187" s="89">
        <f t="shared" si="85"/>
        <v>8.3286776041002586</v>
      </c>
      <c r="DL187" s="89">
        <f t="shared" ca="1" si="86"/>
        <v>5.3479596244145773</v>
      </c>
      <c r="DM187" s="20">
        <f t="shared" ca="1" si="87"/>
        <v>2630.0675939550038</v>
      </c>
      <c r="DN187" s="20">
        <f t="shared" ca="1" si="98"/>
        <v>4694.415119903153</v>
      </c>
      <c r="DO187" s="20">
        <f t="shared" ca="1" si="89"/>
        <v>3662.2413569290784</v>
      </c>
      <c r="DP187" s="113"/>
      <c r="DQ187" s="2"/>
      <c r="DR187" s="3"/>
      <c r="DT187" s="20"/>
      <c r="DU187" s="18"/>
      <c r="DV187" s="20"/>
    </row>
    <row r="188" spans="1:126" x14ac:dyDescent="0.25">
      <c r="A188">
        <v>0.5</v>
      </c>
      <c r="C188" s="190">
        <f>IF(C187*(1+A188*Model!$B$19*IF(Model!$B$28=0,1,((Model!$B$28-B188)/(Model!$B$28-$B$9))))&gt;Model!$B$44,C187*(1+A188*Model!$B$19*IF(Model!$B$28=0,1,((Model!$B$28-B188)/(Model!$B$28-$B$9)))),Model!$B$44)</f>
        <v>50</v>
      </c>
      <c r="O188" s="18"/>
      <c r="CY188" s="20" t="str">
        <f t="shared" si="100"/>
        <v>2022 Demo path</v>
      </c>
      <c r="CZ188" s="3">
        <f t="shared" si="92"/>
        <v>2038</v>
      </c>
      <c r="DA188" s="18">
        <f t="shared" si="90"/>
        <v>0</v>
      </c>
      <c r="DB188" s="18">
        <f ca="1">(N23+IF($DB$3&gt;0,NPV($DB$2,N24:OFFSET(N23,$DB$3,0)),0))/($DB$3+1)</f>
        <v>216.48438641277838</v>
      </c>
      <c r="DC188" s="18">
        <f t="shared" ca="1" si="99"/>
        <v>92.732893740829056</v>
      </c>
      <c r="DD188" s="18">
        <f t="shared" si="94"/>
        <v>93.75863831252174</v>
      </c>
      <c r="DE188" s="20">
        <f t="shared" si="93"/>
        <v>24570.879657466994</v>
      </c>
      <c r="DF188" s="20" cm="1">
        <f t="array" ref="DF188">SUMPRODUCT(($BG$2:$BM$2=CY188)*($B$5:$B$35=CZ188)*($BG$5:$BM$35))</f>
        <v>19770.302500133668</v>
      </c>
      <c r="DG188" s="20">
        <f t="shared" si="95"/>
        <v>4800.5771573333259</v>
      </c>
      <c r="DH188" s="20" cm="1">
        <f t="array" ref="DH188">IF(CZ188=2023,SUMPRODUCT(($B$5:$B$35=CZ188-1)*($BN$5:$BN$35))-SUMPRODUCT(($BG$2:$BM$2=CY188)*($B$5:$B$35=CZ188-1)*($BG$5:$BM$35)),DG187)</f>
        <v>4536.1414489719427</v>
      </c>
      <c r="DI188" s="18">
        <f t="shared" ca="1" si="96"/>
        <v>216.48438641277838</v>
      </c>
      <c r="DJ188" s="89">
        <f t="shared" si="97"/>
        <v>8.476491430778708</v>
      </c>
      <c r="DK188" s="89">
        <f t="shared" si="85"/>
        <v>8.4198320285571775</v>
      </c>
      <c r="DL188" s="89">
        <f t="shared" ca="1" si="86"/>
        <v>5.3775184266561222</v>
      </c>
      <c r="DM188" s="20">
        <f t="shared" ca="1" si="87"/>
        <v>2785.127428075245</v>
      </c>
      <c r="DN188" s="20">
        <f t="shared" ca="1" si="98"/>
        <v>4798.0259659812355</v>
      </c>
      <c r="DO188" s="20">
        <f t="shared" ca="1" si="89"/>
        <v>3791.5766970282402</v>
      </c>
      <c r="DP188" s="113"/>
      <c r="DQ188" s="2"/>
      <c r="DR188" s="3"/>
      <c r="DT188" s="20"/>
      <c r="DU188" s="18"/>
      <c r="DV188" s="20"/>
    </row>
    <row r="189" spans="1:126" x14ac:dyDescent="0.25">
      <c r="A189">
        <v>0.5</v>
      </c>
      <c r="C189" s="190">
        <f>IF(C188*(1+A189*Model!$B$19*IF(Model!$B$28=0,1,((Model!$B$28-B189)/(Model!$B$28-$B$9))))&gt;Model!$B$44,C188*(1+A189*Model!$B$19*IF(Model!$B$28=0,1,((Model!$B$28-B189)/(Model!$B$28-$B$9)))),Model!$B$44)</f>
        <v>50</v>
      </c>
      <c r="O189" s="18"/>
      <c r="CY189" s="20" t="str">
        <f t="shared" si="100"/>
        <v>2022 Demo path</v>
      </c>
      <c r="CZ189" s="3">
        <f t="shared" si="92"/>
        <v>2039</v>
      </c>
      <c r="DA189" s="18">
        <f t="shared" si="90"/>
        <v>0</v>
      </c>
      <c r="DB189" s="18">
        <f ca="1">(N24+IF($DB$3&gt;0,NPV($DB$2,N25:OFFSET(N24,$DB$3,0)),0))/($DB$3+1)</f>
        <v>222.97891800516172</v>
      </c>
      <c r="DC189" s="18">
        <f t="shared" ca="1" si="99"/>
        <v>99.227425333212395</v>
      </c>
      <c r="DD189" s="18">
        <f t="shared" si="94"/>
        <v>93.75863831252174</v>
      </c>
      <c r="DE189" s="20">
        <f t="shared" si="93"/>
        <v>23633.677186249501</v>
      </c>
      <c r="DF189" s="20" cm="1">
        <f t="array" ref="DF189">SUMPRODUCT(($BG$2:$BM$2=CY189)*($B$5:$B$35=CZ189)*($BG$5:$BM$35))</f>
        <v>18707.495476896602</v>
      </c>
      <c r="DG189" s="20">
        <f t="shared" si="95"/>
        <v>4926.1817093528989</v>
      </c>
      <c r="DH189" s="20" cm="1">
        <f t="array" ref="DH189">IF(CZ189=2023,SUMPRODUCT(($B$5:$B$35=CZ189-1)*($BN$5:$BN$35))-SUMPRODUCT(($BG$2:$BM$2=CY189)*($B$5:$B$35=CZ189-1)*($BG$5:$BM$35)),DG188)</f>
        <v>4800.5771573333259</v>
      </c>
      <c r="DI189" s="18">
        <f t="shared" ca="1" si="96"/>
        <v>222.97891800516172</v>
      </c>
      <c r="DJ189" s="89">
        <f t="shared" si="97"/>
        <v>8.5023194658103147</v>
      </c>
      <c r="DK189" s="89">
        <f t="shared" si="85"/>
        <v>8.476491430778708</v>
      </c>
      <c r="DL189" s="89">
        <f t="shared" ca="1" si="86"/>
        <v>5.4070772288976663</v>
      </c>
      <c r="DM189" s="20">
        <f t="shared" ca="1" si="87"/>
        <v>2940.2829514065556</v>
      </c>
      <c r="DN189" s="20">
        <f t="shared" ca="1" si="98"/>
        <v>4902.414530214066</v>
      </c>
      <c r="DO189" s="20">
        <f t="shared" ca="1" si="89"/>
        <v>3921.348740810311</v>
      </c>
      <c r="DP189" s="113"/>
      <c r="DQ189" s="2"/>
      <c r="DR189" s="3"/>
      <c r="DT189" s="20"/>
      <c r="DU189" s="18"/>
      <c r="DV189" s="20"/>
    </row>
    <row r="190" spans="1:126" x14ac:dyDescent="0.25">
      <c r="A190">
        <v>0.5</v>
      </c>
      <c r="C190" s="190">
        <f>IF(C189*(1+A190*Model!$B$19*IF(Model!$B$28=0,1,((Model!$B$28-B190)/(Model!$B$28-$B$9))))&gt;Model!$B$44,C189*(1+A190*Model!$B$19*IF(Model!$B$28=0,1,((Model!$B$28-B190)/(Model!$B$28-$B$9)))),Model!$B$44)</f>
        <v>50</v>
      </c>
      <c r="O190" s="18"/>
      <c r="CY190" s="20" t="str">
        <f t="shared" si="100"/>
        <v>2022 Demo path</v>
      </c>
      <c r="CZ190" s="3">
        <f t="shared" si="92"/>
        <v>2040</v>
      </c>
      <c r="DA190" s="18">
        <f t="shared" si="90"/>
        <v>0</v>
      </c>
      <c r="DB190" s="18">
        <f ca="1">(N25+IF($DB$3&gt;0,NPV($DB$2,N26:OFFSET(N25,$DB$3,0)),0))/($DB$3+1)</f>
        <v>229.66828554531659</v>
      </c>
      <c r="DC190" s="18">
        <f t="shared" ca="1" si="99"/>
        <v>105.91679287336727</v>
      </c>
      <c r="DD190" s="18">
        <f t="shared" si="94"/>
        <v>93.75863831252174</v>
      </c>
      <c r="DE190" s="20">
        <f t="shared" si="93"/>
        <v>21832.628998595821</v>
      </c>
      <c r="DF190" s="20" cm="1">
        <f t="array" ref="DF190">SUMPRODUCT(($BG$2:$BM$2=CY190)*($B$5:$B$35=CZ190)*($BG$5:$BM$35))</f>
        <v>16827.230325610708</v>
      </c>
      <c r="DG190" s="20">
        <f t="shared" si="95"/>
        <v>5005.3986729851131</v>
      </c>
      <c r="DH190" s="20" cm="1">
        <f t="array" ref="DH190">IF(CZ190=2023,SUMPRODUCT(($B$5:$B$35=CZ190-1)*($BN$5:$BN$35))-SUMPRODUCT(($BG$2:$BM$2=CY190)*($B$5:$B$35=CZ190-1)*($BG$5:$BM$35)),DG189)</f>
        <v>4926.1817093528989</v>
      </c>
      <c r="DI190" s="18">
        <f t="shared" ca="1" si="96"/>
        <v>229.66828554531659</v>
      </c>
      <c r="DJ190" s="89">
        <f t="shared" si="97"/>
        <v>8.518272343519115</v>
      </c>
      <c r="DK190" s="89">
        <f t="shared" si="85"/>
        <v>8.5023194658103147</v>
      </c>
      <c r="DL190" s="89">
        <f t="shared" ca="1" si="86"/>
        <v>5.4366360311392112</v>
      </c>
      <c r="DM190" s="20">
        <f t="shared" ca="1" si="87"/>
        <v>3095.8096015646679</v>
      </c>
      <c r="DN190" s="20">
        <f t="shared" ca="1" si="98"/>
        <v>5008.1352178557527</v>
      </c>
      <c r="DO190" s="20">
        <f t="shared" ca="1" si="89"/>
        <v>4051.9724097102103</v>
      </c>
      <c r="DP190" s="113"/>
      <c r="DQ190" s="2"/>
      <c r="DR190" s="3"/>
      <c r="DT190" s="20"/>
      <c r="DU190" s="18"/>
      <c r="DV190" s="20"/>
    </row>
    <row r="191" spans="1:126" x14ac:dyDescent="0.25">
      <c r="A191">
        <v>0.5</v>
      </c>
      <c r="C191" s="190">
        <f>IF(C190*(1+A191*Model!$B$19*IF(Model!$B$28=0,1,((Model!$B$28-B191)/(Model!$B$28-$B$9))))&gt;Model!$B$44,C190*(1+A191*Model!$B$19*IF(Model!$B$28=0,1,((Model!$B$28-B191)/(Model!$B$28-$B$9)))),Model!$B$44)</f>
        <v>50</v>
      </c>
      <c r="O191" s="18"/>
      <c r="CS191">
        <f>0.4921*25482+5.4413*196+2135.28</f>
        <v>15741.467000000001</v>
      </c>
      <c r="CY191" s="20" t="str">
        <f t="shared" si="100"/>
        <v>2022 Demo path</v>
      </c>
      <c r="CZ191" s="3">
        <f t="shared" si="92"/>
        <v>2041</v>
      </c>
      <c r="DA191" s="18">
        <f t="shared" si="90"/>
        <v>0</v>
      </c>
      <c r="DB191" s="18">
        <f ca="1">(N26+IF($DB$3&gt;0,NPV($DB$2,N27:OFFSET(N26,$DB$3,0)),0))/($DB$3+1)</f>
        <v>236.55833411167612</v>
      </c>
      <c r="DC191" s="18">
        <f t="shared" ca="1" si="99"/>
        <v>112.8068414397268</v>
      </c>
      <c r="DD191" s="18">
        <f t="shared" si="94"/>
        <v>93.75863831252174</v>
      </c>
      <c r="DE191" s="20">
        <f t="shared" si="93"/>
        <v>21020.865912256821</v>
      </c>
      <c r="DF191" s="20" cm="1">
        <f t="array" ref="DF191">SUMPRODUCT(($BG$2:$BM$2=CY191)*($B$5:$B$35=CZ191)*($BG$5:$BM$35))</f>
        <v>15927.485361404346</v>
      </c>
      <c r="DG191" s="20">
        <f t="shared" si="95"/>
        <v>5093.3805508524747</v>
      </c>
      <c r="DH191" s="20" cm="1">
        <f t="array" ref="DH191">IF(CZ191=2023,SUMPRODUCT(($B$5:$B$35=CZ191-1)*($BN$5:$BN$35))-SUMPRODUCT(($BG$2:$BM$2=CY191)*($B$5:$B$35=CZ191-1)*($BG$5:$BM$35)),DG190)</f>
        <v>5005.3986729851131</v>
      </c>
      <c r="DI191" s="18">
        <f t="shared" ca="1" si="96"/>
        <v>236.55833411167612</v>
      </c>
      <c r="DJ191" s="89">
        <f t="shared" si="97"/>
        <v>8.5356970444647597</v>
      </c>
      <c r="DK191" s="89">
        <f t="shared" si="85"/>
        <v>8.518272343519115</v>
      </c>
      <c r="DL191" s="89">
        <f t="shared" ca="1" si="86"/>
        <v>5.4661948333807553</v>
      </c>
      <c r="DM191" s="20">
        <f t="shared" ca="1" si="87"/>
        <v>3251.9747731017196</v>
      </c>
      <c r="DN191" s="20">
        <f t="shared" ca="1" si="98"/>
        <v>5115.5515363583436</v>
      </c>
      <c r="DO191" s="20">
        <f t="shared" ca="1" si="89"/>
        <v>4183.7631547300316</v>
      </c>
      <c r="DP191" s="113"/>
      <c r="DQ191" s="2"/>
      <c r="DR191" s="3"/>
      <c r="DT191" s="20"/>
      <c r="DU191" s="18"/>
      <c r="DV191" s="20"/>
    </row>
    <row r="192" spans="1:126" x14ac:dyDescent="0.25">
      <c r="A192">
        <v>0.5</v>
      </c>
      <c r="C192" s="190">
        <f>IF(C191*(1+A192*Model!$B$19*IF(Model!$B$28=0,1,((Model!$B$28-B192)/(Model!$B$28-$B$9))))&gt;Model!$B$44,C191*(1+A192*Model!$B$19*IF(Model!$B$28=0,1,((Model!$B$28-B192)/(Model!$B$28-$B$9)))),Model!$B$44)</f>
        <v>50</v>
      </c>
      <c r="O192" s="18"/>
      <c r="CY192" s="20" t="str">
        <f t="shared" si="100"/>
        <v>2022 Demo path</v>
      </c>
      <c r="CZ192" s="3">
        <f t="shared" si="92"/>
        <v>2042</v>
      </c>
      <c r="DA192" s="18">
        <f t="shared" si="90"/>
        <v>0</v>
      </c>
      <c r="DB192" s="18">
        <f ca="1">(N27+IF($DB$3&gt;0,NPV($DB$2,N28:OFFSET(N27,$DB$3,0)),0))/($DB$3+1)</f>
        <v>243.65508413502641</v>
      </c>
      <c r="DC192" s="18">
        <f t="shared" ca="1" si="99"/>
        <v>119.90359146307709</v>
      </c>
      <c r="DD192" s="18">
        <f t="shared" si="94"/>
        <v>93.75863831252174</v>
      </c>
      <c r="DE192" s="20">
        <f t="shared" si="93"/>
        <v>20178.380919926673</v>
      </c>
      <c r="DF192" s="20" cm="1">
        <f t="array" ref="DF192">SUMPRODUCT(($BG$2:$BM$2=CY192)*($B$5:$B$35=CZ192)*($BG$5:$BM$35))</f>
        <v>14961.00926081207</v>
      </c>
      <c r="DG192" s="20">
        <f t="shared" si="95"/>
        <v>5217.3716591146022</v>
      </c>
      <c r="DH192" s="20" cm="1">
        <f t="array" ref="DH192">IF(CZ192=2023,SUMPRODUCT(($B$5:$B$35=CZ192-1)*($BN$5:$BN$35))-SUMPRODUCT(($BG$2:$BM$2=CY192)*($B$5:$B$35=CZ192-1)*($BG$5:$BM$35)),DG191)</f>
        <v>5093.3805508524747</v>
      </c>
      <c r="DI192" s="18">
        <f t="shared" ca="1" si="96"/>
        <v>243.65508413502641</v>
      </c>
      <c r="DJ192" s="89">
        <f t="shared" si="97"/>
        <v>8.5597490404915764</v>
      </c>
      <c r="DK192" s="89">
        <f t="shared" si="85"/>
        <v>8.5356970444647597</v>
      </c>
      <c r="DL192" s="89">
        <f t="shared" ca="1" si="86"/>
        <v>5.4957536356223002</v>
      </c>
      <c r="DM192" s="20">
        <f t="shared" ca="1" si="87"/>
        <v>3409.0385517248033</v>
      </c>
      <c r="DN192" s="20">
        <f t="shared" ca="1" si="98"/>
        <v>5224.9082761605787</v>
      </c>
      <c r="DO192" s="20">
        <f t="shared" ca="1" si="89"/>
        <v>4316.973413942691</v>
      </c>
      <c r="DP192" s="113"/>
      <c r="DQ192" s="2"/>
      <c r="DR192" s="3"/>
      <c r="DT192" s="20"/>
      <c r="DU192" s="18"/>
      <c r="DV192" s="20"/>
    </row>
    <row r="193" spans="1:126" x14ac:dyDescent="0.25">
      <c r="A193">
        <v>0.5</v>
      </c>
      <c r="C193" s="190">
        <f>IF(C192*(1+A193*Model!$B$19*IF(Model!$B$28=0,1,((Model!$B$28-B193)/(Model!$B$28-$B$9))))&gt;Model!$B$44,C192*(1+A193*Model!$B$19*IF(Model!$B$28=0,1,((Model!$B$28-B193)/(Model!$B$28-$B$9)))),Model!$B$44)</f>
        <v>50</v>
      </c>
      <c r="O193" s="18"/>
      <c r="CY193" s="20" t="str">
        <f t="shared" si="100"/>
        <v>2022 Demo path</v>
      </c>
      <c r="CZ193" s="3">
        <f t="shared" si="92"/>
        <v>2043</v>
      </c>
      <c r="DA193" s="18">
        <f t="shared" si="90"/>
        <v>0</v>
      </c>
      <c r="DB193" s="18">
        <f ca="1">(N28+IF($DB$3&gt;0,NPV($DB$2,N29:OFFSET(N28,$DB$3,0)),0))/($DB$3+1)</f>
        <v>250.96473665907718</v>
      </c>
      <c r="DC193" s="18">
        <f t="shared" ca="1" si="99"/>
        <v>127.21324398712785</v>
      </c>
      <c r="DD193" s="18">
        <f t="shared" si="94"/>
        <v>93.75863831252174</v>
      </c>
      <c r="DE193" s="20">
        <f t="shared" si="93"/>
        <v>19320.318365199299</v>
      </c>
      <c r="DF193" s="20" cm="1">
        <f t="array" ref="DF193">SUMPRODUCT(($BG$2:$BM$2=CY193)*($B$5:$B$35=CZ193)*($BG$5:$BM$35))</f>
        <v>14069.097389729674</v>
      </c>
      <c r="DG193" s="20">
        <f t="shared" si="95"/>
        <v>5251.220975469625</v>
      </c>
      <c r="DH193" s="20" cm="1">
        <f t="array" ref="DH193">IF(CZ193=2023,SUMPRODUCT(($B$5:$B$35=CZ193-1)*($BN$5:$BN$35))-SUMPRODUCT(($BG$2:$BM$2=CY193)*($B$5:$B$35=CZ193-1)*($BG$5:$BM$35)),DG192)</f>
        <v>5217.3716591146022</v>
      </c>
      <c r="DI193" s="18">
        <f t="shared" ca="1" si="96"/>
        <v>250.96473665907718</v>
      </c>
      <c r="DJ193" s="89">
        <f t="shared" si="97"/>
        <v>8.5662158953023333</v>
      </c>
      <c r="DK193" s="89">
        <f t="shared" si="85"/>
        <v>8.5597490404915764</v>
      </c>
      <c r="DL193" s="89">
        <f t="shared" ca="1" si="86"/>
        <v>5.5253124378638443</v>
      </c>
      <c r="DM193" s="20">
        <f t="shared" ca="1" si="87"/>
        <v>3567.2544121816072</v>
      </c>
      <c r="DN193" s="20">
        <f t="shared" ca="1" si="98"/>
        <v>5336.3766359779456</v>
      </c>
      <c r="DO193" s="20">
        <f t="shared" ca="1" si="89"/>
        <v>4451.8155240797769</v>
      </c>
      <c r="DP193" s="113"/>
      <c r="DQ193" s="2"/>
      <c r="DR193" s="3"/>
      <c r="DT193" s="20"/>
      <c r="DU193" s="18"/>
      <c r="DV193" s="20"/>
    </row>
    <row r="194" spans="1:126" x14ac:dyDescent="0.25">
      <c r="A194">
        <v>0.5</v>
      </c>
      <c r="C194" s="190">
        <f>IF(C193*(1+A194*Model!$B$19*IF(Model!$B$28=0,1,((Model!$B$28-B194)/(Model!$B$28-$B$9))))&gt;Model!$B$44,C193*(1+A194*Model!$B$19*IF(Model!$B$28=0,1,((Model!$B$28-B194)/(Model!$B$28-$B$9)))),Model!$B$44)</f>
        <v>50</v>
      </c>
      <c r="O194" s="18"/>
      <c r="CY194" s="20" t="str">
        <f t="shared" si="100"/>
        <v>2022 Demo path</v>
      </c>
      <c r="CZ194" s="3">
        <f t="shared" si="92"/>
        <v>2044</v>
      </c>
      <c r="DA194" s="18">
        <f t="shared" si="90"/>
        <v>0</v>
      </c>
      <c r="DB194" s="18">
        <f ca="1">(N29+IF($DB$3&gt;0,NPV($DB$2,N30:OFFSET(N29,$DB$3,0)),0))/($DB$3+1)</f>
        <v>258.49367875884951</v>
      </c>
      <c r="DC194" s="18">
        <f t="shared" ca="1" si="99"/>
        <v>134.74218608690018</v>
      </c>
      <c r="DD194" s="18">
        <f t="shared" si="94"/>
        <v>93.75863831252174</v>
      </c>
      <c r="DE194" s="20">
        <f t="shared" si="93"/>
        <v>18472.725707396126</v>
      </c>
      <c r="DF194" s="20" cm="1">
        <f t="array" ref="DF194">SUMPRODUCT(($BG$2:$BM$2=CY194)*($B$5:$B$35=CZ194)*($BG$5:$BM$35))</f>
        <v>13198.630879034556</v>
      </c>
      <c r="DG194" s="20">
        <f t="shared" si="95"/>
        <v>5274.0948283615708</v>
      </c>
      <c r="DH194" s="20" cm="1">
        <f t="array" ref="DH194">IF(CZ194=2023,SUMPRODUCT(($B$5:$B$35=CZ194-1)*($BN$5:$BN$35))-SUMPRODUCT(($BG$2:$BM$2=CY194)*($B$5:$B$35=CZ194-1)*($BG$5:$BM$35)),DG193)</f>
        <v>5251.220975469625</v>
      </c>
      <c r="DI194" s="18">
        <f t="shared" ca="1" si="96"/>
        <v>258.49367875884951</v>
      </c>
      <c r="DJ194" s="89">
        <f t="shared" si="97"/>
        <v>8.5705623471007666</v>
      </c>
      <c r="DK194" s="89">
        <f t="shared" si="85"/>
        <v>8.5662158953023333</v>
      </c>
      <c r="DL194" s="89">
        <f t="shared" ca="1" si="86"/>
        <v>5.5548712401053884</v>
      </c>
      <c r="DM194" s="20">
        <f t="shared" ca="1" si="87"/>
        <v>3726.8698822144879</v>
      </c>
      <c r="DN194" s="20">
        <f t="shared" ca="1" si="98"/>
        <v>5450.0823844915194</v>
      </c>
      <c r="DO194" s="20">
        <f t="shared" ca="1" si="89"/>
        <v>4588.4761333530041</v>
      </c>
      <c r="DP194" s="113"/>
      <c r="DQ194" s="2"/>
      <c r="DR194" s="3"/>
      <c r="DT194" s="20"/>
      <c r="DU194" s="18"/>
      <c r="DV194" s="20"/>
    </row>
    <row r="195" spans="1:126" x14ac:dyDescent="0.25">
      <c r="A195">
        <v>0.5</v>
      </c>
      <c r="C195" s="190">
        <f>IF(C194*(1+A195*Model!$B$19*IF(Model!$B$28=0,1,((Model!$B$28-B195)/(Model!$B$28-$B$9))))&gt;Model!$B$44,C194*(1+A195*Model!$B$19*IF(Model!$B$28=0,1,((Model!$B$28-B195)/(Model!$B$28-$B$9)))),Model!$B$44)</f>
        <v>50</v>
      </c>
      <c r="O195" s="18"/>
      <c r="CY195" s="20" t="str">
        <f t="shared" si="100"/>
        <v>2022 Demo path</v>
      </c>
      <c r="CZ195" s="3">
        <f t="shared" si="92"/>
        <v>2045</v>
      </c>
      <c r="DA195" s="18">
        <f t="shared" si="90"/>
        <v>0</v>
      </c>
      <c r="DB195" s="18">
        <f ca="1">(N30+IF($DB$3&gt;0,NPV($DB$2,N31:OFFSET(N30,$DB$3,0)),0))/($DB$3+1)</f>
        <v>266.24848912161508</v>
      </c>
      <c r="DC195" s="18">
        <f t="shared" ca="1" si="99"/>
        <v>142.49699644966574</v>
      </c>
      <c r="DD195" s="18">
        <f t="shared" si="94"/>
        <v>93.75863831252174</v>
      </c>
      <c r="DE195" s="20">
        <f t="shared" si="93"/>
        <v>17677.489690197111</v>
      </c>
      <c r="DF195" s="20" cm="1">
        <f t="array" ref="DF195">SUMPRODUCT(($BG$2:$BM$2=CY195)*($B$5:$B$35=CZ195)*($BG$5:$BM$35))</f>
        <v>12355.810020873127</v>
      </c>
      <c r="DG195" s="20">
        <f t="shared" si="95"/>
        <v>5321.6796693239849</v>
      </c>
      <c r="DH195" s="20" cm="1">
        <f t="array" ref="DH195">IF(CZ195=2023,SUMPRODUCT(($B$5:$B$35=CZ195-1)*($BN$5:$BN$35))-SUMPRODUCT(($BG$2:$BM$2=CY195)*($B$5:$B$35=CZ195-1)*($BG$5:$BM$35)),DG194)</f>
        <v>5274.0948283615708</v>
      </c>
      <c r="DI195" s="18">
        <f t="shared" ca="1" si="96"/>
        <v>266.24848912161508</v>
      </c>
      <c r="DJ195" s="89">
        <f t="shared" si="97"/>
        <v>8.5795442598208478</v>
      </c>
      <c r="DK195" s="89">
        <f t="shared" si="85"/>
        <v>8.5705623471007666</v>
      </c>
      <c r="DL195" s="89">
        <f t="shared" ca="1" si="86"/>
        <v>5.5844300423469333</v>
      </c>
      <c r="DM195" s="20">
        <f t="shared" ca="1" si="87"/>
        <v>3888.1271748474892</v>
      </c>
      <c r="DN195" s="20">
        <f t="shared" ca="1" si="98"/>
        <v>5566.1234188834278</v>
      </c>
      <c r="DO195" s="20">
        <f t="shared" ca="1" si="89"/>
        <v>4727.1252968654589</v>
      </c>
      <c r="DP195" s="113"/>
      <c r="DQ195" s="2"/>
      <c r="DR195" s="3"/>
      <c r="DT195" s="20"/>
      <c r="DU195" s="18"/>
      <c r="DV195" s="20"/>
    </row>
    <row r="196" spans="1:126" x14ac:dyDescent="0.25">
      <c r="A196">
        <v>0.5</v>
      </c>
      <c r="C196" s="190">
        <f>IF(C195*(1+A196*Model!$B$19*IF(Model!$B$28=0,1,((Model!$B$28-B196)/(Model!$B$28-$B$9))))&gt;Model!$B$44,C195*(1+A196*Model!$B$19*IF(Model!$B$28=0,1,((Model!$B$28-B196)/(Model!$B$28-$B$9)))),Model!$B$44)</f>
        <v>50</v>
      </c>
      <c r="O196" s="18"/>
      <c r="CY196" s="20" t="str">
        <f t="shared" si="100"/>
        <v>2022 Demo path</v>
      </c>
      <c r="CZ196" s="3">
        <f t="shared" si="92"/>
        <v>2046</v>
      </c>
      <c r="DA196" s="18">
        <f t="shared" si="90"/>
        <v>0</v>
      </c>
      <c r="DB196" s="18">
        <f ca="1">(N31+IF($DB$3&gt;0,NPV($DB$2,N32:OFFSET(N31,$DB$3,0)),0))/($DB$3+1)</f>
        <v>274.23594379526361</v>
      </c>
      <c r="DC196" s="18">
        <f t="shared" ca="1" si="99"/>
        <v>150.48445112331427</v>
      </c>
      <c r="DD196" s="18">
        <f t="shared" si="94"/>
        <v>93.75863831252174</v>
      </c>
      <c r="DE196" s="20">
        <f t="shared" si="93"/>
        <v>16949.211978015726</v>
      </c>
      <c r="DF196" s="20" cm="1">
        <f t="array" ref="DF196">SUMPRODUCT(($BG$2:$BM$2=CY196)*($B$5:$B$35=CZ196)*($BG$5:$BM$35))</f>
        <v>11657.836018299648</v>
      </c>
      <c r="DG196" s="20">
        <f t="shared" si="95"/>
        <v>5291.3759597160788</v>
      </c>
      <c r="DH196" s="20" cm="1">
        <f t="array" ref="DH196">IF(CZ196=2023,SUMPRODUCT(($B$5:$B$35=CZ196-1)*($BN$5:$BN$35))-SUMPRODUCT(($BG$2:$BM$2=CY196)*($B$5:$B$35=CZ196-1)*($BG$5:$BM$35)),DG195)</f>
        <v>5321.6796693239849</v>
      </c>
      <c r="DI196" s="18">
        <f t="shared" ca="1" si="96"/>
        <v>274.23594379526361</v>
      </c>
      <c r="DJ196" s="89">
        <f t="shared" si="97"/>
        <v>8.5738335968371366</v>
      </c>
      <c r="DK196" s="89">
        <f t="shared" si="85"/>
        <v>8.5795442598208478</v>
      </c>
      <c r="DL196" s="89">
        <f t="shared" ca="1" si="86"/>
        <v>5.6139888445884782</v>
      </c>
      <c r="DM196" s="20">
        <f t="shared" ca="1" si="87"/>
        <v>4051.263791142384</v>
      </c>
      <c r="DN196" s="20">
        <f t="shared" ca="1" si="98"/>
        <v>5684.5807082823012</v>
      </c>
      <c r="DO196" s="20">
        <f t="shared" ca="1" si="89"/>
        <v>4867.9222497123428</v>
      </c>
      <c r="DP196" s="113"/>
      <c r="DQ196" s="2"/>
      <c r="DR196" s="3"/>
      <c r="DT196" s="20"/>
      <c r="DU196" s="18"/>
      <c r="DV196" s="20"/>
    </row>
    <row r="197" spans="1:126" x14ac:dyDescent="0.25">
      <c r="A197">
        <v>0.5</v>
      </c>
      <c r="C197" s="190">
        <f>IF(C196*(1+A197*Model!$B$19*IF(Model!$B$28=0,1,((Model!$B$28-B197)/(Model!$B$28-$B$9))))&gt;Model!$B$44,C196*(1+A197*Model!$B$19*IF(Model!$B$28=0,1,((Model!$B$28-B197)/(Model!$B$28-$B$9)))),Model!$B$44)</f>
        <v>50</v>
      </c>
      <c r="O197" s="18"/>
      <c r="CY197" s="20" t="str">
        <f t="shared" si="100"/>
        <v>2022 Demo path</v>
      </c>
      <c r="CZ197" s="3">
        <f t="shared" si="92"/>
        <v>2047</v>
      </c>
      <c r="DA197" s="18">
        <f t="shared" si="90"/>
        <v>0</v>
      </c>
      <c r="DB197" s="18">
        <f ca="1">(N32+IF($DB$3&gt;0,NPV($DB$2,N33:OFFSET(N32,$DB$3,0)),0))/($DB$3+1)</f>
        <v>282.46302210912148</v>
      </c>
      <c r="DC197" s="18">
        <f t="shared" ca="1" si="99"/>
        <v>158.71152943717215</v>
      </c>
      <c r="DD197" s="18">
        <f t="shared" si="94"/>
        <v>93.75863831252174</v>
      </c>
      <c r="DE197" s="20">
        <f t="shared" si="93"/>
        <v>16245.780919206421</v>
      </c>
      <c r="DF197" s="20" cm="1">
        <f t="array" ref="DF197">SUMPRODUCT(($BG$2:$BM$2=CY197)*($B$5:$B$35=CZ197)*($BG$5:$BM$35))</f>
        <v>11054.082482337943</v>
      </c>
      <c r="DG197" s="20">
        <f>DE197-DF197</f>
        <v>5191.6984368684789</v>
      </c>
      <c r="DH197" s="20" cm="1">
        <f t="array" ref="DH197">IF(CZ197=2023,SUMPRODUCT(($B$5:$B$35=CZ197-1)*($BN$5:$BN$35))-SUMPRODUCT(($BG$2:$BM$2=CY197)*($B$5:$B$35=CZ197-1)*($BG$5:$BM$35)),DG196)</f>
        <v>5291.3759597160788</v>
      </c>
      <c r="DI197" s="18">
        <f t="shared" ca="1" si="96"/>
        <v>282.46302210912148</v>
      </c>
      <c r="DJ197" s="89">
        <f t="shared" si="97"/>
        <v>8.5548161744298437</v>
      </c>
      <c r="DK197" s="89">
        <f t="shared" si="85"/>
        <v>8.5738335968371366</v>
      </c>
      <c r="DL197" s="89">
        <f t="shared" ca="1" si="86"/>
        <v>5.6435476468300223</v>
      </c>
      <c r="DM197" s="20">
        <f t="shared" ca="1" si="87"/>
        <v>4216.5130954392762</v>
      </c>
      <c r="DN197" s="20">
        <f t="shared" ca="1" si="98"/>
        <v>5805.5251149354335</v>
      </c>
      <c r="DO197" s="20">
        <f t="shared" ca="1" si="89"/>
        <v>5011.0191051873553</v>
      </c>
      <c r="DP197" s="113"/>
      <c r="DQ197" s="2"/>
      <c r="DR197" s="3"/>
      <c r="DT197" s="20"/>
      <c r="DU197" s="18"/>
      <c r="DV197" s="20"/>
    </row>
    <row r="198" spans="1:126" x14ac:dyDescent="0.25">
      <c r="A198">
        <v>0.5</v>
      </c>
      <c r="C198" s="190">
        <f>IF(C197*(1+A198*Model!$B$19*IF(Model!$B$28=0,1,((Model!$B$28-B198)/(Model!$B$28-$B$9))))&gt;Model!$B$44,C197*(1+A198*Model!$B$19*IF(Model!$B$28=0,1,((Model!$B$28-B198)/(Model!$B$28-$B$9)))),Model!$B$44)</f>
        <v>50</v>
      </c>
      <c r="O198" s="18"/>
      <c r="CY198" s="20" t="str">
        <f t="shared" si="100"/>
        <v>2022 Demo path</v>
      </c>
      <c r="CZ198" s="3">
        <f t="shared" si="92"/>
        <v>2048</v>
      </c>
      <c r="DA198" s="18">
        <f t="shared" si="90"/>
        <v>0</v>
      </c>
      <c r="DB198" s="18">
        <f ca="1">(N33+IF($DB$3&gt;0,NPV($DB$2,N34:OFFSET(N33,$DB$3,0)),0))/($DB$3+1)</f>
        <v>290.93691277239515</v>
      </c>
      <c r="DC198" s="18">
        <f t="shared" ca="1" si="99"/>
        <v>167.18542010044581</v>
      </c>
      <c r="DD198" s="18">
        <f t="shared" si="94"/>
        <v>93.75863831252174</v>
      </c>
      <c r="DE198" s="20">
        <f t="shared" si="93"/>
        <v>15581.870841314774</v>
      </c>
      <c r="DF198" s="20" cm="1">
        <f t="array" ref="DF198">SUMPRODUCT(($BG$2:$BM$2=CY198)*($B$5:$B$35=CZ198)*($BG$5:$BM$35))</f>
        <v>10442.789293732092</v>
      </c>
      <c r="DG198" s="20">
        <f>DE198-DF198</f>
        <v>5139.0815475826821</v>
      </c>
      <c r="DH198" s="20" cm="1">
        <f t="array" ref="DH198">IF(CZ198=2023,SUMPRODUCT(($B$5:$B$35=CZ198-1)*($BN$5:$BN$35))-SUMPRODUCT(($BG$2:$BM$2=CY198)*($B$5:$B$35=CZ198-1)*($BG$5:$BM$35)),DG197)</f>
        <v>5191.6984368684789</v>
      </c>
      <c r="DI198" s="18">
        <f t="shared" ca="1" si="96"/>
        <v>290.93691277239515</v>
      </c>
      <c r="DJ198" s="89">
        <f t="shared" si="97"/>
        <v>8.5446296552420211</v>
      </c>
      <c r="DK198" s="89">
        <f t="shared" ref="DK198:DL200" si="101">LN(DH198)</f>
        <v>8.5548161744298437</v>
      </c>
      <c r="DL198" s="89">
        <f t="shared" ca="1" si="101"/>
        <v>5.6731064490715664</v>
      </c>
      <c r="DM198" s="20">
        <f ca="1">IF($DP$1="Yes",$DT$32+IF(CZ198=2023,DH198,DM197)*$DT$33+DI198*$DT$34,$DT$88*IF(CZ198=2023,DH198,DM197)+$DT$89*DI198)</f>
        <v>4384.1048649841896</v>
      </c>
      <c r="DN198" s="20">
        <f t="shared" ca="1" si="98"/>
        <v>5929.0216483777913</v>
      </c>
      <c r="DO198" s="20">
        <f ca="1">AVERAGE(DM198:DN198)</f>
        <v>5156.5632566809909</v>
      </c>
      <c r="DP198" s="113"/>
      <c r="DQ198" s="2"/>
      <c r="DR198" s="3"/>
      <c r="DT198" s="20"/>
      <c r="DU198" s="18"/>
      <c r="DV198" s="20"/>
    </row>
    <row r="199" spans="1:126" x14ac:dyDescent="0.25">
      <c r="A199">
        <v>0.5</v>
      </c>
      <c r="C199" s="190">
        <f>IF(C198*(1+A199*Model!$B$19*IF(Model!$B$28=0,1,((Model!$B$28-B199)/(Model!$B$28-$B$9))))&gt;Model!$B$44,C198*(1+A199*Model!$B$19*IF(Model!$B$28=0,1,((Model!$B$28-B199)/(Model!$B$28-$B$9)))),Model!$B$44)</f>
        <v>50</v>
      </c>
      <c r="O199" s="18"/>
      <c r="CY199" s="20" t="str">
        <f t="shared" si="100"/>
        <v>2022 Demo path</v>
      </c>
      <c r="CZ199" s="3">
        <f t="shared" si="92"/>
        <v>2049</v>
      </c>
      <c r="DA199" s="18">
        <f>DA198</f>
        <v>0</v>
      </c>
      <c r="DB199" s="18">
        <f ca="1">(N34+IF($DB$3&gt;0,NPV($DB$2,N35:OFFSET(N34,$DB$3,0)),0))/($DB$3+1)</f>
        <v>299.66502015556694</v>
      </c>
      <c r="DC199" s="18">
        <f t="shared" ca="1" si="99"/>
        <v>175.9135274836176</v>
      </c>
      <c r="DD199" s="18">
        <f t="shared" si="94"/>
        <v>93.75863831252174</v>
      </c>
      <c r="DE199" s="20">
        <f t="shared" si="93"/>
        <v>15012.992887840681</v>
      </c>
      <c r="DF199" s="20" cm="1">
        <f t="array" ref="DF199">SUMPRODUCT(($BG$2:$BM$2=CY199)*($B$5:$B$35=CZ199)*($BG$5:$BM$35))</f>
        <v>9798.9332727505025</v>
      </c>
      <c r="DG199" s="20">
        <f>DE199-DF199</f>
        <v>5214.0596150901783</v>
      </c>
      <c r="DH199" s="20" cm="1">
        <f t="array" ref="DH199">IF(CZ199=2023,SUMPRODUCT(($B$5:$B$35=CZ199-1)*($BN$5:$BN$35))-SUMPRODUCT(($BG$2:$BM$2=CY199)*($B$5:$B$35=CZ199-1)*($BG$5:$BM$35)),DG198)</f>
        <v>5139.0815475826821</v>
      </c>
      <c r="DI199" s="18">
        <f t="shared" ca="1" si="96"/>
        <v>299.66502015556694</v>
      </c>
      <c r="DJ199" s="89">
        <f t="shared" si="97"/>
        <v>8.5591140280855775</v>
      </c>
      <c r="DK199" s="89">
        <f t="shared" si="101"/>
        <v>8.5446296552420211</v>
      </c>
      <c r="DL199" s="89">
        <f t="shared" ca="1" si="101"/>
        <v>5.7026652513131113</v>
      </c>
      <c r="DM199" s="20">
        <f ca="1">IF($DP$1="Yes",$DT$32+IF(CZ199=2023,DH199,DM198)*$DT$33+DI199*$DT$34,$DT$88*IF(CZ199=2023,DH199,DM198)+$DT$89*DI199)</f>
        <v>4554.2658157399374</v>
      </c>
      <c r="DN199" s="20">
        <f t="shared" ca="1" si="98"/>
        <v>6055.132121832723</v>
      </c>
      <c r="DO199" s="20">
        <f ca="1">AVERAGE(DM199:DN199)</f>
        <v>5304.6989687863297</v>
      </c>
      <c r="DP199" s="113"/>
      <c r="DQ199" s="2"/>
      <c r="DR199" s="3"/>
      <c r="DT199" s="20"/>
      <c r="DU199" s="18"/>
      <c r="DV199" s="20"/>
    </row>
    <row r="200" spans="1:126" x14ac:dyDescent="0.25">
      <c r="A200">
        <v>0.5</v>
      </c>
      <c r="C200" s="190">
        <f>IF(C199*(1+A200*Model!$B$19*IF(Model!$B$28=0,1,((Model!$B$28-B200)/(Model!$B$28-$B$9))))&gt;Model!$B$44,C199*(1+A200*Model!$B$19*IF(Model!$B$28=0,1,((Model!$B$28-B200)/(Model!$B$28-$B$9)))),Model!$B$44)</f>
        <v>50</v>
      </c>
      <c r="O200" s="18"/>
      <c r="CY200" s="20" t="str">
        <f t="shared" si="100"/>
        <v>2022 Demo path</v>
      </c>
      <c r="CZ200" s="3">
        <f t="shared" si="92"/>
        <v>2050</v>
      </c>
      <c r="DA200" s="18">
        <f>DA199</f>
        <v>0</v>
      </c>
      <c r="DB200" s="18">
        <f ca="1">(N35+IF($DB$3&gt;0,NPV($DB$2,N36:OFFSET(N35,$DB$3,0)),0))/($DB$3+1)</f>
        <v>308.65497076023405</v>
      </c>
      <c r="DC200" s="18">
        <f t="shared" ca="1" si="99"/>
        <v>184.90347808828471</v>
      </c>
      <c r="DD200" s="18">
        <f t="shared" si="94"/>
        <v>93.75863831252174</v>
      </c>
      <c r="DE200" s="20">
        <f t="shared" si="93"/>
        <v>14477.451467153383</v>
      </c>
      <c r="DF200" s="20" cm="1">
        <f t="array" ref="DF200">SUMPRODUCT(($BG$2:$BM$2=CY200)*($B$5:$B$35=CZ200)*($BG$5:$BM$35))</f>
        <v>9236.1881918748804</v>
      </c>
      <c r="DG200" s="20">
        <f>DE200-DF200</f>
        <v>5241.263275278503</v>
      </c>
      <c r="DH200" s="20" cm="1">
        <f t="array" ref="DH200">IF(CZ200=2023,SUMPRODUCT(($B$5:$B$35=CZ200-1)*($BN$5:$BN$35))-SUMPRODUCT(($BG$2:$BM$2=CY200)*($B$5:$B$35=CZ200-1)*($BG$5:$BM$35)),DG199)</f>
        <v>5214.0596150901783</v>
      </c>
      <c r="DI200" s="18">
        <f t="shared" ca="1" si="96"/>
        <v>308.65497076023405</v>
      </c>
      <c r="DJ200" s="89">
        <f t="shared" si="97"/>
        <v>8.5643178313276511</v>
      </c>
      <c r="DK200" s="89">
        <f t="shared" si="101"/>
        <v>8.5591140280855775</v>
      </c>
      <c r="DL200" s="89">
        <f t="shared" ca="1" si="101"/>
        <v>5.7322240535546554</v>
      </c>
      <c r="DM200" s="20">
        <f ca="1">IF($DP$1="Yes",$DT$32+IF(CZ200=2023,DH200,DM199)*$DT$33+DI200*$DT$34,$DT$88*IF(CZ200=2023,DH200,DM199)+$DT$89*DI200)</f>
        <v>4727.2201060770376</v>
      </c>
      <c r="DN200" s="20">
        <f t="shared" ca="1" si="98"/>
        <v>6183.9168144512696</v>
      </c>
      <c r="DO200" s="20">
        <f ca="1">AVERAGE(DM200:DN200)</f>
        <v>5455.5684602641541</v>
      </c>
      <c r="DP200" s="113"/>
      <c r="DQ200" s="2"/>
      <c r="DR200" s="3"/>
      <c r="DT200" s="20"/>
      <c r="DU200" s="18"/>
      <c r="DV200" s="20"/>
    </row>
    <row r="201" spans="1:126" x14ac:dyDescent="0.25">
      <c r="CY201" s="20"/>
      <c r="CZ201" s="20"/>
      <c r="DA201" s="20"/>
      <c r="DB201" s="18"/>
      <c r="DC201" s="18"/>
      <c r="DD201" s="18"/>
      <c r="DE201" s="18"/>
      <c r="DF201" s="18"/>
      <c r="DG201" s="20"/>
      <c r="DH201" s="20"/>
      <c r="DI201" s="20"/>
      <c r="DJ201" s="20"/>
      <c r="DK201" s="20"/>
      <c r="DL201" s="20"/>
    </row>
    <row r="202" spans="1:126" x14ac:dyDescent="0.25">
      <c r="CY202" s="20"/>
      <c r="CZ202" s="20"/>
      <c r="DA202" s="20"/>
      <c r="DB202" s="18"/>
      <c r="DC202" s="18"/>
      <c r="DD202" s="18"/>
      <c r="DF202" s="20"/>
      <c r="DG202" s="20"/>
      <c r="DH202" s="20"/>
      <c r="DI202" s="20"/>
      <c r="DJ202" s="20"/>
      <c r="DK202" s="20"/>
      <c r="DL202" s="20"/>
    </row>
    <row r="203" spans="1:126" x14ac:dyDescent="0.25">
      <c r="CY203" s="20"/>
      <c r="CZ203" s="20"/>
      <c r="DA203" s="20"/>
      <c r="DB203" s="18"/>
      <c r="DC203" s="18"/>
      <c r="DD203" s="18"/>
      <c r="DE203" s="18"/>
      <c r="DF203" s="20"/>
      <c r="DG203" s="20"/>
      <c r="DH203" s="20"/>
      <c r="DI203" s="20"/>
      <c r="DJ203" s="20"/>
      <c r="DK203" s="20"/>
      <c r="DL203" s="20"/>
    </row>
    <row r="204" spans="1:126" x14ac:dyDescent="0.25">
      <c r="CY204" s="20"/>
      <c r="CZ204" s="20"/>
      <c r="DA204" s="20"/>
      <c r="DB204" s="18"/>
      <c r="DC204" s="18"/>
      <c r="DD204" s="18"/>
      <c r="DE204" s="18"/>
      <c r="DF204" s="20"/>
      <c r="DG204" s="20"/>
      <c r="DH204" s="20"/>
      <c r="DI204" s="20"/>
      <c r="DJ204" s="20"/>
      <c r="DK204" s="20"/>
      <c r="DL204" s="20"/>
    </row>
    <row r="205" spans="1:126" x14ac:dyDescent="0.25">
      <c r="CY205" s="20"/>
      <c r="CZ205" s="20"/>
      <c r="DA205" s="20"/>
      <c r="DB205" s="18"/>
      <c r="DC205" s="18"/>
      <c r="DD205" s="18"/>
      <c r="DE205" s="18"/>
      <c r="DF205" s="20"/>
      <c r="DG205" s="20"/>
      <c r="DH205" s="20"/>
      <c r="DI205" s="20"/>
      <c r="DJ205" s="20"/>
      <c r="DK205" s="20"/>
      <c r="DL205" s="20"/>
    </row>
    <row r="206" spans="1:126" x14ac:dyDescent="0.25">
      <c r="CY206" s="20"/>
      <c r="CZ206" s="20"/>
      <c r="DA206" s="20"/>
      <c r="DB206" s="18"/>
      <c r="DC206" s="18"/>
      <c r="DD206" s="18"/>
      <c r="DE206" s="18"/>
      <c r="DF206" s="20"/>
      <c r="DG206" s="20"/>
      <c r="DH206" s="20"/>
      <c r="DI206" s="20"/>
      <c r="DJ206" s="20"/>
      <c r="DK206" s="20"/>
      <c r="DL206" s="20"/>
    </row>
    <row r="207" spans="1:126" x14ac:dyDescent="0.25">
      <c r="CY207" s="20"/>
      <c r="CZ207" s="20"/>
      <c r="DA207" s="20"/>
      <c r="DB207" s="18"/>
      <c r="DC207" s="18"/>
      <c r="DD207" s="18"/>
      <c r="DE207" s="18"/>
      <c r="DF207" s="20"/>
      <c r="DG207" s="20"/>
      <c r="DH207" s="20"/>
      <c r="DI207" s="20"/>
      <c r="DJ207" s="20"/>
      <c r="DK207" s="20"/>
      <c r="DL207" s="20"/>
    </row>
    <row r="208" spans="1:126" x14ac:dyDescent="0.25">
      <c r="CY208" s="20"/>
      <c r="CZ208" s="20"/>
      <c r="DA208" s="20"/>
      <c r="DB208" s="18"/>
      <c r="DC208" s="18"/>
      <c r="DD208" s="18"/>
      <c r="DE208" s="18"/>
      <c r="DF208" s="20"/>
      <c r="DG208" s="20"/>
      <c r="DH208" s="20"/>
      <c r="DI208" s="20"/>
      <c r="DJ208" s="20"/>
      <c r="DK208" s="20"/>
      <c r="DL208" s="20"/>
    </row>
    <row r="209" spans="103:116" x14ac:dyDescent="0.25">
      <c r="CY209" s="20"/>
      <c r="CZ209" s="20"/>
      <c r="DA209" s="20"/>
      <c r="DB209" s="18"/>
      <c r="DC209" s="18"/>
      <c r="DD209" s="18"/>
      <c r="DE209" s="18"/>
      <c r="DF209" s="20"/>
      <c r="DG209" s="20"/>
      <c r="DH209" s="20"/>
      <c r="DI209" s="20"/>
      <c r="DJ209" s="20"/>
      <c r="DK209" s="20"/>
      <c r="DL209" s="20"/>
    </row>
    <row r="210" spans="103:116" x14ac:dyDescent="0.25">
      <c r="CY210" s="20"/>
      <c r="CZ210" s="20"/>
      <c r="DA210" s="20"/>
      <c r="DB210" s="18"/>
      <c r="DC210" s="18"/>
      <c r="DD210" s="18"/>
      <c r="DE210" s="18"/>
      <c r="DF210" s="20"/>
      <c r="DG210" s="20"/>
      <c r="DH210" s="20"/>
      <c r="DI210" s="20"/>
      <c r="DJ210" s="20"/>
      <c r="DK210" s="20"/>
      <c r="DL210" s="20"/>
    </row>
    <row r="211" spans="103:116" x14ac:dyDescent="0.25">
      <c r="CY211" s="20"/>
      <c r="CZ211" s="20"/>
      <c r="DA211" s="20"/>
      <c r="DB211" s="18"/>
      <c r="DC211" s="18"/>
      <c r="DD211" s="18"/>
      <c r="DE211" s="18"/>
      <c r="DF211" s="20"/>
      <c r="DG211" s="20"/>
      <c r="DH211" s="20"/>
      <c r="DI211" s="20"/>
      <c r="DJ211" s="20"/>
      <c r="DK211" s="20"/>
      <c r="DL211" s="20"/>
    </row>
    <row r="212" spans="103:116" x14ac:dyDescent="0.25">
      <c r="CY212" s="20"/>
      <c r="CZ212" s="20"/>
      <c r="DA212" s="20"/>
      <c r="DB212" s="18"/>
      <c r="DC212" s="18"/>
      <c r="DD212" s="18"/>
      <c r="DE212" s="18"/>
      <c r="DF212" s="20"/>
      <c r="DG212" s="20"/>
      <c r="DH212" s="20"/>
      <c r="DI212" s="20"/>
      <c r="DJ212" s="20"/>
      <c r="DK212" s="20"/>
      <c r="DL212" s="20"/>
    </row>
    <row r="213" spans="103:116" x14ac:dyDescent="0.25">
      <c r="CY213" s="20"/>
      <c r="CZ213" s="20"/>
      <c r="DA213" s="20"/>
      <c r="DB213" s="18"/>
      <c r="DC213" s="18"/>
      <c r="DD213" s="18"/>
      <c r="DE213" s="18"/>
      <c r="DF213" s="20"/>
      <c r="DG213" s="20"/>
      <c r="DH213" s="20"/>
      <c r="DI213" s="20"/>
      <c r="DJ213" s="20"/>
      <c r="DK213" s="20"/>
      <c r="DL213" s="20"/>
    </row>
    <row r="214" spans="103:116" x14ac:dyDescent="0.25">
      <c r="CY214" s="20"/>
      <c r="CZ214" s="20"/>
      <c r="DA214" s="20"/>
      <c r="DB214" s="18"/>
      <c r="DC214" s="18"/>
      <c r="DD214" s="18"/>
      <c r="DE214" s="18"/>
      <c r="DF214" s="20"/>
      <c r="DG214" s="20"/>
      <c r="DH214" s="20"/>
      <c r="DI214" s="20"/>
      <c r="DJ214" s="20"/>
      <c r="DK214" s="20"/>
      <c r="DL214" s="20"/>
    </row>
    <row r="215" spans="103:116" x14ac:dyDescent="0.25">
      <c r="DF215" s="20"/>
    </row>
    <row r="216" spans="103:116" x14ac:dyDescent="0.25">
      <c r="DF216" s="20"/>
    </row>
    <row r="217" spans="103:116" x14ac:dyDescent="0.25">
      <c r="DF217" s="20"/>
    </row>
    <row r="218" spans="103:116" x14ac:dyDescent="0.25">
      <c r="DF218" s="20"/>
    </row>
    <row r="219" spans="103:116" x14ac:dyDescent="0.25">
      <c r="DF219" s="20"/>
    </row>
    <row r="220" spans="103:116" x14ac:dyDescent="0.25">
      <c r="DF220" s="20"/>
    </row>
    <row r="221" spans="103:116" x14ac:dyDescent="0.25">
      <c r="DF221" s="20"/>
    </row>
    <row r="222" spans="103:116" x14ac:dyDescent="0.25">
      <c r="DF222" s="20"/>
    </row>
    <row r="223" spans="103:116" x14ac:dyDescent="0.25">
      <c r="DF223" s="20"/>
    </row>
    <row r="224" spans="103:116" x14ac:dyDescent="0.25">
      <c r="DF224" s="20"/>
    </row>
    <row r="225" spans="110:110" x14ac:dyDescent="0.25">
      <c r="DF225" s="20"/>
    </row>
    <row r="226" spans="110:110" x14ac:dyDescent="0.25">
      <c r="DF226" s="20"/>
    </row>
    <row r="227" spans="110:110" x14ac:dyDescent="0.25">
      <c r="DF227" s="20"/>
    </row>
    <row r="228" spans="110:110" x14ac:dyDescent="0.25">
      <c r="DF228" s="20"/>
    </row>
    <row r="229" spans="110:110" x14ac:dyDescent="0.25">
      <c r="DF229" s="20"/>
    </row>
    <row r="230" spans="110:110" x14ac:dyDescent="0.25">
      <c r="DF230" s="20"/>
    </row>
    <row r="231" spans="110:110" x14ac:dyDescent="0.25">
      <c r="DF231" s="20"/>
    </row>
    <row r="232" spans="110:110" x14ac:dyDescent="0.25">
      <c r="DF232" s="20"/>
    </row>
    <row r="233" spans="110:110" x14ac:dyDescent="0.25">
      <c r="DF233" s="20"/>
    </row>
    <row r="234" spans="110:110" x14ac:dyDescent="0.25">
      <c r="DF234" s="20"/>
    </row>
    <row r="235" spans="110:110" x14ac:dyDescent="0.25">
      <c r="DF235" s="20"/>
    </row>
    <row r="236" spans="110:110" x14ac:dyDescent="0.25">
      <c r="DF236" s="20"/>
    </row>
    <row r="237" spans="110:110" x14ac:dyDescent="0.25">
      <c r="DF237" s="20"/>
    </row>
  </sheetData>
  <phoneticPr fontId="18" type="noConversion"/>
  <dataValidations count="1">
    <dataValidation type="list" allowBlank="1" showInputMessage="1" showErrorMessage="1" sqref="DP1" xr:uid="{6DF2FFD0-807B-4F94-89B1-364782D5786B}">
      <formula1>"Yes,No"</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2094C-BE45-4F30-9593-750AA677BBC5}">
  <sheetPr codeName="Sheet10">
    <tabColor rgb="FFFFC000"/>
  </sheetPr>
  <dimension ref="A1:AE87"/>
  <sheetViews>
    <sheetView zoomScale="70" zoomScaleNormal="70" workbookViewId="0">
      <pane xSplit="2" ySplit="2" topLeftCell="C22" activePane="bottomRight" state="frozen"/>
      <selection pane="topRight" activeCell="C1" sqref="C1"/>
      <selection pane="bottomLeft" activeCell="A3" sqref="A3"/>
      <selection pane="bottomRight" activeCell="H57" sqref="H57"/>
    </sheetView>
  </sheetViews>
  <sheetFormatPr defaultColWidth="8.7109375" defaultRowHeight="15" x14ac:dyDescent="0.25"/>
  <cols>
    <col min="1" max="1" width="113.85546875" bestFit="1" customWidth="1"/>
    <col min="2" max="2" width="33" bestFit="1" customWidth="1"/>
    <col min="3" max="3" width="24.85546875" bestFit="1" customWidth="1"/>
    <col min="4" max="15" width="14.42578125" bestFit="1" customWidth="1"/>
    <col min="16" max="16" width="14.42578125" style="295" bestFit="1" customWidth="1"/>
    <col min="17" max="30" width="14.42578125" bestFit="1" customWidth="1"/>
  </cols>
  <sheetData>
    <row r="1" spans="1:30" s="293" customFormat="1" x14ac:dyDescent="0.25">
      <c r="A1" s="293" t="s">
        <v>284</v>
      </c>
      <c r="C1" s="293">
        <v>2023</v>
      </c>
      <c r="D1" s="293">
        <v>2024</v>
      </c>
      <c r="E1" s="293">
        <v>2025</v>
      </c>
      <c r="F1" s="293">
        <v>2026</v>
      </c>
      <c r="G1" s="293">
        <v>2027</v>
      </c>
      <c r="H1" s="293">
        <v>2028</v>
      </c>
      <c r="I1" s="293">
        <v>2029</v>
      </c>
      <c r="J1" s="293">
        <v>2030</v>
      </c>
      <c r="K1" s="293">
        <v>2031</v>
      </c>
      <c r="L1" s="293">
        <v>2032</v>
      </c>
      <c r="M1" s="293">
        <v>2033</v>
      </c>
      <c r="N1" s="293">
        <v>2034</v>
      </c>
      <c r="O1" s="293">
        <v>2035</v>
      </c>
      <c r="P1" s="294">
        <v>2036</v>
      </c>
      <c r="Q1" s="293">
        <v>2037</v>
      </c>
      <c r="R1" s="293">
        <v>2038</v>
      </c>
      <c r="S1" s="293">
        <v>2039</v>
      </c>
      <c r="T1" s="293">
        <v>2040</v>
      </c>
      <c r="U1" s="293">
        <v>2041</v>
      </c>
      <c r="V1" s="293">
        <v>2042</v>
      </c>
      <c r="W1" s="293">
        <v>2043</v>
      </c>
      <c r="X1" s="293">
        <v>2044</v>
      </c>
      <c r="Y1" s="293">
        <v>2045</v>
      </c>
      <c r="Z1" s="293">
        <v>2046</v>
      </c>
      <c r="AA1" s="293">
        <v>2047</v>
      </c>
      <c r="AB1" s="293">
        <v>2048</v>
      </c>
      <c r="AC1" s="293">
        <v>2049</v>
      </c>
      <c r="AD1" s="293">
        <v>2050</v>
      </c>
    </row>
    <row r="2" spans="1:30" s="1" customFormat="1" x14ac:dyDescent="0.25">
      <c r="A2" s="45" t="s">
        <v>285</v>
      </c>
      <c r="B2" s="45"/>
      <c r="C2" s="45"/>
      <c r="D2" s="45"/>
      <c r="E2" s="45"/>
      <c r="F2" s="45"/>
      <c r="G2" s="45"/>
      <c r="H2" s="45"/>
      <c r="I2" s="45"/>
      <c r="J2" s="45"/>
      <c r="K2" s="45"/>
      <c r="L2" s="45"/>
      <c r="M2" s="45"/>
      <c r="N2" s="45"/>
      <c r="O2" s="45"/>
      <c r="P2" s="295"/>
      <c r="Q2"/>
      <c r="R2"/>
      <c r="S2"/>
      <c r="T2"/>
      <c r="U2"/>
      <c r="V2"/>
      <c r="W2"/>
      <c r="X2"/>
      <c r="Y2"/>
      <c r="Z2"/>
      <c r="AA2"/>
      <c r="AB2"/>
      <c r="AC2"/>
      <c r="AD2"/>
    </row>
    <row r="3" spans="1:30" s="302" customFormat="1" ht="33" customHeight="1" x14ac:dyDescent="0.25">
      <c r="A3" s="296"/>
      <c r="B3" s="297" t="s">
        <v>286</v>
      </c>
      <c r="C3" s="298">
        <v>593.13300000000004</v>
      </c>
      <c r="D3" s="353">
        <v>739.8</v>
      </c>
      <c r="E3" s="299">
        <v>1367.403</v>
      </c>
      <c r="F3" s="300">
        <f t="shared" ref="F3:L3" si="0">E3</f>
        <v>1367.403</v>
      </c>
      <c r="G3" s="300">
        <f t="shared" si="0"/>
        <v>1367.403</v>
      </c>
      <c r="H3" s="300">
        <f t="shared" si="0"/>
        <v>1367.403</v>
      </c>
      <c r="I3" s="300">
        <f t="shared" si="0"/>
        <v>1367.403</v>
      </c>
      <c r="J3" s="300">
        <f t="shared" si="0"/>
        <v>1367.403</v>
      </c>
      <c r="K3" s="300">
        <f t="shared" si="0"/>
        <v>1367.403</v>
      </c>
      <c r="L3" s="300">
        <f t="shared" si="0"/>
        <v>1367.403</v>
      </c>
      <c r="M3" s="300">
        <f>L3</f>
        <v>1367.403</v>
      </c>
      <c r="N3" s="300">
        <f>M3</f>
        <v>1367.403</v>
      </c>
      <c r="O3" s="300">
        <f>N3</f>
        <v>1367.403</v>
      </c>
      <c r="P3" s="301">
        <f>O3</f>
        <v>1367.403</v>
      </c>
      <c r="Q3" s="301">
        <f t="shared" ref="Q3:AD5" si="1">P3</f>
        <v>1367.403</v>
      </c>
      <c r="R3" s="301">
        <f t="shared" si="1"/>
        <v>1367.403</v>
      </c>
      <c r="S3" s="301">
        <f t="shared" si="1"/>
        <v>1367.403</v>
      </c>
      <c r="T3" s="301">
        <f t="shared" si="1"/>
        <v>1367.403</v>
      </c>
      <c r="U3" s="301">
        <f t="shared" si="1"/>
        <v>1367.403</v>
      </c>
      <c r="V3" s="301">
        <f t="shared" si="1"/>
        <v>1367.403</v>
      </c>
      <c r="W3" s="301">
        <f t="shared" si="1"/>
        <v>1367.403</v>
      </c>
      <c r="X3" s="301">
        <f t="shared" si="1"/>
        <v>1367.403</v>
      </c>
      <c r="Y3" s="301">
        <f t="shared" si="1"/>
        <v>1367.403</v>
      </c>
      <c r="Z3" s="301">
        <f t="shared" si="1"/>
        <v>1367.403</v>
      </c>
      <c r="AA3" s="301">
        <f t="shared" si="1"/>
        <v>1367.403</v>
      </c>
      <c r="AB3" s="301">
        <f t="shared" si="1"/>
        <v>1367.403</v>
      </c>
      <c r="AC3" s="301">
        <f t="shared" si="1"/>
        <v>1367.403</v>
      </c>
      <c r="AD3" s="301">
        <f t="shared" si="1"/>
        <v>1367.403</v>
      </c>
    </row>
    <row r="4" spans="1:30" x14ac:dyDescent="0.25">
      <c r="A4" s="48">
        <v>0</v>
      </c>
      <c r="B4" t="s">
        <v>287</v>
      </c>
      <c r="C4" s="298">
        <v>654.37487714399992</v>
      </c>
      <c r="D4" s="353">
        <v>611.20000000000005</v>
      </c>
      <c r="E4" s="303">
        <f t="shared" ref="E4:O13" si="2">(D4*(1+$A4))</f>
        <v>611.20000000000005</v>
      </c>
      <c r="F4" s="303">
        <f t="shared" si="2"/>
        <v>611.20000000000005</v>
      </c>
      <c r="G4" s="303">
        <f t="shared" si="2"/>
        <v>611.20000000000005</v>
      </c>
      <c r="H4" s="303">
        <f t="shared" si="2"/>
        <v>611.20000000000005</v>
      </c>
      <c r="I4" s="303">
        <f t="shared" si="2"/>
        <v>611.20000000000005</v>
      </c>
      <c r="J4" s="303">
        <f t="shared" si="2"/>
        <v>611.20000000000005</v>
      </c>
      <c r="K4" s="303">
        <f t="shared" si="2"/>
        <v>611.20000000000005</v>
      </c>
      <c r="L4" s="303">
        <f t="shared" si="2"/>
        <v>611.20000000000005</v>
      </c>
      <c r="M4" s="303">
        <f t="shared" si="2"/>
        <v>611.20000000000005</v>
      </c>
      <c r="N4" s="303">
        <f t="shared" si="2"/>
        <v>611.20000000000005</v>
      </c>
      <c r="O4" s="303">
        <f t="shared" si="2"/>
        <v>611.20000000000005</v>
      </c>
      <c r="P4" s="301">
        <f>O4</f>
        <v>611.20000000000005</v>
      </c>
      <c r="Q4" s="301">
        <f t="shared" si="1"/>
        <v>611.20000000000005</v>
      </c>
      <c r="R4" s="301">
        <f t="shared" si="1"/>
        <v>611.20000000000005</v>
      </c>
      <c r="S4" s="301">
        <f t="shared" si="1"/>
        <v>611.20000000000005</v>
      </c>
      <c r="T4" s="301">
        <f t="shared" si="1"/>
        <v>611.20000000000005</v>
      </c>
      <c r="U4" s="301">
        <f t="shared" si="1"/>
        <v>611.20000000000005</v>
      </c>
      <c r="V4" s="301">
        <f t="shared" si="1"/>
        <v>611.20000000000005</v>
      </c>
      <c r="W4" s="301">
        <f t="shared" si="1"/>
        <v>611.20000000000005</v>
      </c>
      <c r="X4" s="301">
        <f t="shared" si="1"/>
        <v>611.20000000000005</v>
      </c>
      <c r="Y4" s="301">
        <f t="shared" si="1"/>
        <v>611.20000000000005</v>
      </c>
      <c r="Z4" s="301">
        <f t="shared" si="1"/>
        <v>611.20000000000005</v>
      </c>
      <c r="AA4" s="301">
        <f t="shared" si="1"/>
        <v>611.20000000000005</v>
      </c>
      <c r="AB4" s="301">
        <f t="shared" si="1"/>
        <v>611.20000000000005</v>
      </c>
      <c r="AC4" s="301">
        <f t="shared" si="1"/>
        <v>611.20000000000005</v>
      </c>
      <c r="AD4" s="301">
        <f t="shared" si="1"/>
        <v>611.20000000000005</v>
      </c>
    </row>
    <row r="5" spans="1:30" x14ac:dyDescent="0.25">
      <c r="A5" s="48">
        <v>0</v>
      </c>
      <c r="B5" t="s">
        <v>288</v>
      </c>
      <c r="C5" s="298">
        <v>1825.7309088150002</v>
      </c>
      <c r="D5" s="354">
        <v>1854</v>
      </c>
      <c r="E5" s="303">
        <f t="shared" si="2"/>
        <v>1854</v>
      </c>
      <c r="F5" s="303">
        <f t="shared" si="2"/>
        <v>1854</v>
      </c>
      <c r="G5" s="303">
        <f t="shared" si="2"/>
        <v>1854</v>
      </c>
      <c r="H5" s="303">
        <f t="shared" si="2"/>
        <v>1854</v>
      </c>
      <c r="I5" s="303">
        <f t="shared" si="2"/>
        <v>1854</v>
      </c>
      <c r="J5" s="303">
        <f t="shared" si="2"/>
        <v>1854</v>
      </c>
      <c r="K5" s="303">
        <f t="shared" si="2"/>
        <v>1854</v>
      </c>
      <c r="L5" s="303">
        <f t="shared" si="2"/>
        <v>1854</v>
      </c>
      <c r="M5" s="303">
        <f t="shared" si="2"/>
        <v>1854</v>
      </c>
      <c r="N5" s="303">
        <f t="shared" si="2"/>
        <v>1854</v>
      </c>
      <c r="O5" s="303">
        <f t="shared" si="2"/>
        <v>1854</v>
      </c>
      <c r="P5" s="301">
        <f>O5</f>
        <v>1854</v>
      </c>
      <c r="Q5" s="301">
        <f t="shared" si="1"/>
        <v>1854</v>
      </c>
      <c r="R5" s="301">
        <f t="shared" si="1"/>
        <v>1854</v>
      </c>
      <c r="S5" s="301">
        <f t="shared" si="1"/>
        <v>1854</v>
      </c>
      <c r="T5" s="301">
        <f t="shared" si="1"/>
        <v>1854</v>
      </c>
      <c r="U5" s="301">
        <f t="shared" si="1"/>
        <v>1854</v>
      </c>
      <c r="V5" s="301">
        <f t="shared" si="1"/>
        <v>1854</v>
      </c>
      <c r="W5" s="301">
        <f t="shared" si="1"/>
        <v>1854</v>
      </c>
      <c r="X5" s="301">
        <f t="shared" si="1"/>
        <v>1854</v>
      </c>
      <c r="Y5" s="301">
        <f t="shared" si="1"/>
        <v>1854</v>
      </c>
      <c r="Z5" s="301">
        <f t="shared" si="1"/>
        <v>1854</v>
      </c>
      <c r="AA5" s="301">
        <f t="shared" si="1"/>
        <v>1854</v>
      </c>
      <c r="AB5" s="301">
        <f t="shared" si="1"/>
        <v>1854</v>
      </c>
      <c r="AC5" s="301">
        <f t="shared" si="1"/>
        <v>1854</v>
      </c>
      <c r="AD5" s="301">
        <f t="shared" si="1"/>
        <v>1854</v>
      </c>
    </row>
    <row r="6" spans="1:30" ht="13.5" customHeight="1" x14ac:dyDescent="0.25">
      <c r="A6" s="48">
        <v>0</v>
      </c>
      <c r="B6" t="s">
        <v>289</v>
      </c>
      <c r="C6" s="298">
        <v>988.76606413800005</v>
      </c>
      <c r="D6" s="353">
        <v>995.6</v>
      </c>
      <c r="E6" s="303">
        <f t="shared" si="2"/>
        <v>995.6</v>
      </c>
      <c r="F6" s="303">
        <f t="shared" si="2"/>
        <v>995.6</v>
      </c>
      <c r="G6" s="303">
        <f t="shared" si="2"/>
        <v>995.6</v>
      </c>
      <c r="H6" s="303">
        <f t="shared" si="2"/>
        <v>995.6</v>
      </c>
      <c r="I6" s="303">
        <f t="shared" si="2"/>
        <v>995.6</v>
      </c>
      <c r="J6" s="303">
        <f t="shared" si="2"/>
        <v>995.6</v>
      </c>
      <c r="K6" s="303">
        <f t="shared" si="2"/>
        <v>995.6</v>
      </c>
      <c r="L6" s="303">
        <f t="shared" si="2"/>
        <v>995.6</v>
      </c>
      <c r="M6" s="303">
        <f>(L6*(1+$A6))</f>
        <v>995.6</v>
      </c>
      <c r="N6" s="303">
        <f t="shared" si="2"/>
        <v>995.6</v>
      </c>
      <c r="O6" s="303">
        <f t="shared" si="2"/>
        <v>995.6</v>
      </c>
      <c r="P6" s="301">
        <f t="shared" ref="P6:AD13" si="3">O6</f>
        <v>995.6</v>
      </c>
      <c r="Q6" s="301">
        <f t="shared" si="3"/>
        <v>995.6</v>
      </c>
      <c r="R6" s="301">
        <f t="shared" si="3"/>
        <v>995.6</v>
      </c>
      <c r="S6" s="301">
        <f t="shared" si="3"/>
        <v>995.6</v>
      </c>
      <c r="T6" s="301">
        <f t="shared" si="3"/>
        <v>995.6</v>
      </c>
      <c r="U6" s="301">
        <f t="shared" si="3"/>
        <v>995.6</v>
      </c>
      <c r="V6" s="301">
        <f t="shared" si="3"/>
        <v>995.6</v>
      </c>
      <c r="W6" s="301">
        <f t="shared" si="3"/>
        <v>995.6</v>
      </c>
      <c r="X6" s="301">
        <f t="shared" si="3"/>
        <v>995.6</v>
      </c>
      <c r="Y6" s="301">
        <f t="shared" si="3"/>
        <v>995.6</v>
      </c>
      <c r="Z6" s="301">
        <f t="shared" si="3"/>
        <v>995.6</v>
      </c>
      <c r="AA6" s="301">
        <f t="shared" si="3"/>
        <v>995.6</v>
      </c>
      <c r="AB6" s="301">
        <f t="shared" si="3"/>
        <v>995.6</v>
      </c>
      <c r="AC6" s="301">
        <f>AB6</f>
        <v>995.6</v>
      </c>
      <c r="AD6" s="301">
        <f t="shared" si="3"/>
        <v>995.6</v>
      </c>
    </row>
    <row r="7" spans="1:30" x14ac:dyDescent="0.25">
      <c r="A7" s="48">
        <v>0</v>
      </c>
      <c r="B7" t="s">
        <v>290</v>
      </c>
      <c r="C7" s="298">
        <v>19.741015923000003</v>
      </c>
      <c r="D7" s="353">
        <v>21</v>
      </c>
      <c r="E7" s="303">
        <f t="shared" si="2"/>
        <v>21</v>
      </c>
      <c r="F7" s="303">
        <f t="shared" si="2"/>
        <v>21</v>
      </c>
      <c r="G7" s="303">
        <f t="shared" si="2"/>
        <v>21</v>
      </c>
      <c r="H7" s="303">
        <f t="shared" si="2"/>
        <v>21</v>
      </c>
      <c r="I7" s="303">
        <f t="shared" si="2"/>
        <v>21</v>
      </c>
      <c r="J7" s="303">
        <f t="shared" si="2"/>
        <v>21</v>
      </c>
      <c r="K7" s="303">
        <f t="shared" si="2"/>
        <v>21</v>
      </c>
      <c r="L7" s="303">
        <f t="shared" si="2"/>
        <v>21</v>
      </c>
      <c r="M7" s="303">
        <f t="shared" si="2"/>
        <v>21</v>
      </c>
      <c r="N7" s="303">
        <f t="shared" si="2"/>
        <v>21</v>
      </c>
      <c r="O7" s="303">
        <f t="shared" si="2"/>
        <v>21</v>
      </c>
      <c r="P7" s="301">
        <f t="shared" si="3"/>
        <v>21</v>
      </c>
      <c r="Q7" s="301">
        <f t="shared" si="3"/>
        <v>21</v>
      </c>
      <c r="R7" s="301">
        <f t="shared" si="3"/>
        <v>21</v>
      </c>
      <c r="S7" s="301">
        <f t="shared" si="3"/>
        <v>21</v>
      </c>
      <c r="T7" s="301">
        <f t="shared" si="3"/>
        <v>21</v>
      </c>
      <c r="U7" s="301">
        <f t="shared" si="3"/>
        <v>21</v>
      </c>
      <c r="V7" s="301">
        <f t="shared" si="3"/>
        <v>21</v>
      </c>
      <c r="W7" s="301">
        <f t="shared" si="3"/>
        <v>21</v>
      </c>
      <c r="X7" s="301">
        <f t="shared" si="3"/>
        <v>21</v>
      </c>
      <c r="Y7" s="301">
        <f t="shared" si="3"/>
        <v>21</v>
      </c>
      <c r="Z7" s="301">
        <f t="shared" si="3"/>
        <v>21</v>
      </c>
      <c r="AA7" s="301">
        <f t="shared" si="3"/>
        <v>21</v>
      </c>
      <c r="AB7" s="301">
        <f t="shared" si="3"/>
        <v>21</v>
      </c>
      <c r="AC7" s="301">
        <f t="shared" si="3"/>
        <v>21</v>
      </c>
      <c r="AD7" s="301">
        <f t="shared" si="3"/>
        <v>21</v>
      </c>
    </row>
    <row r="8" spans="1:30" x14ac:dyDescent="0.25">
      <c r="A8" s="48">
        <v>0</v>
      </c>
      <c r="B8" t="s">
        <v>291</v>
      </c>
      <c r="C8" s="298">
        <v>331.15706761199999</v>
      </c>
      <c r="D8" s="353">
        <v>318.8</v>
      </c>
      <c r="E8" s="303">
        <f t="shared" si="2"/>
        <v>318.8</v>
      </c>
      <c r="F8" s="303">
        <f t="shared" si="2"/>
        <v>318.8</v>
      </c>
      <c r="G8" s="303">
        <f t="shared" si="2"/>
        <v>318.8</v>
      </c>
      <c r="H8" s="303">
        <f t="shared" si="2"/>
        <v>318.8</v>
      </c>
      <c r="I8" s="303">
        <f t="shared" si="2"/>
        <v>318.8</v>
      </c>
      <c r="J8" s="303">
        <f t="shared" si="2"/>
        <v>318.8</v>
      </c>
      <c r="K8" s="303">
        <f t="shared" si="2"/>
        <v>318.8</v>
      </c>
      <c r="L8" s="303">
        <f t="shared" si="2"/>
        <v>318.8</v>
      </c>
      <c r="M8" s="303">
        <f t="shared" si="2"/>
        <v>318.8</v>
      </c>
      <c r="N8" s="303">
        <f t="shared" si="2"/>
        <v>318.8</v>
      </c>
      <c r="O8" s="303">
        <f t="shared" si="2"/>
        <v>318.8</v>
      </c>
      <c r="P8" s="301">
        <f t="shared" si="3"/>
        <v>318.8</v>
      </c>
      <c r="Q8" s="301">
        <f t="shared" si="3"/>
        <v>318.8</v>
      </c>
      <c r="R8" s="301">
        <f t="shared" si="3"/>
        <v>318.8</v>
      </c>
      <c r="S8" s="301">
        <f t="shared" si="3"/>
        <v>318.8</v>
      </c>
      <c r="T8" s="301">
        <f t="shared" si="3"/>
        <v>318.8</v>
      </c>
      <c r="U8" s="301">
        <f t="shared" si="3"/>
        <v>318.8</v>
      </c>
      <c r="V8" s="301">
        <f t="shared" si="3"/>
        <v>318.8</v>
      </c>
      <c r="W8" s="301">
        <f t="shared" si="3"/>
        <v>318.8</v>
      </c>
      <c r="X8" s="301">
        <f t="shared" si="3"/>
        <v>318.8</v>
      </c>
      <c r="Y8" s="301">
        <f t="shared" si="3"/>
        <v>318.8</v>
      </c>
      <c r="Z8" s="301">
        <f t="shared" si="3"/>
        <v>318.8</v>
      </c>
      <c r="AA8" s="301">
        <f t="shared" si="3"/>
        <v>318.8</v>
      </c>
      <c r="AB8" s="301">
        <f t="shared" si="3"/>
        <v>318.8</v>
      </c>
      <c r="AC8" s="301">
        <f t="shared" si="3"/>
        <v>318.8</v>
      </c>
      <c r="AD8" s="301">
        <f t="shared" si="3"/>
        <v>318.8</v>
      </c>
    </row>
    <row r="9" spans="1:30" x14ac:dyDescent="0.25">
      <c r="A9" s="48">
        <v>0</v>
      </c>
      <c r="B9" t="s">
        <v>292</v>
      </c>
      <c r="C9" s="298">
        <v>55.633066241999998</v>
      </c>
      <c r="D9" s="353">
        <v>57.8</v>
      </c>
      <c r="E9" s="303">
        <f t="shared" si="2"/>
        <v>57.8</v>
      </c>
      <c r="F9" s="303">
        <f t="shared" si="2"/>
        <v>57.8</v>
      </c>
      <c r="G9" s="303">
        <f t="shared" si="2"/>
        <v>57.8</v>
      </c>
      <c r="H9" s="303">
        <f t="shared" si="2"/>
        <v>57.8</v>
      </c>
      <c r="I9" s="303">
        <f t="shared" si="2"/>
        <v>57.8</v>
      </c>
      <c r="J9" s="303">
        <f t="shared" si="2"/>
        <v>57.8</v>
      </c>
      <c r="K9" s="303">
        <f t="shared" si="2"/>
        <v>57.8</v>
      </c>
      <c r="L9" s="303">
        <f t="shared" si="2"/>
        <v>57.8</v>
      </c>
      <c r="M9" s="303">
        <f t="shared" si="2"/>
        <v>57.8</v>
      </c>
      <c r="N9" s="303">
        <f t="shared" si="2"/>
        <v>57.8</v>
      </c>
      <c r="O9" s="303">
        <f t="shared" si="2"/>
        <v>57.8</v>
      </c>
      <c r="P9" s="301">
        <f t="shared" si="3"/>
        <v>57.8</v>
      </c>
      <c r="Q9" s="301">
        <f t="shared" si="3"/>
        <v>57.8</v>
      </c>
      <c r="R9" s="301">
        <f t="shared" si="3"/>
        <v>57.8</v>
      </c>
      <c r="S9" s="301">
        <f t="shared" si="3"/>
        <v>57.8</v>
      </c>
      <c r="T9" s="301">
        <f t="shared" si="3"/>
        <v>57.8</v>
      </c>
      <c r="U9" s="301">
        <f t="shared" si="3"/>
        <v>57.8</v>
      </c>
      <c r="V9" s="301">
        <f t="shared" si="3"/>
        <v>57.8</v>
      </c>
      <c r="W9" s="301">
        <f t="shared" si="3"/>
        <v>57.8</v>
      </c>
      <c r="X9" s="301">
        <f t="shared" si="3"/>
        <v>57.8</v>
      </c>
      <c r="Y9" s="301">
        <f t="shared" si="3"/>
        <v>57.8</v>
      </c>
      <c r="Z9" s="301">
        <f t="shared" si="3"/>
        <v>57.8</v>
      </c>
      <c r="AA9" s="301">
        <f t="shared" si="3"/>
        <v>57.8</v>
      </c>
      <c r="AB9" s="301">
        <f t="shared" si="3"/>
        <v>57.8</v>
      </c>
      <c r="AC9" s="301">
        <f t="shared" si="3"/>
        <v>57.8</v>
      </c>
      <c r="AD9" s="301">
        <f t="shared" si="3"/>
        <v>57.8</v>
      </c>
    </row>
    <row r="10" spans="1:30" x14ac:dyDescent="0.25">
      <c r="A10" s="48">
        <v>0</v>
      </c>
      <c r="B10" t="s">
        <v>293</v>
      </c>
      <c r="C10" s="298">
        <v>50.345712440999996</v>
      </c>
      <c r="D10" s="353">
        <v>51.1</v>
      </c>
      <c r="E10" s="303">
        <f t="shared" si="2"/>
        <v>51.1</v>
      </c>
      <c r="F10" s="303">
        <f t="shared" si="2"/>
        <v>51.1</v>
      </c>
      <c r="G10" s="303">
        <f t="shared" si="2"/>
        <v>51.1</v>
      </c>
      <c r="H10" s="303">
        <f t="shared" si="2"/>
        <v>51.1</v>
      </c>
      <c r="I10" s="303">
        <f t="shared" si="2"/>
        <v>51.1</v>
      </c>
      <c r="J10" s="303">
        <f t="shared" si="2"/>
        <v>51.1</v>
      </c>
      <c r="K10" s="303">
        <f t="shared" si="2"/>
        <v>51.1</v>
      </c>
      <c r="L10" s="303">
        <f t="shared" si="2"/>
        <v>51.1</v>
      </c>
      <c r="M10" s="303">
        <f t="shared" si="2"/>
        <v>51.1</v>
      </c>
      <c r="N10" s="303">
        <f t="shared" si="2"/>
        <v>51.1</v>
      </c>
      <c r="O10" s="303">
        <f t="shared" si="2"/>
        <v>51.1</v>
      </c>
      <c r="P10" s="301">
        <f t="shared" si="3"/>
        <v>51.1</v>
      </c>
      <c r="Q10" s="301">
        <f t="shared" si="3"/>
        <v>51.1</v>
      </c>
      <c r="R10" s="301">
        <f t="shared" si="3"/>
        <v>51.1</v>
      </c>
      <c r="S10" s="301">
        <f t="shared" si="3"/>
        <v>51.1</v>
      </c>
      <c r="T10" s="301">
        <f t="shared" si="3"/>
        <v>51.1</v>
      </c>
      <c r="U10" s="301">
        <f t="shared" si="3"/>
        <v>51.1</v>
      </c>
      <c r="V10" s="301">
        <f t="shared" si="3"/>
        <v>51.1</v>
      </c>
      <c r="W10" s="301">
        <f t="shared" si="3"/>
        <v>51.1</v>
      </c>
      <c r="X10" s="301">
        <f t="shared" si="3"/>
        <v>51.1</v>
      </c>
      <c r="Y10" s="301">
        <f t="shared" si="3"/>
        <v>51.1</v>
      </c>
      <c r="Z10" s="301">
        <f t="shared" si="3"/>
        <v>51.1</v>
      </c>
      <c r="AA10" s="301">
        <f t="shared" si="3"/>
        <v>51.1</v>
      </c>
      <c r="AB10" s="301">
        <f t="shared" si="3"/>
        <v>51.1</v>
      </c>
      <c r="AC10" s="301">
        <f t="shared" si="3"/>
        <v>51.1</v>
      </c>
      <c r="AD10" s="301">
        <f t="shared" si="3"/>
        <v>51.1</v>
      </c>
    </row>
    <row r="11" spans="1:30" x14ac:dyDescent="0.25">
      <c r="A11" s="48">
        <v>0</v>
      </c>
      <c r="B11" t="s">
        <v>294</v>
      </c>
      <c r="C11" s="298">
        <v>124.12974496799998</v>
      </c>
      <c r="D11" s="353">
        <v>103.8</v>
      </c>
      <c r="E11" s="303">
        <f t="shared" si="2"/>
        <v>103.8</v>
      </c>
      <c r="F11" s="303">
        <f t="shared" si="2"/>
        <v>103.8</v>
      </c>
      <c r="G11" s="303">
        <f t="shared" si="2"/>
        <v>103.8</v>
      </c>
      <c r="H11" s="303">
        <f t="shared" si="2"/>
        <v>103.8</v>
      </c>
      <c r="I11" s="303">
        <f t="shared" si="2"/>
        <v>103.8</v>
      </c>
      <c r="J11" s="303">
        <f t="shared" si="2"/>
        <v>103.8</v>
      </c>
      <c r="K11" s="303">
        <f t="shared" si="2"/>
        <v>103.8</v>
      </c>
      <c r="L11" s="303">
        <f t="shared" si="2"/>
        <v>103.8</v>
      </c>
      <c r="M11" s="303">
        <f t="shared" si="2"/>
        <v>103.8</v>
      </c>
      <c r="N11" s="303">
        <f t="shared" si="2"/>
        <v>103.8</v>
      </c>
      <c r="O11" s="303">
        <f>(N11*(1+$A11))</f>
        <v>103.8</v>
      </c>
      <c r="P11" s="301">
        <f t="shared" si="3"/>
        <v>103.8</v>
      </c>
      <c r="Q11" s="301">
        <f t="shared" si="3"/>
        <v>103.8</v>
      </c>
      <c r="R11" s="301">
        <f t="shared" si="3"/>
        <v>103.8</v>
      </c>
      <c r="S11" s="301">
        <f t="shared" si="3"/>
        <v>103.8</v>
      </c>
      <c r="T11" s="301">
        <f t="shared" si="3"/>
        <v>103.8</v>
      </c>
      <c r="U11" s="301">
        <f t="shared" si="3"/>
        <v>103.8</v>
      </c>
      <c r="V11" s="301">
        <f t="shared" si="3"/>
        <v>103.8</v>
      </c>
      <c r="W11" s="301">
        <f t="shared" si="3"/>
        <v>103.8</v>
      </c>
      <c r="X11" s="301">
        <f t="shared" si="3"/>
        <v>103.8</v>
      </c>
      <c r="Y11" s="301">
        <f t="shared" si="3"/>
        <v>103.8</v>
      </c>
      <c r="Z11" s="301">
        <f t="shared" si="3"/>
        <v>103.8</v>
      </c>
      <c r="AA11" s="301">
        <f t="shared" si="3"/>
        <v>103.8</v>
      </c>
      <c r="AB11" s="301">
        <f t="shared" si="3"/>
        <v>103.8</v>
      </c>
      <c r="AC11" s="301">
        <f t="shared" si="3"/>
        <v>103.8</v>
      </c>
      <c r="AD11" s="301">
        <f t="shared" si="3"/>
        <v>103.8</v>
      </c>
    </row>
    <row r="12" spans="1:30" x14ac:dyDescent="0.25">
      <c r="A12" s="48">
        <v>0</v>
      </c>
      <c r="B12" t="s">
        <v>295</v>
      </c>
      <c r="C12" s="298">
        <v>160.92657929699996</v>
      </c>
      <c r="D12" s="353">
        <v>159.19999999999999</v>
      </c>
      <c r="E12" s="303">
        <f t="shared" si="2"/>
        <v>159.19999999999999</v>
      </c>
      <c r="F12" s="303">
        <f t="shared" si="2"/>
        <v>159.19999999999999</v>
      </c>
      <c r="G12" s="303">
        <f t="shared" si="2"/>
        <v>159.19999999999999</v>
      </c>
      <c r="H12" s="303">
        <f t="shared" si="2"/>
        <v>159.19999999999999</v>
      </c>
      <c r="I12" s="303">
        <f t="shared" si="2"/>
        <v>159.19999999999999</v>
      </c>
      <c r="J12" s="303">
        <f t="shared" si="2"/>
        <v>159.19999999999999</v>
      </c>
      <c r="K12" s="303">
        <f t="shared" si="2"/>
        <v>159.19999999999999</v>
      </c>
      <c r="L12" s="303">
        <f t="shared" si="2"/>
        <v>159.19999999999999</v>
      </c>
      <c r="M12" s="303">
        <f t="shared" si="2"/>
        <v>159.19999999999999</v>
      </c>
      <c r="N12" s="303">
        <f t="shared" si="2"/>
        <v>159.19999999999999</v>
      </c>
      <c r="O12" s="303">
        <f t="shared" si="2"/>
        <v>159.19999999999999</v>
      </c>
      <c r="P12" s="301">
        <f t="shared" si="3"/>
        <v>159.19999999999999</v>
      </c>
      <c r="Q12" s="301">
        <f t="shared" si="3"/>
        <v>159.19999999999999</v>
      </c>
      <c r="R12" s="301">
        <f t="shared" si="3"/>
        <v>159.19999999999999</v>
      </c>
      <c r="S12" s="301">
        <f t="shared" si="3"/>
        <v>159.19999999999999</v>
      </c>
      <c r="T12" s="301">
        <f t="shared" si="3"/>
        <v>159.19999999999999</v>
      </c>
      <c r="U12" s="301">
        <f t="shared" si="3"/>
        <v>159.19999999999999</v>
      </c>
      <c r="V12" s="301">
        <f t="shared" si="3"/>
        <v>159.19999999999999</v>
      </c>
      <c r="W12" s="301">
        <f t="shared" si="3"/>
        <v>159.19999999999999</v>
      </c>
      <c r="X12" s="301">
        <f t="shared" si="3"/>
        <v>159.19999999999999</v>
      </c>
      <c r="Y12" s="301">
        <f t="shared" si="3"/>
        <v>159.19999999999999</v>
      </c>
      <c r="Z12" s="301">
        <f t="shared" si="3"/>
        <v>159.19999999999999</v>
      </c>
      <c r="AA12" s="301">
        <f t="shared" si="3"/>
        <v>159.19999999999999</v>
      </c>
      <c r="AB12" s="301">
        <f t="shared" si="3"/>
        <v>159.19999999999999</v>
      </c>
      <c r="AC12" s="301">
        <f t="shared" si="3"/>
        <v>159.19999999999999</v>
      </c>
      <c r="AD12" s="301">
        <f t="shared" si="3"/>
        <v>159.19999999999999</v>
      </c>
    </row>
    <row r="13" spans="1:30" x14ac:dyDescent="0.25">
      <c r="A13" s="48">
        <v>0</v>
      </c>
      <c r="B13" t="s">
        <v>296</v>
      </c>
      <c r="C13" s="298">
        <v>770.46672092699998</v>
      </c>
      <c r="D13" s="353">
        <v>905.8</v>
      </c>
      <c r="E13" s="303">
        <f t="shared" si="2"/>
        <v>905.8</v>
      </c>
      <c r="F13" s="303">
        <f t="shared" si="2"/>
        <v>905.8</v>
      </c>
      <c r="G13" s="303">
        <f t="shared" si="2"/>
        <v>905.8</v>
      </c>
      <c r="H13" s="303">
        <f t="shared" si="2"/>
        <v>905.8</v>
      </c>
      <c r="I13" s="303">
        <f t="shared" si="2"/>
        <v>905.8</v>
      </c>
      <c r="J13" s="303">
        <f t="shared" si="2"/>
        <v>905.8</v>
      </c>
      <c r="K13" s="303">
        <f t="shared" si="2"/>
        <v>905.8</v>
      </c>
      <c r="L13" s="303">
        <f t="shared" si="2"/>
        <v>905.8</v>
      </c>
      <c r="M13" s="303">
        <f t="shared" si="2"/>
        <v>905.8</v>
      </c>
      <c r="N13" s="303">
        <f t="shared" si="2"/>
        <v>905.8</v>
      </c>
      <c r="O13" s="303">
        <f t="shared" si="2"/>
        <v>905.8</v>
      </c>
      <c r="P13" s="301">
        <f t="shared" si="3"/>
        <v>905.8</v>
      </c>
      <c r="Q13" s="301">
        <f t="shared" si="3"/>
        <v>905.8</v>
      </c>
      <c r="R13" s="301">
        <f t="shared" si="3"/>
        <v>905.8</v>
      </c>
      <c r="S13" s="301">
        <f t="shared" si="3"/>
        <v>905.8</v>
      </c>
      <c r="T13" s="301">
        <f t="shared" si="3"/>
        <v>905.8</v>
      </c>
      <c r="U13" s="301">
        <f t="shared" si="3"/>
        <v>905.8</v>
      </c>
      <c r="V13" s="301">
        <f t="shared" si="3"/>
        <v>905.8</v>
      </c>
      <c r="W13" s="301">
        <f t="shared" si="3"/>
        <v>905.8</v>
      </c>
      <c r="X13" s="301">
        <f t="shared" si="3"/>
        <v>905.8</v>
      </c>
      <c r="Y13" s="301">
        <f t="shared" si="3"/>
        <v>905.8</v>
      </c>
      <c r="Z13" s="301">
        <f t="shared" si="3"/>
        <v>905.8</v>
      </c>
      <c r="AA13" s="301">
        <f t="shared" si="3"/>
        <v>905.8</v>
      </c>
      <c r="AB13" s="301">
        <f t="shared" si="3"/>
        <v>905.8</v>
      </c>
      <c r="AC13" s="301">
        <f t="shared" si="3"/>
        <v>905.8</v>
      </c>
      <c r="AD13" s="301">
        <f t="shared" si="3"/>
        <v>905.8</v>
      </c>
    </row>
    <row r="14" spans="1:30" s="307" customFormat="1" ht="15.75" thickBot="1" x14ac:dyDescent="0.3">
      <c r="A14" s="304"/>
      <c r="B14" s="304" t="s">
        <v>121</v>
      </c>
      <c r="C14" s="305">
        <f>SUM(C3:C13)</f>
        <v>5574.404757506999</v>
      </c>
      <c r="D14" s="305">
        <f t="shared" ref="D14:N14" si="4">SUM(D3:D13)</f>
        <v>5818.1000000000013</v>
      </c>
      <c r="E14" s="305">
        <f t="shared" si="4"/>
        <v>6445.7030000000013</v>
      </c>
      <c r="F14" s="305">
        <f t="shared" si="4"/>
        <v>6445.7030000000013</v>
      </c>
      <c r="G14" s="305">
        <f t="shared" si="4"/>
        <v>6445.7030000000013</v>
      </c>
      <c r="H14" s="305">
        <f t="shared" si="4"/>
        <v>6445.7030000000013</v>
      </c>
      <c r="I14" s="305">
        <f t="shared" si="4"/>
        <v>6445.7030000000013</v>
      </c>
      <c r="J14" s="305">
        <f t="shared" si="4"/>
        <v>6445.7030000000013</v>
      </c>
      <c r="K14" s="305">
        <f t="shared" si="4"/>
        <v>6445.7030000000013</v>
      </c>
      <c r="L14" s="305">
        <f t="shared" si="4"/>
        <v>6445.7030000000013</v>
      </c>
      <c r="M14" s="305">
        <f t="shared" si="4"/>
        <v>6445.7030000000013</v>
      </c>
      <c r="N14" s="305">
        <f t="shared" si="4"/>
        <v>6445.7030000000013</v>
      </c>
      <c r="O14" s="305">
        <f>SUM(O3:O13)</f>
        <v>6445.7030000000013</v>
      </c>
      <c r="P14" s="306">
        <f>SUM(P3:P13)</f>
        <v>6445.7030000000013</v>
      </c>
      <c r="Q14" s="306">
        <f t="shared" ref="Q14:AD14" si="5">SUM(Q3:Q13)</f>
        <v>6445.7030000000013</v>
      </c>
      <c r="R14" s="306">
        <f t="shared" si="5"/>
        <v>6445.7030000000013</v>
      </c>
      <c r="S14" s="306">
        <f t="shared" si="5"/>
        <v>6445.7030000000013</v>
      </c>
      <c r="T14" s="306">
        <f t="shared" si="5"/>
        <v>6445.7030000000013</v>
      </c>
      <c r="U14" s="306">
        <f t="shared" si="5"/>
        <v>6445.7030000000013</v>
      </c>
      <c r="V14" s="306">
        <f t="shared" si="5"/>
        <v>6445.7030000000013</v>
      </c>
      <c r="W14" s="306">
        <f t="shared" si="5"/>
        <v>6445.7030000000013</v>
      </c>
      <c r="X14" s="306">
        <f t="shared" si="5"/>
        <v>6445.7030000000013</v>
      </c>
      <c r="Y14" s="306">
        <f t="shared" si="5"/>
        <v>6445.7030000000013</v>
      </c>
      <c r="Z14" s="306">
        <f t="shared" si="5"/>
        <v>6445.7030000000013</v>
      </c>
      <c r="AA14" s="306">
        <f t="shared" si="5"/>
        <v>6445.7030000000013</v>
      </c>
      <c r="AB14" s="306">
        <f t="shared" si="5"/>
        <v>6445.7030000000013</v>
      </c>
      <c r="AC14" s="306">
        <f t="shared" si="5"/>
        <v>6445.7030000000013</v>
      </c>
      <c r="AD14" s="306">
        <f t="shared" si="5"/>
        <v>6445.7030000000013</v>
      </c>
    </row>
    <row r="15" spans="1:30" ht="15.75" thickTop="1" x14ac:dyDescent="0.25">
      <c r="C15" s="87"/>
      <c r="D15" s="13"/>
    </row>
    <row r="16" spans="1:30" x14ac:dyDescent="0.25">
      <c r="A16" s="308" t="s">
        <v>297</v>
      </c>
      <c r="B16" s="9"/>
      <c r="C16" s="309"/>
      <c r="D16" s="309"/>
      <c r="E16" s="309"/>
      <c r="F16" s="309"/>
      <c r="G16" s="9"/>
      <c r="H16" s="9"/>
      <c r="I16" s="9"/>
      <c r="J16" s="9"/>
      <c r="K16" s="9"/>
      <c r="L16" s="9"/>
      <c r="M16" s="9"/>
      <c r="N16" s="9"/>
      <c r="O16" s="9"/>
    </row>
    <row r="17" spans="1:31" x14ac:dyDescent="0.25">
      <c r="B17" t="s">
        <v>298</v>
      </c>
      <c r="C17" s="13">
        <v>0.87</v>
      </c>
      <c r="D17" s="13">
        <v>0.86</v>
      </c>
      <c r="E17" s="13">
        <v>0.85</v>
      </c>
      <c r="F17" s="13">
        <v>0.84</v>
      </c>
      <c r="G17" s="13">
        <v>0.83</v>
      </c>
      <c r="H17" s="13">
        <v>0.82</v>
      </c>
      <c r="I17" s="13">
        <v>0.81</v>
      </c>
      <c r="J17" s="13">
        <v>0.8</v>
      </c>
      <c r="K17" s="13">
        <v>0.78</v>
      </c>
      <c r="L17" s="13">
        <v>0.76</v>
      </c>
      <c r="M17" s="13">
        <v>0.74</v>
      </c>
      <c r="N17" s="13">
        <v>0.72</v>
      </c>
      <c r="O17" s="13">
        <v>0.7</v>
      </c>
      <c r="P17" s="310">
        <v>0.68</v>
      </c>
      <c r="Q17" s="13">
        <v>0.66</v>
      </c>
      <c r="R17" s="310">
        <v>0.64</v>
      </c>
      <c r="S17" s="13">
        <v>0.62</v>
      </c>
      <c r="T17" s="310">
        <v>0.6</v>
      </c>
      <c r="U17" s="13">
        <v>0.56999999999999995</v>
      </c>
      <c r="V17" s="310">
        <v>0.54</v>
      </c>
      <c r="W17" s="13">
        <v>0.51</v>
      </c>
      <c r="X17" s="310">
        <v>0.48</v>
      </c>
      <c r="Y17" s="13">
        <v>0.45</v>
      </c>
      <c r="Z17" s="310">
        <v>0.42</v>
      </c>
      <c r="AA17" s="13">
        <v>0.39</v>
      </c>
      <c r="AB17" s="310">
        <v>0.36</v>
      </c>
      <c r="AC17" s="13">
        <v>0.33</v>
      </c>
      <c r="AD17" s="310">
        <v>0.3</v>
      </c>
    </row>
    <row r="18" spans="1:31" x14ac:dyDescent="0.25">
      <c r="B18" t="s">
        <v>299</v>
      </c>
      <c r="C18" s="13">
        <f>C$17/$C$17</f>
        <v>1</v>
      </c>
      <c r="D18" s="13">
        <f>D$17/$C$17</f>
        <v>0.9885057471264368</v>
      </c>
      <c r="E18" s="13">
        <f>E$17/$C$17</f>
        <v>0.97701149425287359</v>
      </c>
      <c r="F18" s="13">
        <f t="shared" ref="F18:M18" si="6">F$17/$C$17</f>
        <v>0.96551724137931028</v>
      </c>
      <c r="G18" s="13">
        <f t="shared" si="6"/>
        <v>0.95402298850574707</v>
      </c>
      <c r="H18" s="13">
        <f t="shared" si="6"/>
        <v>0.94252873563218387</v>
      </c>
      <c r="I18" s="13">
        <f t="shared" si="6"/>
        <v>0.93103448275862077</v>
      </c>
      <c r="J18" s="13">
        <f t="shared" si="6"/>
        <v>0.91954022988505757</v>
      </c>
      <c r="K18" s="13">
        <f t="shared" si="6"/>
        <v>0.89655172413793105</v>
      </c>
      <c r="L18" s="13">
        <f t="shared" si="6"/>
        <v>0.87356321839080464</v>
      </c>
      <c r="M18" s="13">
        <f t="shared" si="6"/>
        <v>0.85057471264367812</v>
      </c>
      <c r="N18" s="13">
        <f>N$17/$C$17</f>
        <v>0.82758620689655171</v>
      </c>
      <c r="O18" s="13">
        <f>O$17/$C$17</f>
        <v>0.80459770114942519</v>
      </c>
      <c r="P18" s="311">
        <f>P$17/$C$17</f>
        <v>0.7816091954022989</v>
      </c>
      <c r="Q18" s="311">
        <f>Q$17/$C$17</f>
        <v>0.75862068965517249</v>
      </c>
      <c r="R18" s="311">
        <f t="shared" ref="R18:AD18" si="7">R$17/$C$17</f>
        <v>0.73563218390804597</v>
      </c>
      <c r="S18" s="311">
        <f t="shared" si="7"/>
        <v>0.71264367816091956</v>
      </c>
      <c r="T18" s="311">
        <f t="shared" si="7"/>
        <v>0.68965517241379304</v>
      </c>
      <c r="U18" s="311">
        <f t="shared" si="7"/>
        <v>0.65517241379310343</v>
      </c>
      <c r="V18" s="311">
        <f t="shared" si="7"/>
        <v>0.62068965517241381</v>
      </c>
      <c r="W18" s="311">
        <f t="shared" si="7"/>
        <v>0.5862068965517242</v>
      </c>
      <c r="X18" s="311">
        <f t="shared" si="7"/>
        <v>0.55172413793103448</v>
      </c>
      <c r="Y18" s="311">
        <f t="shared" si="7"/>
        <v>0.51724137931034486</v>
      </c>
      <c r="Z18" s="311">
        <f t="shared" si="7"/>
        <v>0.48275862068965514</v>
      </c>
      <c r="AA18" s="311">
        <f t="shared" si="7"/>
        <v>0.44827586206896552</v>
      </c>
      <c r="AB18" s="311">
        <f t="shared" si="7"/>
        <v>0.41379310344827586</v>
      </c>
      <c r="AC18" s="311">
        <f t="shared" si="7"/>
        <v>0.37931034482758624</v>
      </c>
      <c r="AD18" s="311">
        <f t="shared" si="7"/>
        <v>0.34482758620689652</v>
      </c>
    </row>
    <row r="19" spans="1:31" x14ac:dyDescent="0.25">
      <c r="B19" t="s">
        <v>300</v>
      </c>
      <c r="C19" s="13">
        <v>0.56999999999999995</v>
      </c>
      <c r="D19" s="13">
        <v>0.56000000000000005</v>
      </c>
      <c r="E19" s="13">
        <v>0.55000000000000004</v>
      </c>
      <c r="F19" s="13">
        <v>0.54</v>
      </c>
      <c r="G19" s="13">
        <v>0.53</v>
      </c>
      <c r="H19" s="13">
        <v>0.52</v>
      </c>
      <c r="I19" s="13">
        <v>0.51</v>
      </c>
      <c r="J19" s="13">
        <v>0.5</v>
      </c>
      <c r="K19" s="13">
        <v>0.48</v>
      </c>
      <c r="L19" s="13">
        <v>0.46</v>
      </c>
      <c r="M19" s="13">
        <v>0.44</v>
      </c>
      <c r="N19" s="13">
        <v>0.42</v>
      </c>
      <c r="O19" s="13">
        <v>0.4</v>
      </c>
      <c r="P19" s="13">
        <v>0.38</v>
      </c>
      <c r="Q19" s="13">
        <v>0.36</v>
      </c>
      <c r="R19" s="13">
        <v>0.34</v>
      </c>
      <c r="S19" s="13">
        <v>0.32</v>
      </c>
      <c r="T19" s="13">
        <v>0.3</v>
      </c>
      <c r="U19" s="13">
        <v>0.27</v>
      </c>
      <c r="V19" s="13">
        <v>0.24</v>
      </c>
      <c r="W19" s="13">
        <v>0.21</v>
      </c>
      <c r="X19" s="13">
        <v>0.18</v>
      </c>
      <c r="Y19" s="13">
        <v>0.15</v>
      </c>
      <c r="Z19" s="13">
        <v>0.12</v>
      </c>
      <c r="AA19" s="13">
        <v>0.09</v>
      </c>
      <c r="AB19" s="13">
        <v>0.06</v>
      </c>
      <c r="AC19" s="13">
        <v>0.03</v>
      </c>
      <c r="AD19" s="13">
        <v>0</v>
      </c>
    </row>
    <row r="20" spans="1:31" x14ac:dyDescent="0.25">
      <c r="B20" t="s">
        <v>301</v>
      </c>
      <c r="C20" s="13">
        <f>C$19/$C$19</f>
        <v>1</v>
      </c>
      <c r="D20" s="13">
        <f>D19/$C$19</f>
        <v>0.98245614035087736</v>
      </c>
      <c r="E20" s="13">
        <f>E19/$C$19</f>
        <v>0.9649122807017545</v>
      </c>
      <c r="F20" s="13">
        <f t="shared" ref="F20:M20" si="8">F19/$C$19</f>
        <v>0.94736842105263175</v>
      </c>
      <c r="G20" s="13">
        <f>G19/$C$19</f>
        <v>0.92982456140350889</v>
      </c>
      <c r="H20" s="13">
        <f t="shared" si="8"/>
        <v>0.91228070175438603</v>
      </c>
      <c r="I20" s="13">
        <f t="shared" si="8"/>
        <v>0.89473684210526327</v>
      </c>
      <c r="J20" s="13">
        <f t="shared" si="8"/>
        <v>0.87719298245614041</v>
      </c>
      <c r="K20" s="13">
        <f t="shared" si="8"/>
        <v>0.8421052631578948</v>
      </c>
      <c r="L20" s="13">
        <f t="shared" si="8"/>
        <v>0.80701754385964919</v>
      </c>
      <c r="M20" s="13">
        <f t="shared" si="8"/>
        <v>0.77192982456140358</v>
      </c>
      <c r="N20" s="13">
        <f>N19/$C$19</f>
        <v>0.73684210526315796</v>
      </c>
      <c r="O20" s="13">
        <f>O19/$C$19</f>
        <v>0.70175438596491235</v>
      </c>
      <c r="P20" s="13">
        <f t="shared" ref="P20:AD20" si="9">P19/$C$19</f>
        <v>0.66666666666666674</v>
      </c>
      <c r="Q20" s="13">
        <f t="shared" si="9"/>
        <v>0.63157894736842113</v>
      </c>
      <c r="R20" s="13">
        <f t="shared" si="9"/>
        <v>0.59649122807017552</v>
      </c>
      <c r="S20" s="13">
        <f t="shared" si="9"/>
        <v>0.5614035087719299</v>
      </c>
      <c r="T20" s="13">
        <f t="shared" si="9"/>
        <v>0.52631578947368418</v>
      </c>
      <c r="U20" s="13">
        <f t="shared" si="9"/>
        <v>0.47368421052631587</v>
      </c>
      <c r="V20" s="13">
        <f t="shared" si="9"/>
        <v>0.4210526315789474</v>
      </c>
      <c r="W20" s="13">
        <f t="shared" si="9"/>
        <v>0.36842105263157898</v>
      </c>
      <c r="X20" s="13">
        <f t="shared" si="9"/>
        <v>0.31578947368421056</v>
      </c>
      <c r="Y20" s="13">
        <f t="shared" si="9"/>
        <v>0.26315789473684209</v>
      </c>
      <c r="Z20" s="13">
        <f t="shared" si="9"/>
        <v>0.2105263157894737</v>
      </c>
      <c r="AA20" s="13">
        <f t="shared" si="9"/>
        <v>0.15789473684210528</v>
      </c>
      <c r="AB20" s="13">
        <f t="shared" si="9"/>
        <v>0.10526315789473685</v>
      </c>
      <c r="AC20" s="13">
        <f t="shared" si="9"/>
        <v>5.2631578947368425E-2</v>
      </c>
      <c r="AD20" s="13">
        <f t="shared" si="9"/>
        <v>0</v>
      </c>
    </row>
    <row r="21" spans="1:31" x14ac:dyDescent="0.25">
      <c r="A21" s="184" t="s">
        <v>302</v>
      </c>
      <c r="B21" s="312" t="s">
        <v>286</v>
      </c>
      <c r="C21" s="313">
        <f>C3</f>
        <v>593.13300000000004</v>
      </c>
      <c r="D21" s="313">
        <f t="shared" ref="C21:T26" si="10">D3*D$18</f>
        <v>731.29655172413788</v>
      </c>
      <c r="E21" s="313">
        <f>E3*E$17</f>
        <v>1162.2925499999999</v>
      </c>
      <c r="F21" s="313">
        <f t="shared" ref="F21:N21" si="11">F3*F$17</f>
        <v>1148.61852</v>
      </c>
      <c r="G21" s="313">
        <f t="shared" si="11"/>
        <v>1134.9444899999999</v>
      </c>
      <c r="H21" s="313">
        <f t="shared" si="11"/>
        <v>1121.27046</v>
      </c>
      <c r="I21" s="313">
        <f t="shared" si="11"/>
        <v>1107.5964300000001</v>
      </c>
      <c r="J21" s="313">
        <f t="shared" si="11"/>
        <v>1093.9224000000002</v>
      </c>
      <c r="K21" s="313">
        <f t="shared" si="11"/>
        <v>1066.5743400000001</v>
      </c>
      <c r="L21" s="313">
        <f t="shared" si="11"/>
        <v>1039.2262800000001</v>
      </c>
      <c r="M21" s="313">
        <f t="shared" si="11"/>
        <v>1011.8782200000001</v>
      </c>
      <c r="N21" s="313">
        <f t="shared" si="11"/>
        <v>984.53016000000002</v>
      </c>
      <c r="O21" s="313">
        <f>O3*O$17</f>
        <v>957.18209999999999</v>
      </c>
      <c r="P21" s="313">
        <f t="shared" ref="P21:AD21" si="12">P3*P$17</f>
        <v>929.83404000000007</v>
      </c>
      <c r="Q21" s="313">
        <f t="shared" si="12"/>
        <v>902.48598000000004</v>
      </c>
      <c r="R21" s="313">
        <f t="shared" si="12"/>
        <v>875.13792000000001</v>
      </c>
      <c r="S21" s="313">
        <f t="shared" si="12"/>
        <v>847.78985999999998</v>
      </c>
      <c r="T21" s="313">
        <f t="shared" si="12"/>
        <v>820.44179999999994</v>
      </c>
      <c r="U21" s="313">
        <f t="shared" si="12"/>
        <v>779.4197099999999</v>
      </c>
      <c r="V21" s="313">
        <f t="shared" si="12"/>
        <v>738.39762000000007</v>
      </c>
      <c r="W21" s="313">
        <f t="shared" si="12"/>
        <v>697.37553000000003</v>
      </c>
      <c r="X21" s="313">
        <f t="shared" si="12"/>
        <v>656.35343999999998</v>
      </c>
      <c r="Y21" s="313">
        <f t="shared" si="12"/>
        <v>615.33135000000004</v>
      </c>
      <c r="Z21" s="313">
        <f t="shared" si="12"/>
        <v>574.30925999999999</v>
      </c>
      <c r="AA21" s="313">
        <f t="shared" si="12"/>
        <v>533.28717000000006</v>
      </c>
      <c r="AB21" s="313">
        <f t="shared" si="12"/>
        <v>492.26508000000001</v>
      </c>
      <c r="AC21" s="313">
        <f t="shared" si="12"/>
        <v>451.24299000000002</v>
      </c>
      <c r="AD21" s="313">
        <f t="shared" si="12"/>
        <v>410.22089999999997</v>
      </c>
    </row>
    <row r="22" spans="1:31" x14ac:dyDescent="0.25">
      <c r="A22" s="184"/>
      <c r="B22" s="314" t="s">
        <v>287</v>
      </c>
      <c r="C22" s="315">
        <f t="shared" si="10"/>
        <v>654.37487714399992</v>
      </c>
      <c r="D22" s="316">
        <f t="shared" si="10"/>
        <v>604.17471264367816</v>
      </c>
      <c r="E22" s="316">
        <f>E4*E$18</f>
        <v>597.14942528735639</v>
      </c>
      <c r="F22" s="316">
        <f t="shared" si="10"/>
        <v>590.12413793103451</v>
      </c>
      <c r="G22" s="316">
        <f t="shared" si="10"/>
        <v>583.09885057471263</v>
      </c>
      <c r="H22" s="316">
        <f t="shared" si="10"/>
        <v>576.07356321839086</v>
      </c>
      <c r="I22" s="316">
        <f t="shared" si="10"/>
        <v>569.04827586206909</v>
      </c>
      <c r="J22" s="316">
        <f t="shared" si="10"/>
        <v>562.02298850574721</v>
      </c>
      <c r="K22" s="316">
        <f t="shared" si="10"/>
        <v>547.97241379310344</v>
      </c>
      <c r="L22" s="316">
        <f t="shared" si="10"/>
        <v>533.92183908045979</v>
      </c>
      <c r="M22" s="316">
        <f t="shared" si="10"/>
        <v>519.87126436781614</v>
      </c>
      <c r="N22" s="316">
        <f t="shared" si="10"/>
        <v>505.82068965517243</v>
      </c>
      <c r="O22" s="316">
        <f>O4*O$18</f>
        <v>491.77011494252872</v>
      </c>
      <c r="P22" s="316">
        <f t="shared" si="10"/>
        <v>477.71954022988513</v>
      </c>
      <c r="Q22" s="316">
        <f t="shared" si="10"/>
        <v>463.66896551724147</v>
      </c>
      <c r="R22" s="316">
        <f t="shared" si="10"/>
        <v>449.61839080459771</v>
      </c>
      <c r="S22" s="316">
        <f t="shared" si="10"/>
        <v>435.56781609195406</v>
      </c>
      <c r="T22" s="316">
        <f t="shared" si="10"/>
        <v>421.51724137931035</v>
      </c>
      <c r="U22" s="316">
        <f t="shared" ref="S22:AD26" si="13">U4*U$18</f>
        <v>400.44137931034487</v>
      </c>
      <c r="V22" s="316">
        <f t="shared" si="13"/>
        <v>379.36551724137934</v>
      </c>
      <c r="W22" s="316">
        <f t="shared" si="13"/>
        <v>358.28965517241386</v>
      </c>
      <c r="X22" s="316">
        <f t="shared" si="13"/>
        <v>337.21379310344832</v>
      </c>
      <c r="Y22" s="316">
        <f t="shared" si="13"/>
        <v>316.13793103448279</v>
      </c>
      <c r="Z22" s="316">
        <f t="shared" si="13"/>
        <v>295.06206896551726</v>
      </c>
      <c r="AA22" s="316">
        <f t="shared" si="13"/>
        <v>273.98620689655172</v>
      </c>
      <c r="AB22" s="316">
        <f>AB4*AB$18</f>
        <v>252.91034482758621</v>
      </c>
      <c r="AC22" s="316">
        <f t="shared" si="13"/>
        <v>231.83448275862074</v>
      </c>
      <c r="AD22" s="316">
        <f t="shared" si="13"/>
        <v>210.75862068965517</v>
      </c>
    </row>
    <row r="23" spans="1:31" x14ac:dyDescent="0.25">
      <c r="A23" s="184"/>
      <c r="B23" s="314" t="s">
        <v>288</v>
      </c>
      <c r="C23" s="315">
        <f t="shared" si="10"/>
        <v>1825.7309088150002</v>
      </c>
      <c r="D23" s="316">
        <f t="shared" si="10"/>
        <v>1832.6896551724137</v>
      </c>
      <c r="E23" s="316">
        <f>E5*E$18</f>
        <v>1811.3793103448277</v>
      </c>
      <c r="F23" s="316">
        <f t="shared" si="10"/>
        <v>1790.0689655172412</v>
      </c>
      <c r="G23" s="316">
        <f t="shared" si="10"/>
        <v>1768.7586206896551</v>
      </c>
      <c r="H23" s="316">
        <f t="shared" si="10"/>
        <v>1747.4482758620688</v>
      </c>
      <c r="I23" s="316">
        <f t="shared" si="10"/>
        <v>1726.137931034483</v>
      </c>
      <c r="J23" s="316">
        <f t="shared" si="10"/>
        <v>1704.8275862068967</v>
      </c>
      <c r="K23" s="316">
        <f t="shared" si="10"/>
        <v>1662.2068965517242</v>
      </c>
      <c r="L23" s="316">
        <f t="shared" si="10"/>
        <v>1619.5862068965519</v>
      </c>
      <c r="M23" s="316">
        <f t="shared" si="10"/>
        <v>1576.9655172413793</v>
      </c>
      <c r="N23" s="316">
        <f t="shared" si="10"/>
        <v>1534.344827586207</v>
      </c>
      <c r="O23" s="316">
        <f t="shared" si="10"/>
        <v>1491.7241379310344</v>
      </c>
      <c r="P23" s="316">
        <f t="shared" si="10"/>
        <v>1449.1034482758621</v>
      </c>
      <c r="Q23" s="316">
        <f t="shared" si="10"/>
        <v>1406.4827586206898</v>
      </c>
      <c r="R23" s="316">
        <f t="shared" si="10"/>
        <v>1363.8620689655172</v>
      </c>
      <c r="S23" s="316">
        <f t="shared" si="13"/>
        <v>1321.2413793103449</v>
      </c>
      <c r="T23" s="316">
        <f t="shared" si="13"/>
        <v>1278.6206896551723</v>
      </c>
      <c r="U23" s="316">
        <f t="shared" si="13"/>
        <v>1214.6896551724137</v>
      </c>
      <c r="V23" s="316">
        <f>V5*V$18</f>
        <v>1150.7586206896551</v>
      </c>
      <c r="W23" s="316">
        <f t="shared" si="13"/>
        <v>1086.8275862068967</v>
      </c>
      <c r="X23" s="316">
        <f t="shared" si="13"/>
        <v>1022.8965517241379</v>
      </c>
      <c r="Y23" s="316">
        <f t="shared" si="13"/>
        <v>958.96551724137942</v>
      </c>
      <c r="Z23" s="316">
        <f t="shared" si="13"/>
        <v>895.03448275862058</v>
      </c>
      <c r="AA23" s="316">
        <f t="shared" si="13"/>
        <v>831.10344827586209</v>
      </c>
      <c r="AB23" s="316">
        <f t="shared" si="13"/>
        <v>767.17241379310349</v>
      </c>
      <c r="AC23" s="316">
        <f t="shared" si="13"/>
        <v>703.24137931034488</v>
      </c>
      <c r="AD23" s="316">
        <f t="shared" si="13"/>
        <v>639.31034482758616</v>
      </c>
    </row>
    <row r="24" spans="1:31" x14ac:dyDescent="0.25">
      <c r="A24" s="184"/>
      <c r="B24" s="314" t="s">
        <v>289</v>
      </c>
      <c r="C24" s="315">
        <f t="shared" si="10"/>
        <v>988.76606413800005</v>
      </c>
      <c r="D24" s="316">
        <f t="shared" si="10"/>
        <v>984.15632183908053</v>
      </c>
      <c r="E24" s="316">
        <f t="shared" si="10"/>
        <v>972.71264367816093</v>
      </c>
      <c r="F24" s="316">
        <f t="shared" si="10"/>
        <v>961.26896551724133</v>
      </c>
      <c r="G24" s="316">
        <f t="shared" si="10"/>
        <v>949.82528735632184</v>
      </c>
      <c r="H24" s="316">
        <f t="shared" si="10"/>
        <v>938.38160919540223</v>
      </c>
      <c r="I24" s="316">
        <f t="shared" si="10"/>
        <v>926.93793103448286</v>
      </c>
      <c r="J24" s="316">
        <f t="shared" si="10"/>
        <v>915.49425287356337</v>
      </c>
      <c r="K24" s="316">
        <f t="shared" si="10"/>
        <v>892.60689655172416</v>
      </c>
      <c r="L24" s="316">
        <f t="shared" si="10"/>
        <v>869.71954022988507</v>
      </c>
      <c r="M24" s="316">
        <f t="shared" si="10"/>
        <v>846.83218390804598</v>
      </c>
      <c r="N24" s="316">
        <f t="shared" si="10"/>
        <v>823.94482758620688</v>
      </c>
      <c r="O24" s="316">
        <f t="shared" si="10"/>
        <v>801.05747126436779</v>
      </c>
      <c r="P24" s="316">
        <f t="shared" si="10"/>
        <v>778.17011494252881</v>
      </c>
      <c r="Q24" s="316">
        <f t="shared" si="10"/>
        <v>755.28275862068972</v>
      </c>
      <c r="R24" s="316">
        <f t="shared" si="10"/>
        <v>732.39540229885063</v>
      </c>
      <c r="S24" s="316">
        <f t="shared" si="13"/>
        <v>709.50804597701153</v>
      </c>
      <c r="T24" s="316">
        <f t="shared" si="13"/>
        <v>686.62068965517233</v>
      </c>
      <c r="U24" s="316">
        <f t="shared" si="13"/>
        <v>652.28965517241375</v>
      </c>
      <c r="V24" s="316">
        <f t="shared" si="13"/>
        <v>617.95862068965516</v>
      </c>
      <c r="W24" s="316">
        <f t="shared" si="13"/>
        <v>583.62758620689658</v>
      </c>
      <c r="X24" s="316">
        <f t="shared" si="13"/>
        <v>549.29655172413788</v>
      </c>
      <c r="Y24" s="316">
        <f t="shared" si="13"/>
        <v>514.9655172413793</v>
      </c>
      <c r="Z24" s="316">
        <f t="shared" si="13"/>
        <v>480.63448275862066</v>
      </c>
      <c r="AA24" s="316">
        <f t="shared" si="13"/>
        <v>446.30344827586208</v>
      </c>
      <c r="AB24" s="316">
        <f t="shared" si="13"/>
        <v>411.97241379310344</v>
      </c>
      <c r="AC24" s="316">
        <f t="shared" si="13"/>
        <v>377.64137931034486</v>
      </c>
      <c r="AD24" s="316">
        <f t="shared" si="13"/>
        <v>343.31034482758616</v>
      </c>
    </row>
    <row r="25" spans="1:31" x14ac:dyDescent="0.25">
      <c r="A25" s="184"/>
      <c r="B25" s="184" t="s">
        <v>290</v>
      </c>
      <c r="C25" s="317">
        <f t="shared" si="10"/>
        <v>19.741015923000003</v>
      </c>
      <c r="D25" s="317">
        <f t="shared" si="10"/>
        <v>20.758620689655174</v>
      </c>
      <c r="E25" s="317">
        <f t="shared" si="10"/>
        <v>20.517241379310345</v>
      </c>
      <c r="F25" s="317">
        <f t="shared" si="10"/>
        <v>20.275862068965516</v>
      </c>
      <c r="G25" s="317">
        <f t="shared" si="10"/>
        <v>20.034482758620687</v>
      </c>
      <c r="H25" s="317">
        <f t="shared" si="10"/>
        <v>19.793103448275861</v>
      </c>
      <c r="I25" s="317">
        <f t="shared" si="10"/>
        <v>19.551724137931036</v>
      </c>
      <c r="J25" s="317">
        <f t="shared" si="10"/>
        <v>19.31034482758621</v>
      </c>
      <c r="K25" s="317">
        <f t="shared" si="10"/>
        <v>18.827586206896552</v>
      </c>
      <c r="L25" s="317">
        <f t="shared" si="10"/>
        <v>18.344827586206897</v>
      </c>
      <c r="M25" s="317">
        <f t="shared" si="10"/>
        <v>17.862068965517242</v>
      </c>
      <c r="N25" s="317">
        <f t="shared" si="10"/>
        <v>17.379310344827587</v>
      </c>
      <c r="O25" s="317">
        <f t="shared" si="10"/>
        <v>16.896551724137929</v>
      </c>
      <c r="P25" s="317">
        <f t="shared" si="10"/>
        <v>16.413793103448278</v>
      </c>
      <c r="Q25" s="317">
        <f t="shared" si="10"/>
        <v>15.931034482758623</v>
      </c>
      <c r="R25" s="317">
        <f t="shared" si="10"/>
        <v>15.448275862068964</v>
      </c>
      <c r="S25" s="317">
        <f t="shared" si="13"/>
        <v>14.965517241379311</v>
      </c>
      <c r="T25" s="317">
        <f t="shared" si="13"/>
        <v>14.482758620689653</v>
      </c>
      <c r="U25" s="317">
        <f t="shared" si="13"/>
        <v>13.758620689655173</v>
      </c>
      <c r="V25" s="317">
        <f t="shared" si="13"/>
        <v>13.03448275862069</v>
      </c>
      <c r="W25" s="317">
        <f t="shared" si="13"/>
        <v>12.310344827586208</v>
      </c>
      <c r="X25" s="317">
        <f t="shared" si="13"/>
        <v>11.586206896551724</v>
      </c>
      <c r="Y25" s="317">
        <f t="shared" si="13"/>
        <v>10.862068965517242</v>
      </c>
      <c r="Z25" s="317">
        <f t="shared" si="13"/>
        <v>10.137931034482758</v>
      </c>
      <c r="AA25" s="317">
        <f t="shared" si="13"/>
        <v>9.4137931034482758</v>
      </c>
      <c r="AB25" s="317">
        <f t="shared" si="13"/>
        <v>8.6896551724137936</v>
      </c>
      <c r="AC25" s="317">
        <f>AC7*AC$18</f>
        <v>7.9655172413793114</v>
      </c>
      <c r="AD25" s="317">
        <f t="shared" si="13"/>
        <v>7.2413793103448265</v>
      </c>
    </row>
    <row r="26" spans="1:31" x14ac:dyDescent="0.25">
      <c r="A26" s="184"/>
      <c r="B26" s="314" t="s">
        <v>291</v>
      </c>
      <c r="C26" s="315">
        <f t="shared" si="10"/>
        <v>331.15706761199999</v>
      </c>
      <c r="D26" s="316">
        <f t="shared" si="10"/>
        <v>315.13563218390806</v>
      </c>
      <c r="E26" s="316">
        <f t="shared" si="10"/>
        <v>311.4712643678161</v>
      </c>
      <c r="F26" s="316">
        <f t="shared" si="10"/>
        <v>307.80689655172415</v>
      </c>
      <c r="G26" s="316">
        <f t="shared" si="10"/>
        <v>304.1425287356322</v>
      </c>
      <c r="H26" s="316">
        <f t="shared" si="10"/>
        <v>300.47816091954024</v>
      </c>
      <c r="I26" s="316">
        <f t="shared" si="10"/>
        <v>296.81379310344829</v>
      </c>
      <c r="J26" s="316">
        <f t="shared" si="10"/>
        <v>293.14942528735634</v>
      </c>
      <c r="K26" s="316">
        <f t="shared" si="10"/>
        <v>285.82068965517243</v>
      </c>
      <c r="L26" s="316">
        <f t="shared" si="10"/>
        <v>278.49195402298852</v>
      </c>
      <c r="M26" s="316">
        <f t="shared" si="10"/>
        <v>271.16321839080462</v>
      </c>
      <c r="N26" s="316">
        <f t="shared" si="10"/>
        <v>263.83448275862071</v>
      </c>
      <c r="O26" s="316">
        <f t="shared" si="10"/>
        <v>256.50574712643675</v>
      </c>
      <c r="P26" s="316">
        <f t="shared" si="10"/>
        <v>249.17701149425289</v>
      </c>
      <c r="Q26" s="316">
        <f t="shared" si="10"/>
        <v>241.84827586206899</v>
      </c>
      <c r="R26" s="316">
        <f t="shared" si="10"/>
        <v>234.51954022988505</v>
      </c>
      <c r="S26" s="316">
        <f t="shared" si="13"/>
        <v>227.19080459770117</v>
      </c>
      <c r="T26" s="316">
        <f t="shared" si="13"/>
        <v>219.86206896551724</v>
      </c>
      <c r="U26" s="316">
        <f t="shared" si="13"/>
        <v>208.86896551724138</v>
      </c>
      <c r="V26" s="316">
        <f t="shared" si="13"/>
        <v>197.87586206896552</v>
      </c>
      <c r="W26" s="316">
        <f t="shared" si="13"/>
        <v>186.88275862068969</v>
      </c>
      <c r="X26" s="316">
        <f t="shared" si="13"/>
        <v>175.8896551724138</v>
      </c>
      <c r="Y26" s="316">
        <f t="shared" si="13"/>
        <v>164.89655172413794</v>
      </c>
      <c r="Z26" s="316">
        <f t="shared" si="13"/>
        <v>153.90344827586208</v>
      </c>
      <c r="AA26" s="316">
        <f t="shared" si="13"/>
        <v>142.91034482758621</v>
      </c>
      <c r="AB26" s="316">
        <f t="shared" si="13"/>
        <v>131.91724137931035</v>
      </c>
      <c r="AC26" s="316">
        <f t="shared" si="13"/>
        <v>120.92413793103449</v>
      </c>
      <c r="AD26" s="316">
        <f t="shared" si="13"/>
        <v>109.93103448275862</v>
      </c>
    </row>
    <row r="27" spans="1:31" x14ac:dyDescent="0.25">
      <c r="A27" s="241" t="s">
        <v>303</v>
      </c>
      <c r="B27" s="241" t="s">
        <v>292</v>
      </c>
      <c r="C27" s="318">
        <f t="shared" ref="C27:AC31" si="14">C9*C$20</f>
        <v>55.633066241999998</v>
      </c>
      <c r="D27" s="318">
        <f t="shared" si="14"/>
        <v>56.785964912280711</v>
      </c>
      <c r="E27" s="318">
        <f t="shared" si="14"/>
        <v>55.771929824561404</v>
      </c>
      <c r="F27" s="318">
        <f t="shared" si="14"/>
        <v>54.757894736842111</v>
      </c>
      <c r="G27" s="318">
        <f t="shared" si="14"/>
        <v>53.743859649122811</v>
      </c>
      <c r="H27" s="318">
        <f t="shared" si="14"/>
        <v>52.729824561403511</v>
      </c>
      <c r="I27" s="318">
        <f t="shared" si="14"/>
        <v>51.715789473684218</v>
      </c>
      <c r="J27" s="318">
        <f t="shared" si="14"/>
        <v>50.701754385964911</v>
      </c>
      <c r="K27" s="318">
        <f t="shared" si="14"/>
        <v>48.673684210526318</v>
      </c>
      <c r="L27" s="318">
        <f t="shared" si="14"/>
        <v>46.645614035087718</v>
      </c>
      <c r="M27" s="318">
        <f t="shared" si="14"/>
        <v>44.617543859649125</v>
      </c>
      <c r="N27" s="318">
        <f t="shared" si="14"/>
        <v>42.589473684210532</v>
      </c>
      <c r="O27" s="318">
        <f t="shared" si="14"/>
        <v>40.561403508771932</v>
      </c>
      <c r="P27" s="318">
        <f t="shared" si="14"/>
        <v>38.533333333333339</v>
      </c>
      <c r="Q27" s="318">
        <f t="shared" si="14"/>
        <v>36.505263157894738</v>
      </c>
      <c r="R27" s="318">
        <f t="shared" si="14"/>
        <v>34.477192982456145</v>
      </c>
      <c r="S27" s="318">
        <f t="shared" si="14"/>
        <v>32.449122807017545</v>
      </c>
      <c r="T27" s="318">
        <f t="shared" si="14"/>
        <v>30.421052631578945</v>
      </c>
      <c r="U27" s="318">
        <f t="shared" si="14"/>
        <v>27.378947368421056</v>
      </c>
      <c r="V27" s="318">
        <f t="shared" si="14"/>
        <v>24.336842105263159</v>
      </c>
      <c r="W27" s="318">
        <f t="shared" si="14"/>
        <v>21.294736842105266</v>
      </c>
      <c r="X27" s="318">
        <f t="shared" si="14"/>
        <v>18.252631578947369</v>
      </c>
      <c r="Y27" s="318">
        <f t="shared" si="14"/>
        <v>15.210526315789473</v>
      </c>
      <c r="Z27" s="318">
        <f t="shared" si="14"/>
        <v>12.168421052631579</v>
      </c>
      <c r="AA27" s="318">
        <f t="shared" si="14"/>
        <v>9.1263157894736846</v>
      </c>
      <c r="AB27" s="318">
        <f t="shared" si="14"/>
        <v>6.0842105263157897</v>
      </c>
      <c r="AC27" s="318">
        <f t="shared" si="14"/>
        <v>3.0421052631578949</v>
      </c>
      <c r="AD27" s="318">
        <f>AD9*AD$20</f>
        <v>0</v>
      </c>
    </row>
    <row r="28" spans="1:31" x14ac:dyDescent="0.25">
      <c r="A28" s="241"/>
      <c r="B28" s="241" t="s">
        <v>293</v>
      </c>
      <c r="C28" s="318">
        <f t="shared" si="14"/>
        <v>50.345712440999996</v>
      </c>
      <c r="D28" s="318">
        <f t="shared" si="14"/>
        <v>50.203508771929833</v>
      </c>
      <c r="E28" s="318">
        <f t="shared" si="14"/>
        <v>49.307017543859658</v>
      </c>
      <c r="F28" s="318">
        <f t="shared" si="14"/>
        <v>48.410526315789483</v>
      </c>
      <c r="G28" s="318">
        <f t="shared" si="14"/>
        <v>47.514035087719307</v>
      </c>
      <c r="H28" s="318">
        <f t="shared" si="14"/>
        <v>46.617543859649125</v>
      </c>
      <c r="I28" s="318">
        <f t="shared" si="14"/>
        <v>45.721052631578956</v>
      </c>
      <c r="J28" s="318">
        <f t="shared" si="14"/>
        <v>44.824561403508774</v>
      </c>
      <c r="K28" s="318">
        <f t="shared" si="14"/>
        <v>43.031578947368423</v>
      </c>
      <c r="L28" s="318">
        <f t="shared" si="14"/>
        <v>41.238596491228073</v>
      </c>
      <c r="M28" s="318">
        <f t="shared" si="14"/>
        <v>39.445614035087722</v>
      </c>
      <c r="N28" s="318">
        <f t="shared" si="14"/>
        <v>37.652631578947371</v>
      </c>
      <c r="O28" s="318">
        <f t="shared" si="14"/>
        <v>35.859649122807021</v>
      </c>
      <c r="P28" s="318">
        <f t="shared" si="14"/>
        <v>34.06666666666667</v>
      </c>
      <c r="Q28" s="318">
        <f t="shared" si="14"/>
        <v>32.273684210526319</v>
      </c>
      <c r="R28" s="318">
        <f t="shared" si="14"/>
        <v>30.480701754385969</v>
      </c>
      <c r="S28" s="318">
        <f t="shared" si="14"/>
        <v>28.687719298245618</v>
      </c>
      <c r="T28" s="318">
        <f t="shared" si="14"/>
        <v>26.894736842105264</v>
      </c>
      <c r="U28" s="318">
        <f t="shared" si="14"/>
        <v>24.205263157894741</v>
      </c>
      <c r="V28" s="318">
        <f t="shared" si="14"/>
        <v>21.515789473684212</v>
      </c>
      <c r="W28" s="318">
        <f t="shared" si="14"/>
        <v>18.826315789473686</v>
      </c>
      <c r="X28" s="318">
        <f t="shared" si="14"/>
        <v>16.13684210526316</v>
      </c>
      <c r="Y28" s="318">
        <f t="shared" si="14"/>
        <v>13.447368421052632</v>
      </c>
      <c r="Z28" s="318">
        <f t="shared" si="14"/>
        <v>10.757894736842106</v>
      </c>
      <c r="AA28" s="318">
        <f t="shared" si="14"/>
        <v>8.0684210526315798</v>
      </c>
      <c r="AB28" s="318">
        <f t="shared" si="14"/>
        <v>5.3789473684210529</v>
      </c>
      <c r="AC28" s="318">
        <f t="shared" si="14"/>
        <v>2.6894736842105265</v>
      </c>
      <c r="AD28" s="318">
        <f t="shared" ref="S28:AD31" si="15">AD10*AD$20</f>
        <v>0</v>
      </c>
    </row>
    <row r="29" spans="1:31" x14ac:dyDescent="0.25">
      <c r="A29" s="241"/>
      <c r="B29" s="241" t="s">
        <v>294</v>
      </c>
      <c r="C29" s="318">
        <f t="shared" si="14"/>
        <v>124.12974496799998</v>
      </c>
      <c r="D29" s="318">
        <f t="shared" si="14"/>
        <v>101.97894736842106</v>
      </c>
      <c r="E29" s="318">
        <f t="shared" si="14"/>
        <v>100.15789473684211</v>
      </c>
      <c r="F29" s="318">
        <f t="shared" si="14"/>
        <v>98.336842105263173</v>
      </c>
      <c r="G29" s="318">
        <f t="shared" si="14"/>
        <v>96.515789473684222</v>
      </c>
      <c r="H29" s="318">
        <f t="shared" si="14"/>
        <v>94.694736842105272</v>
      </c>
      <c r="I29" s="318">
        <f t="shared" si="14"/>
        <v>92.873684210526321</v>
      </c>
      <c r="J29" s="318">
        <f t="shared" si="14"/>
        <v>91.05263157894737</v>
      </c>
      <c r="K29" s="318">
        <f t="shared" si="14"/>
        <v>87.410526315789483</v>
      </c>
      <c r="L29" s="318">
        <f t="shared" si="14"/>
        <v>83.768421052631581</v>
      </c>
      <c r="M29" s="318">
        <f t="shared" si="14"/>
        <v>80.126315789473693</v>
      </c>
      <c r="N29" s="318">
        <f t="shared" si="14"/>
        <v>76.484210526315792</v>
      </c>
      <c r="O29" s="318">
        <f t="shared" si="14"/>
        <v>72.842105263157904</v>
      </c>
      <c r="P29" s="318">
        <f t="shared" si="14"/>
        <v>69.2</v>
      </c>
      <c r="Q29" s="318">
        <f t="shared" si="14"/>
        <v>65.557894736842115</v>
      </c>
      <c r="R29" s="318">
        <f t="shared" si="14"/>
        <v>61.915789473684214</v>
      </c>
      <c r="S29" s="318">
        <f t="shared" si="15"/>
        <v>58.273684210526319</v>
      </c>
      <c r="T29" s="318">
        <f t="shared" si="15"/>
        <v>54.631578947368418</v>
      </c>
      <c r="U29" s="318">
        <f t="shared" si="15"/>
        <v>49.168421052631587</v>
      </c>
      <c r="V29" s="318">
        <f t="shared" si="15"/>
        <v>43.705263157894741</v>
      </c>
      <c r="W29" s="318">
        <f t="shared" si="15"/>
        <v>38.242105263157896</v>
      </c>
      <c r="X29" s="318">
        <f t="shared" si="15"/>
        <v>32.778947368421058</v>
      </c>
      <c r="Y29" s="318">
        <f t="shared" si="15"/>
        <v>27.315789473684209</v>
      </c>
      <c r="Z29" s="318">
        <f t="shared" si="15"/>
        <v>21.852631578947371</v>
      </c>
      <c r="AA29" s="318">
        <f t="shared" si="15"/>
        <v>16.389473684210529</v>
      </c>
      <c r="AB29" s="318">
        <f t="shared" si="15"/>
        <v>10.926315789473685</v>
      </c>
      <c r="AC29" s="318">
        <f t="shared" si="15"/>
        <v>5.4631578947368427</v>
      </c>
      <c r="AD29" s="318">
        <f t="shared" si="15"/>
        <v>0</v>
      </c>
    </row>
    <row r="30" spans="1:31" x14ac:dyDescent="0.25">
      <c r="A30" s="241"/>
      <c r="B30" s="241" t="s">
        <v>295</v>
      </c>
      <c r="C30" s="318">
        <f t="shared" si="14"/>
        <v>160.92657929699996</v>
      </c>
      <c r="D30" s="318">
        <f t="shared" si="14"/>
        <v>156.40701754385967</v>
      </c>
      <c r="E30" s="318">
        <f t="shared" si="14"/>
        <v>153.61403508771932</v>
      </c>
      <c r="F30" s="318">
        <f t="shared" si="14"/>
        <v>150.82105263157897</v>
      </c>
      <c r="G30" s="318">
        <f t="shared" si="14"/>
        <v>148.02807017543861</v>
      </c>
      <c r="H30" s="318">
        <f t="shared" si="14"/>
        <v>145.23508771929824</v>
      </c>
      <c r="I30" s="318">
        <f t="shared" si="14"/>
        <v>142.44210526315791</v>
      </c>
      <c r="J30" s="318">
        <f t="shared" si="14"/>
        <v>139.64912280701753</v>
      </c>
      <c r="K30" s="318">
        <f t="shared" si="14"/>
        <v>134.06315789473683</v>
      </c>
      <c r="L30" s="318">
        <f t="shared" si="14"/>
        <v>128.47719298245613</v>
      </c>
      <c r="M30" s="318">
        <f t="shared" si="14"/>
        <v>122.89122807017544</v>
      </c>
      <c r="N30" s="318">
        <f t="shared" si="14"/>
        <v>117.30526315789474</v>
      </c>
      <c r="O30" s="318">
        <f t="shared" si="14"/>
        <v>111.71929824561404</v>
      </c>
      <c r="P30" s="318">
        <f t="shared" si="14"/>
        <v>106.13333333333334</v>
      </c>
      <c r="Q30" s="318">
        <f t="shared" si="14"/>
        <v>100.54736842105264</v>
      </c>
      <c r="R30" s="318">
        <f t="shared" si="14"/>
        <v>94.961403508771937</v>
      </c>
      <c r="S30" s="318">
        <f t="shared" si="15"/>
        <v>89.375438596491236</v>
      </c>
      <c r="T30" s="318">
        <f t="shared" si="15"/>
        <v>83.78947368421052</v>
      </c>
      <c r="U30" s="318">
        <f t="shared" si="15"/>
        <v>75.410526315789483</v>
      </c>
      <c r="V30" s="318">
        <f t="shared" si="15"/>
        <v>67.031578947368416</v>
      </c>
      <c r="W30" s="318">
        <f t="shared" si="15"/>
        <v>58.652631578947371</v>
      </c>
      <c r="X30" s="318">
        <f t="shared" si="15"/>
        <v>50.273684210526319</v>
      </c>
      <c r="Y30" s="318">
        <f t="shared" si="15"/>
        <v>41.89473684210526</v>
      </c>
      <c r="Z30" s="318">
        <f t="shared" si="15"/>
        <v>33.515789473684208</v>
      </c>
      <c r="AA30" s="318">
        <f t="shared" si="15"/>
        <v>25.13684210526316</v>
      </c>
      <c r="AB30" s="318">
        <f t="shared" si="15"/>
        <v>16.757894736842104</v>
      </c>
      <c r="AC30" s="318">
        <f t="shared" si="15"/>
        <v>8.378947368421052</v>
      </c>
      <c r="AD30" s="318">
        <f t="shared" si="15"/>
        <v>0</v>
      </c>
      <c r="AE30" s="318"/>
    </row>
    <row r="31" spans="1:31" x14ac:dyDescent="0.25">
      <c r="A31" s="241"/>
      <c r="B31" s="241" t="s">
        <v>296</v>
      </c>
      <c r="C31" s="318">
        <f t="shared" si="14"/>
        <v>770.46672092699998</v>
      </c>
      <c r="D31" s="318">
        <f t="shared" si="14"/>
        <v>889.90877192982464</v>
      </c>
      <c r="E31" s="318">
        <f t="shared" si="14"/>
        <v>874.01754385964921</v>
      </c>
      <c r="F31" s="318">
        <f t="shared" si="14"/>
        <v>858.12631578947378</v>
      </c>
      <c r="G31" s="318">
        <f t="shared" si="14"/>
        <v>842.23508771929835</v>
      </c>
      <c r="H31" s="318">
        <f t="shared" si="14"/>
        <v>826.34385964912281</v>
      </c>
      <c r="I31" s="318">
        <f t="shared" si="14"/>
        <v>810.45263157894749</v>
      </c>
      <c r="J31" s="318">
        <f t="shared" si="14"/>
        <v>794.56140350877195</v>
      </c>
      <c r="K31" s="318">
        <f t="shared" si="14"/>
        <v>762.77894736842109</v>
      </c>
      <c r="L31" s="318">
        <f t="shared" si="14"/>
        <v>730.99649122807023</v>
      </c>
      <c r="M31" s="318">
        <f t="shared" si="14"/>
        <v>699.21403508771937</v>
      </c>
      <c r="N31" s="318">
        <f t="shared" si="14"/>
        <v>667.43157894736851</v>
      </c>
      <c r="O31" s="318">
        <f t="shared" si="14"/>
        <v>635.64912280701753</v>
      </c>
      <c r="P31" s="318">
        <f t="shared" si="14"/>
        <v>603.86666666666667</v>
      </c>
      <c r="Q31" s="318">
        <f t="shared" si="14"/>
        <v>572.08421052631581</v>
      </c>
      <c r="R31" s="318">
        <f t="shared" si="14"/>
        <v>540.30175438596495</v>
      </c>
      <c r="S31" s="318">
        <f t="shared" si="15"/>
        <v>508.5192982456141</v>
      </c>
      <c r="T31" s="318">
        <f t="shared" si="15"/>
        <v>476.73684210526312</v>
      </c>
      <c r="U31" s="318">
        <f t="shared" si="15"/>
        <v>429.06315789473689</v>
      </c>
      <c r="V31" s="318">
        <f t="shared" si="15"/>
        <v>381.38947368421054</v>
      </c>
      <c r="W31" s="318">
        <f t="shared" si="15"/>
        <v>333.71578947368425</v>
      </c>
      <c r="X31" s="318">
        <f t="shared" si="15"/>
        <v>286.04210526315791</v>
      </c>
      <c r="Y31" s="318">
        <f t="shared" si="15"/>
        <v>238.36842105263156</v>
      </c>
      <c r="Z31" s="318">
        <f t="shared" si="15"/>
        <v>190.69473684210527</v>
      </c>
      <c r="AA31" s="318">
        <f t="shared" si="15"/>
        <v>143.02105263157895</v>
      </c>
      <c r="AB31" s="318">
        <f t="shared" si="15"/>
        <v>95.347368421052636</v>
      </c>
      <c r="AC31" s="318">
        <f t="shared" si="15"/>
        <v>47.673684210526318</v>
      </c>
      <c r="AD31" s="318">
        <f t="shared" si="15"/>
        <v>0</v>
      </c>
    </row>
    <row r="32" spans="1:31" ht="15.75" thickBot="1" x14ac:dyDescent="0.3">
      <c r="A32" s="49"/>
      <c r="B32" s="49" t="s">
        <v>121</v>
      </c>
      <c r="C32" s="305">
        <f t="shared" ref="C32:N32" si="16">SUM(C23:C31)</f>
        <v>4326.8968803630005</v>
      </c>
      <c r="D32" s="305">
        <f t="shared" si="16"/>
        <v>4408.0244404113737</v>
      </c>
      <c r="E32" s="305">
        <f t="shared" si="16"/>
        <v>4348.948880822747</v>
      </c>
      <c r="F32" s="305">
        <f t="shared" si="16"/>
        <v>4289.8733212341194</v>
      </c>
      <c r="G32" s="305">
        <f t="shared" si="16"/>
        <v>4230.7977616454928</v>
      </c>
      <c r="H32" s="305">
        <f t="shared" si="16"/>
        <v>4171.7222020568661</v>
      </c>
      <c r="I32" s="305">
        <f t="shared" si="16"/>
        <v>4112.6466424682403</v>
      </c>
      <c r="J32" s="305">
        <f t="shared" si="16"/>
        <v>4053.5710828796127</v>
      </c>
      <c r="K32" s="305">
        <f t="shared" si="16"/>
        <v>3935.4199637023598</v>
      </c>
      <c r="L32" s="305">
        <f t="shared" si="16"/>
        <v>3817.2688445251065</v>
      </c>
      <c r="M32" s="305">
        <f t="shared" si="16"/>
        <v>3699.1177253478527</v>
      </c>
      <c r="N32" s="305">
        <f t="shared" si="16"/>
        <v>3580.9666061705993</v>
      </c>
      <c r="O32" s="305">
        <f>SUM(O23:O31)</f>
        <v>3462.815486993346</v>
      </c>
      <c r="P32" s="305">
        <f t="shared" ref="P32:AD32" si="17">SUM(P23:P31)</f>
        <v>3344.6643678160917</v>
      </c>
      <c r="Q32" s="305">
        <f t="shared" si="17"/>
        <v>3226.5132486388393</v>
      </c>
      <c r="R32" s="305">
        <f t="shared" si="17"/>
        <v>3108.3621294615846</v>
      </c>
      <c r="S32" s="305">
        <f t="shared" si="17"/>
        <v>2990.2110102843317</v>
      </c>
      <c r="T32" s="305">
        <f t="shared" si="17"/>
        <v>2872.0598911070774</v>
      </c>
      <c r="U32" s="305">
        <f t="shared" si="17"/>
        <v>2694.8332123411974</v>
      </c>
      <c r="V32" s="305">
        <f t="shared" si="17"/>
        <v>2517.6065335753174</v>
      </c>
      <c r="W32" s="305">
        <f t="shared" si="17"/>
        <v>2340.3798548094378</v>
      </c>
      <c r="X32" s="305">
        <f t="shared" si="17"/>
        <v>2163.1531760435573</v>
      </c>
      <c r="Y32" s="305">
        <f t="shared" si="17"/>
        <v>1985.9264972776768</v>
      </c>
      <c r="Z32" s="305">
        <f t="shared" si="17"/>
        <v>1808.6998185117968</v>
      </c>
      <c r="AA32" s="305">
        <f t="shared" si="17"/>
        <v>1631.4731397459166</v>
      </c>
      <c r="AB32" s="305">
        <f t="shared" si="17"/>
        <v>1454.2464609800359</v>
      </c>
      <c r="AC32" s="305">
        <f>SUM(AC23:AC31)</f>
        <v>1277.0197822141563</v>
      </c>
      <c r="AD32" s="305">
        <f t="shared" si="17"/>
        <v>1099.7931034482758</v>
      </c>
    </row>
    <row r="33" spans="1:30" ht="15.75" thickTop="1" x14ac:dyDescent="0.25">
      <c r="C33" s="183"/>
      <c r="D33" s="183"/>
      <c r="E33" s="183"/>
      <c r="F33" s="183"/>
      <c r="G33" s="183"/>
      <c r="H33" s="183"/>
      <c r="I33" s="183"/>
      <c r="J33" s="183"/>
      <c r="K33" s="183"/>
      <c r="L33" s="183"/>
      <c r="M33" s="183"/>
      <c r="N33" s="183"/>
      <c r="O33" s="183"/>
    </row>
    <row r="34" spans="1:30" ht="16.5" customHeight="1" x14ac:dyDescent="0.25">
      <c r="A34" s="7" t="s">
        <v>304</v>
      </c>
      <c r="B34" s="8"/>
      <c r="C34" s="8"/>
      <c r="D34" s="8"/>
      <c r="E34" s="8"/>
      <c r="F34" s="8"/>
      <c r="G34" s="8"/>
      <c r="H34" s="8"/>
      <c r="I34" s="8"/>
      <c r="J34" s="8"/>
      <c r="K34" s="8"/>
      <c r="L34" s="8"/>
      <c r="M34" s="8"/>
      <c r="N34" s="8"/>
      <c r="O34" s="8"/>
    </row>
    <row r="35" spans="1:30" s="319" customFormat="1" x14ac:dyDescent="0.25">
      <c r="A35"/>
      <c r="B35" t="s">
        <v>286</v>
      </c>
      <c r="C35" s="355">
        <v>1</v>
      </c>
      <c r="D35" s="355">
        <v>1</v>
      </c>
      <c r="E35" s="355">
        <v>1</v>
      </c>
      <c r="F35" s="355">
        <v>1</v>
      </c>
      <c r="G35" s="355">
        <v>1</v>
      </c>
      <c r="H35" s="355">
        <v>1</v>
      </c>
      <c r="I35" s="355">
        <v>1</v>
      </c>
      <c r="J35" s="355">
        <v>1</v>
      </c>
      <c r="K35" s="355">
        <v>1</v>
      </c>
      <c r="L35" s="355">
        <v>1</v>
      </c>
      <c r="M35" s="355">
        <v>1</v>
      </c>
      <c r="N35" s="355">
        <v>1</v>
      </c>
      <c r="O35" s="355">
        <v>1</v>
      </c>
      <c r="P35" s="355">
        <v>1</v>
      </c>
      <c r="Q35" s="355">
        <v>1</v>
      </c>
      <c r="R35" s="355">
        <v>1</v>
      </c>
      <c r="S35" s="355">
        <v>1</v>
      </c>
      <c r="T35" s="355">
        <v>1</v>
      </c>
      <c r="U35" s="355">
        <v>1</v>
      </c>
      <c r="V35" s="355">
        <v>1</v>
      </c>
      <c r="W35" s="355">
        <v>1</v>
      </c>
      <c r="X35" s="355">
        <v>1</v>
      </c>
      <c r="Y35" s="355">
        <v>1</v>
      </c>
      <c r="Z35" s="355">
        <v>1</v>
      </c>
      <c r="AA35" s="355">
        <v>1</v>
      </c>
      <c r="AB35" s="355">
        <v>1</v>
      </c>
      <c r="AC35" s="355">
        <v>1</v>
      </c>
      <c r="AD35" s="355">
        <v>1</v>
      </c>
    </row>
    <row r="36" spans="1:30" x14ac:dyDescent="0.25">
      <c r="B36" t="s">
        <v>287</v>
      </c>
      <c r="C36" s="355">
        <v>1</v>
      </c>
      <c r="D36" s="355">
        <v>1</v>
      </c>
      <c r="E36" s="355">
        <v>1</v>
      </c>
      <c r="F36" s="355">
        <v>1</v>
      </c>
      <c r="G36" s="355">
        <v>1</v>
      </c>
      <c r="H36" s="355">
        <v>1</v>
      </c>
      <c r="I36" s="355">
        <v>1</v>
      </c>
      <c r="J36" s="355">
        <v>1</v>
      </c>
      <c r="K36" s="355">
        <v>1</v>
      </c>
      <c r="L36" s="355">
        <v>1</v>
      </c>
      <c r="M36" s="355">
        <v>1</v>
      </c>
      <c r="N36" s="355">
        <v>1</v>
      </c>
      <c r="O36" s="355">
        <v>1</v>
      </c>
      <c r="P36" s="355">
        <v>1</v>
      </c>
      <c r="Q36" s="355">
        <v>1</v>
      </c>
      <c r="R36" s="355">
        <v>1</v>
      </c>
      <c r="S36" s="355">
        <v>1</v>
      </c>
      <c r="T36" s="355">
        <v>1</v>
      </c>
      <c r="U36" s="355">
        <v>1</v>
      </c>
      <c r="V36" s="355">
        <v>1</v>
      </c>
      <c r="W36" s="355">
        <v>1</v>
      </c>
      <c r="X36" s="355">
        <v>1</v>
      </c>
      <c r="Y36" s="355">
        <v>1</v>
      </c>
      <c r="Z36" s="355">
        <v>1</v>
      </c>
      <c r="AA36" s="355">
        <v>1</v>
      </c>
      <c r="AB36" s="355">
        <v>1</v>
      </c>
      <c r="AC36" s="355">
        <v>1</v>
      </c>
      <c r="AD36" s="355">
        <v>1</v>
      </c>
    </row>
    <row r="37" spans="1:30" x14ac:dyDescent="0.25">
      <c r="B37" t="s">
        <v>288</v>
      </c>
      <c r="C37" s="355">
        <v>1</v>
      </c>
      <c r="D37" s="355">
        <v>0.88</v>
      </c>
      <c r="E37" s="355">
        <v>0.88</v>
      </c>
      <c r="F37" s="355">
        <v>0.76</v>
      </c>
      <c r="G37" s="355">
        <v>0.76</v>
      </c>
      <c r="H37" s="355">
        <v>0.76</v>
      </c>
      <c r="I37" s="355">
        <v>0.76</v>
      </c>
      <c r="J37" s="355">
        <v>0.76</v>
      </c>
      <c r="K37" s="355">
        <v>0.76</v>
      </c>
      <c r="L37" s="355">
        <v>0.76</v>
      </c>
      <c r="M37" s="355">
        <v>0.76</v>
      </c>
      <c r="N37" s="355">
        <v>0.76</v>
      </c>
      <c r="O37" s="355">
        <v>0.76</v>
      </c>
      <c r="P37" s="355">
        <v>0.76</v>
      </c>
      <c r="Q37" s="355">
        <v>0.76</v>
      </c>
      <c r="R37" s="355">
        <v>0.76</v>
      </c>
      <c r="S37" s="355">
        <v>0.76</v>
      </c>
      <c r="T37" s="355">
        <v>0.76</v>
      </c>
      <c r="U37" s="355">
        <v>0.76</v>
      </c>
      <c r="V37" s="355">
        <v>0.76</v>
      </c>
      <c r="W37" s="355">
        <v>0.76</v>
      </c>
      <c r="X37" s="355">
        <v>0.76</v>
      </c>
      <c r="Y37" s="355">
        <v>0.76</v>
      </c>
      <c r="Z37" s="355">
        <v>0.76</v>
      </c>
      <c r="AA37" s="355">
        <v>0.76</v>
      </c>
      <c r="AB37" s="355">
        <v>0.76</v>
      </c>
      <c r="AC37" s="355">
        <v>0.76</v>
      </c>
      <c r="AD37" s="355">
        <v>0.76</v>
      </c>
    </row>
    <row r="38" spans="1:30" s="319" customFormat="1" x14ac:dyDescent="0.25">
      <c r="A38"/>
      <c r="B38" t="s">
        <v>289</v>
      </c>
      <c r="C38" s="355">
        <v>1</v>
      </c>
      <c r="D38" s="355">
        <v>0.48</v>
      </c>
      <c r="E38" s="356">
        <v>0.5</v>
      </c>
      <c r="F38" s="356">
        <v>0.4</v>
      </c>
      <c r="G38" s="356">
        <v>0.3</v>
      </c>
      <c r="H38" s="356">
        <v>0</v>
      </c>
      <c r="I38" s="355">
        <v>0</v>
      </c>
      <c r="J38" s="355">
        <v>0</v>
      </c>
      <c r="K38" s="355">
        <v>0</v>
      </c>
      <c r="L38" s="355">
        <v>0</v>
      </c>
      <c r="M38" s="355">
        <v>0</v>
      </c>
      <c r="N38" s="355">
        <v>0</v>
      </c>
      <c r="O38" s="355">
        <v>0</v>
      </c>
      <c r="P38" s="355">
        <v>0</v>
      </c>
      <c r="Q38" s="355">
        <v>0</v>
      </c>
      <c r="R38" s="355">
        <v>0</v>
      </c>
      <c r="S38" s="355">
        <v>0</v>
      </c>
      <c r="T38" s="355">
        <v>0</v>
      </c>
      <c r="U38" s="355">
        <v>0</v>
      </c>
      <c r="V38" s="355">
        <v>0</v>
      </c>
      <c r="W38" s="355">
        <v>0</v>
      </c>
      <c r="X38" s="355">
        <v>0</v>
      </c>
      <c r="Y38" s="355">
        <v>0</v>
      </c>
      <c r="Z38" s="355">
        <v>0</v>
      </c>
      <c r="AA38" s="355">
        <v>0</v>
      </c>
      <c r="AB38" s="355">
        <v>0</v>
      </c>
      <c r="AC38" s="355">
        <v>0</v>
      </c>
      <c r="AD38" s="355">
        <v>0</v>
      </c>
    </row>
    <row r="39" spans="1:30" x14ac:dyDescent="0.25">
      <c r="B39" t="s">
        <v>290</v>
      </c>
      <c r="C39" s="355">
        <v>1</v>
      </c>
      <c r="D39" s="355">
        <v>1</v>
      </c>
      <c r="E39" s="355">
        <v>1</v>
      </c>
      <c r="F39" s="355">
        <v>1</v>
      </c>
      <c r="G39" s="355">
        <v>1</v>
      </c>
      <c r="H39" s="355">
        <v>1</v>
      </c>
      <c r="I39" s="355">
        <v>1</v>
      </c>
      <c r="J39" s="355">
        <v>1</v>
      </c>
      <c r="K39" s="355">
        <v>1</v>
      </c>
      <c r="L39" s="355">
        <v>1</v>
      </c>
      <c r="M39" s="355">
        <v>1</v>
      </c>
      <c r="N39" s="355">
        <v>1</v>
      </c>
      <c r="O39" s="355">
        <v>1</v>
      </c>
      <c r="P39" s="355">
        <v>1</v>
      </c>
      <c r="Q39" s="355">
        <v>1</v>
      </c>
      <c r="R39" s="355">
        <v>1</v>
      </c>
      <c r="S39" s="355">
        <v>1</v>
      </c>
      <c r="T39" s="355">
        <v>1</v>
      </c>
      <c r="U39" s="355">
        <v>1</v>
      </c>
      <c r="V39" s="355">
        <v>1</v>
      </c>
      <c r="W39" s="355">
        <v>1</v>
      </c>
      <c r="X39" s="355">
        <v>1</v>
      </c>
      <c r="Y39" s="355">
        <v>1</v>
      </c>
      <c r="Z39" s="355">
        <v>1</v>
      </c>
      <c r="AA39" s="355">
        <v>1</v>
      </c>
      <c r="AB39" s="355">
        <v>1</v>
      </c>
      <c r="AC39" s="355">
        <v>1</v>
      </c>
      <c r="AD39" s="355">
        <v>1</v>
      </c>
    </row>
    <row r="40" spans="1:30" x14ac:dyDescent="0.25">
      <c r="B40" t="s">
        <v>291</v>
      </c>
      <c r="C40" s="355">
        <v>1</v>
      </c>
      <c r="D40" s="355">
        <v>1</v>
      </c>
      <c r="E40" s="355">
        <v>1</v>
      </c>
      <c r="F40" s="355">
        <v>1</v>
      </c>
      <c r="G40" s="355">
        <v>1</v>
      </c>
      <c r="H40" s="355">
        <v>1</v>
      </c>
      <c r="I40" s="355">
        <v>1</v>
      </c>
      <c r="J40" s="355">
        <v>1</v>
      </c>
      <c r="K40" s="355">
        <v>1</v>
      </c>
      <c r="L40" s="355">
        <v>1</v>
      </c>
      <c r="M40" s="355">
        <v>1</v>
      </c>
      <c r="N40" s="355">
        <v>1</v>
      </c>
      <c r="O40" s="355">
        <v>1</v>
      </c>
      <c r="P40" s="355">
        <v>1</v>
      </c>
      <c r="Q40" s="355">
        <v>1</v>
      </c>
      <c r="R40" s="355">
        <v>1</v>
      </c>
      <c r="S40" s="355">
        <v>1</v>
      </c>
      <c r="T40" s="355">
        <v>1</v>
      </c>
      <c r="U40" s="355">
        <v>1</v>
      </c>
      <c r="V40" s="355">
        <v>1</v>
      </c>
      <c r="W40" s="355">
        <v>1</v>
      </c>
      <c r="X40" s="355">
        <v>1</v>
      </c>
      <c r="Y40" s="355">
        <v>1</v>
      </c>
      <c r="Z40" s="355">
        <v>1</v>
      </c>
      <c r="AA40" s="355">
        <v>1</v>
      </c>
      <c r="AB40" s="355">
        <v>1</v>
      </c>
      <c r="AC40" s="355">
        <v>1</v>
      </c>
      <c r="AD40" s="355">
        <v>1</v>
      </c>
    </row>
    <row r="41" spans="1:30" x14ac:dyDescent="0.25">
      <c r="B41" t="s">
        <v>292</v>
      </c>
      <c r="C41" s="355">
        <v>1</v>
      </c>
      <c r="D41" s="355">
        <v>1</v>
      </c>
      <c r="E41" s="355">
        <v>1</v>
      </c>
      <c r="F41" s="355">
        <v>1</v>
      </c>
      <c r="G41" s="355">
        <v>1</v>
      </c>
      <c r="H41" s="355">
        <v>1</v>
      </c>
      <c r="I41" s="355">
        <v>1</v>
      </c>
      <c r="J41" s="355">
        <v>1</v>
      </c>
      <c r="K41" s="355">
        <v>1</v>
      </c>
      <c r="L41" s="355">
        <v>1</v>
      </c>
      <c r="M41" s="355">
        <v>1</v>
      </c>
      <c r="N41" s="355">
        <v>1</v>
      </c>
      <c r="O41" s="355">
        <v>1</v>
      </c>
      <c r="P41" s="355">
        <v>1</v>
      </c>
      <c r="Q41" s="355">
        <v>1</v>
      </c>
      <c r="R41" s="355">
        <v>1</v>
      </c>
      <c r="S41" s="355">
        <v>1</v>
      </c>
      <c r="T41" s="355">
        <v>1</v>
      </c>
      <c r="U41" s="355">
        <v>1</v>
      </c>
      <c r="V41" s="355">
        <v>1</v>
      </c>
      <c r="W41" s="355">
        <v>1</v>
      </c>
      <c r="X41" s="355">
        <v>1</v>
      </c>
      <c r="Y41" s="355">
        <v>1</v>
      </c>
      <c r="Z41" s="355">
        <v>1</v>
      </c>
      <c r="AA41" s="355">
        <v>1</v>
      </c>
      <c r="AB41" s="355">
        <v>1</v>
      </c>
      <c r="AC41" s="355">
        <v>1</v>
      </c>
      <c r="AD41" s="355">
        <v>1</v>
      </c>
    </row>
    <row r="42" spans="1:30" x14ac:dyDescent="0.25">
      <c r="B42" t="s">
        <v>293</v>
      </c>
      <c r="C42" s="355">
        <v>1</v>
      </c>
      <c r="D42" s="355">
        <v>1</v>
      </c>
      <c r="E42" s="355">
        <v>1</v>
      </c>
      <c r="F42" s="355">
        <v>1</v>
      </c>
      <c r="G42" s="355">
        <v>1</v>
      </c>
      <c r="H42" s="355">
        <v>1</v>
      </c>
      <c r="I42" s="355">
        <v>1</v>
      </c>
      <c r="J42" s="355">
        <v>1</v>
      </c>
      <c r="K42" s="355">
        <v>1</v>
      </c>
      <c r="L42" s="355">
        <v>1</v>
      </c>
      <c r="M42" s="355">
        <v>1</v>
      </c>
      <c r="N42" s="355">
        <v>1</v>
      </c>
      <c r="O42" s="355">
        <v>1</v>
      </c>
      <c r="P42" s="355">
        <v>1</v>
      </c>
      <c r="Q42" s="355">
        <v>1</v>
      </c>
      <c r="R42" s="355">
        <v>1</v>
      </c>
      <c r="S42" s="355">
        <v>1</v>
      </c>
      <c r="T42" s="355">
        <v>1</v>
      </c>
      <c r="U42" s="355">
        <v>1</v>
      </c>
      <c r="V42" s="355">
        <v>1</v>
      </c>
      <c r="W42" s="355">
        <v>1</v>
      </c>
      <c r="X42" s="355">
        <v>1</v>
      </c>
      <c r="Y42" s="355">
        <v>1</v>
      </c>
      <c r="Z42" s="355">
        <v>1</v>
      </c>
      <c r="AA42" s="355">
        <v>1</v>
      </c>
      <c r="AB42" s="355">
        <v>1</v>
      </c>
      <c r="AC42" s="355">
        <v>1</v>
      </c>
      <c r="AD42" s="355">
        <v>1</v>
      </c>
    </row>
    <row r="43" spans="1:30" x14ac:dyDescent="0.25">
      <c r="B43" t="s">
        <v>294</v>
      </c>
      <c r="C43" s="355">
        <v>1</v>
      </c>
      <c r="D43" s="355">
        <v>1</v>
      </c>
      <c r="E43" s="355">
        <v>1</v>
      </c>
      <c r="F43" s="355">
        <v>1</v>
      </c>
      <c r="G43" s="355">
        <v>1</v>
      </c>
      <c r="H43" s="355">
        <v>1</v>
      </c>
      <c r="I43" s="355">
        <v>1</v>
      </c>
      <c r="J43" s="355">
        <v>1</v>
      </c>
      <c r="K43" s="355">
        <v>1</v>
      </c>
      <c r="L43" s="355">
        <v>1</v>
      </c>
      <c r="M43" s="355">
        <v>1</v>
      </c>
      <c r="N43" s="355">
        <v>1</v>
      </c>
      <c r="O43" s="355">
        <v>1</v>
      </c>
      <c r="P43" s="355">
        <v>1</v>
      </c>
      <c r="Q43" s="355">
        <v>1</v>
      </c>
      <c r="R43" s="355">
        <v>1</v>
      </c>
      <c r="S43" s="355">
        <v>1</v>
      </c>
      <c r="T43" s="355">
        <v>1</v>
      </c>
      <c r="U43" s="355">
        <v>1</v>
      </c>
      <c r="V43" s="355">
        <v>1</v>
      </c>
      <c r="W43" s="355">
        <v>1</v>
      </c>
      <c r="X43" s="355">
        <v>1</v>
      </c>
      <c r="Y43" s="355">
        <v>1</v>
      </c>
      <c r="Z43" s="355">
        <v>1</v>
      </c>
      <c r="AA43" s="355">
        <v>1</v>
      </c>
      <c r="AB43" s="355">
        <v>1</v>
      </c>
      <c r="AC43" s="355">
        <v>1</v>
      </c>
      <c r="AD43" s="355">
        <v>1</v>
      </c>
    </row>
    <row r="44" spans="1:30" x14ac:dyDescent="0.25">
      <c r="B44" t="s">
        <v>295</v>
      </c>
      <c r="C44" s="355">
        <v>1</v>
      </c>
      <c r="D44" s="355">
        <v>1</v>
      </c>
      <c r="E44" s="355">
        <v>1</v>
      </c>
      <c r="F44" s="355">
        <v>1</v>
      </c>
      <c r="G44" s="355">
        <v>1</v>
      </c>
      <c r="H44" s="355">
        <v>1</v>
      </c>
      <c r="I44" s="355">
        <v>1</v>
      </c>
      <c r="J44" s="355">
        <v>1</v>
      </c>
      <c r="K44" s="355">
        <v>1</v>
      </c>
      <c r="L44" s="355">
        <v>1</v>
      </c>
      <c r="M44" s="355">
        <v>1</v>
      </c>
      <c r="N44" s="355">
        <v>1</v>
      </c>
      <c r="O44" s="355">
        <v>1</v>
      </c>
      <c r="P44" s="355">
        <v>1</v>
      </c>
      <c r="Q44" s="355">
        <v>1</v>
      </c>
      <c r="R44" s="355">
        <v>1</v>
      </c>
      <c r="S44" s="355">
        <v>1</v>
      </c>
      <c r="T44" s="355">
        <v>1</v>
      </c>
      <c r="U44" s="355">
        <v>1</v>
      </c>
      <c r="V44" s="355">
        <v>1</v>
      </c>
      <c r="W44" s="355">
        <v>1</v>
      </c>
      <c r="X44" s="355">
        <v>1</v>
      </c>
      <c r="Y44" s="355">
        <v>1</v>
      </c>
      <c r="Z44" s="355">
        <v>1</v>
      </c>
      <c r="AA44" s="355">
        <v>1</v>
      </c>
      <c r="AB44" s="355">
        <v>1</v>
      </c>
      <c r="AC44" s="355">
        <v>1</v>
      </c>
      <c r="AD44" s="355">
        <v>1</v>
      </c>
    </row>
    <row r="45" spans="1:30" s="319" customFormat="1" x14ac:dyDescent="0.25">
      <c r="A45"/>
      <c r="B45" t="s">
        <v>296</v>
      </c>
      <c r="C45" s="355">
        <v>1</v>
      </c>
      <c r="D45" s="355">
        <v>1</v>
      </c>
      <c r="E45" s="355">
        <v>0.75</v>
      </c>
      <c r="F45" s="355">
        <v>0.5</v>
      </c>
      <c r="G45" s="355">
        <v>0.5</v>
      </c>
      <c r="H45" s="355">
        <v>0.5</v>
      </c>
      <c r="I45" s="355">
        <v>0.5</v>
      </c>
      <c r="J45" s="355">
        <v>0.5</v>
      </c>
      <c r="K45" s="355">
        <v>0.5</v>
      </c>
      <c r="L45" s="355">
        <v>0.5</v>
      </c>
      <c r="M45" s="355">
        <v>0.5</v>
      </c>
      <c r="N45" s="355">
        <v>0.5</v>
      </c>
      <c r="O45" s="355">
        <v>0.5</v>
      </c>
      <c r="P45" s="355">
        <v>0.5</v>
      </c>
      <c r="Q45" s="355">
        <v>0.5</v>
      </c>
      <c r="R45" s="355">
        <v>0.5</v>
      </c>
      <c r="S45" s="355">
        <v>0.5</v>
      </c>
      <c r="T45" s="355">
        <v>0.5</v>
      </c>
      <c r="U45" s="355">
        <v>0.5</v>
      </c>
      <c r="V45" s="355">
        <v>0.5</v>
      </c>
      <c r="W45" s="355">
        <v>0.5</v>
      </c>
      <c r="X45" s="355">
        <v>0.5</v>
      </c>
      <c r="Y45" s="355">
        <v>0.5</v>
      </c>
      <c r="Z45" s="355">
        <v>0.5</v>
      </c>
      <c r="AA45" s="355">
        <v>0.5</v>
      </c>
      <c r="AB45" s="355">
        <v>0.5</v>
      </c>
      <c r="AC45" s="355">
        <v>0.5</v>
      </c>
      <c r="AD45" s="355">
        <v>0.5</v>
      </c>
    </row>
    <row r="46" spans="1:30" x14ac:dyDescent="0.25">
      <c r="C46" s="320"/>
      <c r="D46" s="320"/>
      <c r="E46" s="321"/>
      <c r="F46" s="322"/>
      <c r="G46" s="320"/>
      <c r="H46" s="320"/>
      <c r="I46" s="320"/>
      <c r="J46" s="320"/>
      <c r="K46" s="320"/>
      <c r="L46" s="320"/>
      <c r="M46" s="320"/>
      <c r="N46" s="320"/>
      <c r="O46" s="320"/>
    </row>
    <row r="47" spans="1:30" x14ac:dyDescent="0.25">
      <c r="E47" s="323"/>
      <c r="F47" s="323"/>
      <c r="G47" s="323"/>
      <c r="H47" s="323"/>
      <c r="I47" s="323"/>
      <c r="J47" s="323"/>
      <c r="K47" s="323"/>
      <c r="L47" s="323"/>
      <c r="M47" s="323"/>
      <c r="N47" s="323"/>
      <c r="O47" s="323"/>
    </row>
    <row r="48" spans="1:30" x14ac:dyDescent="0.25">
      <c r="A48" s="45" t="s">
        <v>305</v>
      </c>
      <c r="B48" s="47"/>
      <c r="C48" s="47"/>
      <c r="D48" s="47"/>
      <c r="E48" s="47"/>
      <c r="F48" s="324"/>
      <c r="G48" s="324"/>
      <c r="H48" s="324"/>
      <c r="I48" s="324"/>
      <c r="J48" s="324"/>
      <c r="K48" s="324"/>
      <c r="L48" s="324"/>
      <c r="M48" s="324"/>
      <c r="N48" s="324"/>
      <c r="O48" s="324"/>
    </row>
    <row r="49" spans="1:30" x14ac:dyDescent="0.25">
      <c r="A49" s="1" t="s">
        <v>196</v>
      </c>
      <c r="B49" s="325" t="s">
        <v>286</v>
      </c>
      <c r="C49" s="326">
        <f t="shared" ref="C49:R59" si="18">(C21*C35)</f>
        <v>593.13300000000004</v>
      </c>
      <c r="D49" s="326">
        <f>(D21*D35)</f>
        <v>731.29655172413788</v>
      </c>
      <c r="E49" s="326">
        <f>(E21*E35)</f>
        <v>1162.2925499999999</v>
      </c>
      <c r="F49" s="326">
        <f>(F21*F35)</f>
        <v>1148.61852</v>
      </c>
      <c r="G49" s="326">
        <f t="shared" si="18"/>
        <v>1134.9444899999999</v>
      </c>
      <c r="H49" s="326">
        <f t="shared" si="18"/>
        <v>1121.27046</v>
      </c>
      <c r="I49" s="326">
        <f t="shared" si="18"/>
        <v>1107.5964300000001</v>
      </c>
      <c r="J49" s="326">
        <f t="shared" si="18"/>
        <v>1093.9224000000002</v>
      </c>
      <c r="K49" s="326">
        <f t="shared" si="18"/>
        <v>1066.5743400000001</v>
      </c>
      <c r="L49" s="326">
        <f t="shared" si="18"/>
        <v>1039.2262800000001</v>
      </c>
      <c r="M49" s="326">
        <f t="shared" si="18"/>
        <v>1011.8782200000001</v>
      </c>
      <c r="N49" s="326">
        <f t="shared" si="18"/>
        <v>984.53016000000002</v>
      </c>
      <c r="O49" s="326">
        <f>(O21*O35)</f>
        <v>957.18209999999999</v>
      </c>
      <c r="P49" s="326">
        <f t="shared" ref="P49:AD59" si="19">(P21*P35)</f>
        <v>929.83404000000007</v>
      </c>
      <c r="Q49" s="326">
        <f t="shared" si="19"/>
        <v>902.48598000000004</v>
      </c>
      <c r="R49" s="326">
        <f t="shared" si="19"/>
        <v>875.13792000000001</v>
      </c>
      <c r="S49" s="326">
        <f t="shared" si="19"/>
        <v>847.78985999999998</v>
      </c>
      <c r="T49" s="326">
        <f t="shared" si="19"/>
        <v>820.44179999999994</v>
      </c>
      <c r="U49" s="326">
        <f t="shared" si="19"/>
        <v>779.4197099999999</v>
      </c>
      <c r="V49" s="326">
        <f t="shared" si="19"/>
        <v>738.39762000000007</v>
      </c>
      <c r="W49" s="326">
        <f t="shared" si="19"/>
        <v>697.37553000000003</v>
      </c>
      <c r="X49" s="326">
        <f t="shared" si="19"/>
        <v>656.35343999999998</v>
      </c>
      <c r="Y49" s="326">
        <f t="shared" si="19"/>
        <v>615.33135000000004</v>
      </c>
      <c r="Z49" s="326">
        <f t="shared" si="19"/>
        <v>574.30925999999999</v>
      </c>
      <c r="AA49" s="326">
        <f t="shared" si="19"/>
        <v>533.28717000000006</v>
      </c>
      <c r="AB49" s="326">
        <f t="shared" si="19"/>
        <v>492.26508000000001</v>
      </c>
      <c r="AC49" s="326">
        <f t="shared" si="19"/>
        <v>451.24299000000002</v>
      </c>
      <c r="AD49" s="326">
        <f t="shared" si="19"/>
        <v>410.22089999999997</v>
      </c>
    </row>
    <row r="50" spans="1:30" x14ac:dyDescent="0.25">
      <c r="A50" s="1" t="s">
        <v>196</v>
      </c>
      <c r="B50" s="325" t="s">
        <v>287</v>
      </c>
      <c r="C50" s="326">
        <f t="shared" si="18"/>
        <v>654.37487714399992</v>
      </c>
      <c r="D50" s="326">
        <f t="shared" si="18"/>
        <v>604.17471264367816</v>
      </c>
      <c r="E50" s="326">
        <f>(E22*E36)</f>
        <v>597.14942528735639</v>
      </c>
      <c r="F50" s="326">
        <f t="shared" si="18"/>
        <v>590.12413793103451</v>
      </c>
      <c r="G50" s="326">
        <f t="shared" si="18"/>
        <v>583.09885057471263</v>
      </c>
      <c r="H50" s="326">
        <f t="shared" si="18"/>
        <v>576.07356321839086</v>
      </c>
      <c r="I50" s="326">
        <f t="shared" si="18"/>
        <v>569.04827586206909</v>
      </c>
      <c r="J50" s="326">
        <f t="shared" si="18"/>
        <v>562.02298850574721</v>
      </c>
      <c r="K50" s="326">
        <f t="shared" si="18"/>
        <v>547.97241379310344</v>
      </c>
      <c r="L50" s="326">
        <f t="shared" si="18"/>
        <v>533.92183908045979</v>
      </c>
      <c r="M50" s="326">
        <f t="shared" si="18"/>
        <v>519.87126436781614</v>
      </c>
      <c r="N50" s="326">
        <f t="shared" si="18"/>
        <v>505.82068965517243</v>
      </c>
      <c r="O50" s="326">
        <f t="shared" si="18"/>
        <v>491.77011494252872</v>
      </c>
      <c r="P50" s="326">
        <f t="shared" si="18"/>
        <v>477.71954022988513</v>
      </c>
      <c r="Q50" s="326">
        <f t="shared" si="18"/>
        <v>463.66896551724147</v>
      </c>
      <c r="R50" s="326">
        <f t="shared" si="18"/>
        <v>449.61839080459771</v>
      </c>
      <c r="S50" s="326">
        <f t="shared" si="19"/>
        <v>435.56781609195406</v>
      </c>
      <c r="T50" s="326">
        <f t="shared" si="19"/>
        <v>421.51724137931035</v>
      </c>
      <c r="U50" s="326">
        <f t="shared" si="19"/>
        <v>400.44137931034487</v>
      </c>
      <c r="V50" s="326">
        <f t="shared" si="19"/>
        <v>379.36551724137934</v>
      </c>
      <c r="W50" s="326">
        <f t="shared" si="19"/>
        <v>358.28965517241386</v>
      </c>
      <c r="X50" s="326">
        <f t="shared" si="19"/>
        <v>337.21379310344832</v>
      </c>
      <c r="Y50" s="326">
        <f t="shared" si="19"/>
        <v>316.13793103448279</v>
      </c>
      <c r="Z50" s="326">
        <f t="shared" si="19"/>
        <v>295.06206896551726</v>
      </c>
      <c r="AA50" s="326">
        <f t="shared" si="19"/>
        <v>273.98620689655172</v>
      </c>
      <c r="AB50" s="326">
        <f t="shared" si="19"/>
        <v>252.91034482758621</v>
      </c>
      <c r="AC50" s="326">
        <f t="shared" si="19"/>
        <v>231.83448275862074</v>
      </c>
      <c r="AD50" s="326">
        <f t="shared" si="19"/>
        <v>210.75862068965517</v>
      </c>
    </row>
    <row r="51" spans="1:30" x14ac:dyDescent="0.25">
      <c r="A51" s="1" t="s">
        <v>306</v>
      </c>
      <c r="B51" s="325" t="s">
        <v>288</v>
      </c>
      <c r="C51" s="326">
        <f t="shared" si="18"/>
        <v>1825.7309088150002</v>
      </c>
      <c r="D51" s="326">
        <f t="shared" si="18"/>
        <v>1612.7668965517241</v>
      </c>
      <c r="E51" s="326">
        <f t="shared" si="18"/>
        <v>1594.0137931034483</v>
      </c>
      <c r="F51" s="326">
        <f t="shared" si="18"/>
        <v>1360.4524137931032</v>
      </c>
      <c r="G51" s="326">
        <f t="shared" si="18"/>
        <v>1344.2565517241378</v>
      </c>
      <c r="H51" s="326">
        <f t="shared" si="18"/>
        <v>1328.0606896551724</v>
      </c>
      <c r="I51" s="326">
        <f t="shared" si="18"/>
        <v>1311.8648275862072</v>
      </c>
      <c r="J51" s="326">
        <f t="shared" si="18"/>
        <v>1295.6689655172415</v>
      </c>
      <c r="K51" s="326">
        <f t="shared" si="18"/>
        <v>1263.2772413793105</v>
      </c>
      <c r="L51" s="326">
        <f t="shared" si="18"/>
        <v>1230.8855172413794</v>
      </c>
      <c r="M51" s="326">
        <f t="shared" si="18"/>
        <v>1198.4937931034483</v>
      </c>
      <c r="N51" s="326">
        <f t="shared" si="18"/>
        <v>1166.1020689655172</v>
      </c>
      <c r="O51" s="326">
        <f>(O23*O37)</f>
        <v>1133.7103448275861</v>
      </c>
      <c r="P51" s="326">
        <f>(P23*P37)</f>
        <v>1101.3186206896553</v>
      </c>
      <c r="Q51" s="326">
        <f>(Q23*Q37)</f>
        <v>1068.9268965517242</v>
      </c>
      <c r="R51" s="326">
        <f t="shared" si="18"/>
        <v>1036.5351724137931</v>
      </c>
      <c r="S51" s="326">
        <f t="shared" si="19"/>
        <v>1004.1434482758622</v>
      </c>
      <c r="T51" s="326">
        <f t="shared" si="19"/>
        <v>971.75172413793098</v>
      </c>
      <c r="U51" s="326">
        <f t="shared" si="19"/>
        <v>923.16413793103447</v>
      </c>
      <c r="V51" s="326">
        <f t="shared" si="19"/>
        <v>874.57655172413786</v>
      </c>
      <c r="W51" s="326">
        <f t="shared" si="19"/>
        <v>825.98896551724158</v>
      </c>
      <c r="X51" s="326">
        <f t="shared" si="19"/>
        <v>777.40137931034485</v>
      </c>
      <c r="Y51" s="326">
        <f t="shared" si="19"/>
        <v>728.81379310344835</v>
      </c>
      <c r="Z51" s="326">
        <f t="shared" si="19"/>
        <v>680.22620689655162</v>
      </c>
      <c r="AA51" s="326">
        <f t="shared" si="19"/>
        <v>631.63862068965523</v>
      </c>
      <c r="AB51" s="326">
        <f t="shared" si="19"/>
        <v>583.05103448275861</v>
      </c>
      <c r="AC51" s="326">
        <f t="shared" si="19"/>
        <v>534.46344827586211</v>
      </c>
      <c r="AD51" s="326">
        <f t="shared" si="19"/>
        <v>485.87586206896549</v>
      </c>
    </row>
    <row r="52" spans="1:30" x14ac:dyDescent="0.25">
      <c r="A52" s="1" t="s">
        <v>306</v>
      </c>
      <c r="B52" s="325" t="s">
        <v>289</v>
      </c>
      <c r="C52" s="326">
        <f t="shared" si="18"/>
        <v>988.76606413800005</v>
      </c>
      <c r="D52" s="326">
        <f>(D24*D38)</f>
        <v>472.39503448275866</v>
      </c>
      <c r="E52" s="326">
        <f t="shared" si="18"/>
        <v>486.35632183908046</v>
      </c>
      <c r="F52" s="326">
        <f>(F24*F38)</f>
        <v>384.50758620689658</v>
      </c>
      <c r="G52" s="326">
        <f t="shared" si="18"/>
        <v>284.94758620689652</v>
      </c>
      <c r="H52" s="326">
        <f t="shared" si="18"/>
        <v>0</v>
      </c>
      <c r="I52" s="326">
        <f t="shared" si="18"/>
        <v>0</v>
      </c>
      <c r="J52" s="326">
        <f t="shared" si="18"/>
        <v>0</v>
      </c>
      <c r="K52" s="326">
        <f t="shared" si="18"/>
        <v>0</v>
      </c>
      <c r="L52" s="326">
        <f t="shared" si="18"/>
        <v>0</v>
      </c>
      <c r="M52" s="326">
        <f t="shared" si="18"/>
        <v>0</v>
      </c>
      <c r="N52" s="326">
        <f t="shared" si="18"/>
        <v>0</v>
      </c>
      <c r="O52" s="326">
        <f t="shared" si="18"/>
        <v>0</v>
      </c>
      <c r="P52" s="326">
        <f t="shared" si="18"/>
        <v>0</v>
      </c>
      <c r="Q52" s="326">
        <f t="shared" si="18"/>
        <v>0</v>
      </c>
      <c r="R52" s="326">
        <f t="shared" si="18"/>
        <v>0</v>
      </c>
      <c r="S52" s="326">
        <f t="shared" si="19"/>
        <v>0</v>
      </c>
      <c r="T52" s="326">
        <f t="shared" si="19"/>
        <v>0</v>
      </c>
      <c r="U52" s="326">
        <f t="shared" si="19"/>
        <v>0</v>
      </c>
      <c r="V52" s="326">
        <f t="shared" si="19"/>
        <v>0</v>
      </c>
      <c r="W52" s="326">
        <f t="shared" si="19"/>
        <v>0</v>
      </c>
      <c r="X52" s="326">
        <f t="shared" si="19"/>
        <v>0</v>
      </c>
      <c r="Y52" s="326">
        <f t="shared" si="19"/>
        <v>0</v>
      </c>
      <c r="Z52" s="326">
        <f t="shared" si="19"/>
        <v>0</v>
      </c>
      <c r="AA52" s="326">
        <f t="shared" si="19"/>
        <v>0</v>
      </c>
      <c r="AB52" s="326">
        <f t="shared" si="19"/>
        <v>0</v>
      </c>
      <c r="AC52" s="326">
        <f t="shared" si="19"/>
        <v>0</v>
      </c>
      <c r="AD52" s="326">
        <f t="shared" si="19"/>
        <v>0</v>
      </c>
    </row>
    <row r="53" spans="1:30" x14ac:dyDescent="0.25">
      <c r="A53" s="1" t="s">
        <v>306</v>
      </c>
      <c r="B53" s="325" t="s">
        <v>290</v>
      </c>
      <c r="C53" s="326">
        <f t="shared" si="18"/>
        <v>19.741015923000003</v>
      </c>
      <c r="D53" s="326">
        <f t="shared" si="18"/>
        <v>20.758620689655174</v>
      </c>
      <c r="E53" s="326">
        <f t="shared" si="18"/>
        <v>20.517241379310345</v>
      </c>
      <c r="F53" s="326">
        <f t="shared" si="18"/>
        <v>20.275862068965516</v>
      </c>
      <c r="G53" s="326">
        <f t="shared" si="18"/>
        <v>20.034482758620687</v>
      </c>
      <c r="H53" s="326">
        <f t="shared" si="18"/>
        <v>19.793103448275861</v>
      </c>
      <c r="I53" s="326">
        <f t="shared" si="18"/>
        <v>19.551724137931036</v>
      </c>
      <c r="J53" s="326">
        <f t="shared" si="18"/>
        <v>19.31034482758621</v>
      </c>
      <c r="K53" s="326">
        <f t="shared" si="18"/>
        <v>18.827586206896552</v>
      </c>
      <c r="L53" s="326">
        <f t="shared" si="18"/>
        <v>18.344827586206897</v>
      </c>
      <c r="M53" s="326">
        <f t="shared" si="18"/>
        <v>17.862068965517242</v>
      </c>
      <c r="N53" s="326">
        <f t="shared" si="18"/>
        <v>17.379310344827587</v>
      </c>
      <c r="O53" s="326">
        <f>(O25*O39)</f>
        <v>16.896551724137929</v>
      </c>
      <c r="P53" s="326">
        <f t="shared" si="18"/>
        <v>16.413793103448278</v>
      </c>
      <c r="Q53" s="326">
        <f t="shared" si="18"/>
        <v>15.931034482758623</v>
      </c>
      <c r="R53" s="326">
        <f t="shared" si="18"/>
        <v>15.448275862068964</v>
      </c>
      <c r="S53" s="326">
        <f t="shared" si="19"/>
        <v>14.965517241379311</v>
      </c>
      <c r="T53" s="326">
        <f t="shared" si="19"/>
        <v>14.482758620689653</v>
      </c>
      <c r="U53" s="326">
        <f t="shared" si="19"/>
        <v>13.758620689655173</v>
      </c>
      <c r="V53" s="326">
        <f t="shared" si="19"/>
        <v>13.03448275862069</v>
      </c>
      <c r="W53" s="326">
        <f t="shared" si="19"/>
        <v>12.310344827586208</v>
      </c>
      <c r="X53" s="326">
        <f t="shared" si="19"/>
        <v>11.586206896551724</v>
      </c>
      <c r="Y53" s="326">
        <f t="shared" si="19"/>
        <v>10.862068965517242</v>
      </c>
      <c r="Z53" s="326">
        <f t="shared" si="19"/>
        <v>10.137931034482758</v>
      </c>
      <c r="AA53" s="326">
        <f t="shared" si="19"/>
        <v>9.4137931034482758</v>
      </c>
      <c r="AB53" s="326">
        <f t="shared" si="19"/>
        <v>8.6896551724137936</v>
      </c>
      <c r="AC53" s="326">
        <f t="shared" si="19"/>
        <v>7.9655172413793114</v>
      </c>
      <c r="AD53" s="326">
        <f t="shared" si="19"/>
        <v>7.2413793103448265</v>
      </c>
    </row>
    <row r="54" spans="1:30" x14ac:dyDescent="0.25">
      <c r="A54" s="1" t="s">
        <v>306</v>
      </c>
      <c r="B54" s="325" t="s">
        <v>291</v>
      </c>
      <c r="C54" s="326">
        <f t="shared" si="18"/>
        <v>331.15706761199999</v>
      </c>
      <c r="D54" s="326">
        <f t="shared" si="18"/>
        <v>315.13563218390806</v>
      </c>
      <c r="E54" s="326">
        <f t="shared" si="18"/>
        <v>311.4712643678161</v>
      </c>
      <c r="F54" s="326">
        <f t="shared" si="18"/>
        <v>307.80689655172415</v>
      </c>
      <c r="G54" s="326">
        <f t="shared" si="18"/>
        <v>304.1425287356322</v>
      </c>
      <c r="H54" s="326">
        <f t="shared" si="18"/>
        <v>300.47816091954024</v>
      </c>
      <c r="I54" s="326">
        <f t="shared" si="18"/>
        <v>296.81379310344829</v>
      </c>
      <c r="J54" s="326">
        <f t="shared" si="18"/>
        <v>293.14942528735634</v>
      </c>
      <c r="K54" s="326">
        <f t="shared" si="18"/>
        <v>285.82068965517243</v>
      </c>
      <c r="L54" s="326">
        <f t="shared" si="18"/>
        <v>278.49195402298852</v>
      </c>
      <c r="M54" s="326">
        <f t="shared" si="18"/>
        <v>271.16321839080462</v>
      </c>
      <c r="N54" s="326">
        <f t="shared" si="18"/>
        <v>263.83448275862071</v>
      </c>
      <c r="O54" s="326">
        <f t="shared" si="18"/>
        <v>256.50574712643675</v>
      </c>
      <c r="P54" s="326">
        <f t="shared" si="18"/>
        <v>249.17701149425289</v>
      </c>
      <c r="Q54" s="326">
        <f t="shared" si="18"/>
        <v>241.84827586206899</v>
      </c>
      <c r="R54" s="326">
        <f t="shared" si="18"/>
        <v>234.51954022988505</v>
      </c>
      <c r="S54" s="326">
        <f t="shared" si="19"/>
        <v>227.19080459770117</v>
      </c>
      <c r="T54" s="326">
        <f t="shared" si="19"/>
        <v>219.86206896551724</v>
      </c>
      <c r="U54" s="326">
        <f t="shared" si="19"/>
        <v>208.86896551724138</v>
      </c>
      <c r="V54" s="326">
        <f t="shared" si="19"/>
        <v>197.87586206896552</v>
      </c>
      <c r="W54" s="326">
        <f t="shared" si="19"/>
        <v>186.88275862068969</v>
      </c>
      <c r="X54" s="326">
        <f t="shared" si="19"/>
        <v>175.8896551724138</v>
      </c>
      <c r="Y54" s="326">
        <f t="shared" si="19"/>
        <v>164.89655172413794</v>
      </c>
      <c r="Z54" s="326">
        <f t="shared" si="19"/>
        <v>153.90344827586208</v>
      </c>
      <c r="AA54" s="326">
        <f t="shared" si="19"/>
        <v>142.91034482758621</v>
      </c>
      <c r="AB54" s="326">
        <f t="shared" si="19"/>
        <v>131.91724137931035</v>
      </c>
      <c r="AC54" s="326">
        <f t="shared" si="19"/>
        <v>120.92413793103449</v>
      </c>
      <c r="AD54" s="326">
        <f t="shared" si="19"/>
        <v>109.93103448275862</v>
      </c>
    </row>
    <row r="55" spans="1:30" x14ac:dyDescent="0.25">
      <c r="A55" s="1" t="s">
        <v>306</v>
      </c>
      <c r="B55" s="325" t="s">
        <v>292</v>
      </c>
      <c r="C55" s="326">
        <f t="shared" si="18"/>
        <v>55.633066241999998</v>
      </c>
      <c r="D55" s="326">
        <f t="shared" si="18"/>
        <v>56.785964912280711</v>
      </c>
      <c r="E55" s="326">
        <f t="shared" si="18"/>
        <v>55.771929824561404</v>
      </c>
      <c r="F55" s="326">
        <f t="shared" si="18"/>
        <v>54.757894736842111</v>
      </c>
      <c r="G55" s="326">
        <f t="shared" si="18"/>
        <v>53.743859649122811</v>
      </c>
      <c r="H55" s="326">
        <f t="shared" si="18"/>
        <v>52.729824561403511</v>
      </c>
      <c r="I55" s="326">
        <f t="shared" si="18"/>
        <v>51.715789473684218</v>
      </c>
      <c r="J55" s="326">
        <f t="shared" si="18"/>
        <v>50.701754385964911</v>
      </c>
      <c r="K55" s="326">
        <f t="shared" si="18"/>
        <v>48.673684210526318</v>
      </c>
      <c r="L55" s="326">
        <f t="shared" si="18"/>
        <v>46.645614035087718</v>
      </c>
      <c r="M55" s="326">
        <f t="shared" si="18"/>
        <v>44.617543859649125</v>
      </c>
      <c r="N55" s="326">
        <f t="shared" si="18"/>
        <v>42.589473684210532</v>
      </c>
      <c r="O55" s="326">
        <f t="shared" si="18"/>
        <v>40.561403508771932</v>
      </c>
      <c r="P55" s="326">
        <f t="shared" si="18"/>
        <v>38.533333333333339</v>
      </c>
      <c r="Q55" s="326">
        <f t="shared" si="18"/>
        <v>36.505263157894738</v>
      </c>
      <c r="R55" s="326">
        <f t="shared" si="18"/>
        <v>34.477192982456145</v>
      </c>
      <c r="S55" s="326">
        <f t="shared" si="19"/>
        <v>32.449122807017545</v>
      </c>
      <c r="T55" s="326">
        <f t="shared" si="19"/>
        <v>30.421052631578945</v>
      </c>
      <c r="U55" s="326">
        <f t="shared" si="19"/>
        <v>27.378947368421056</v>
      </c>
      <c r="V55" s="326">
        <f t="shared" si="19"/>
        <v>24.336842105263159</v>
      </c>
      <c r="W55" s="326">
        <f t="shared" si="19"/>
        <v>21.294736842105266</v>
      </c>
      <c r="X55" s="326">
        <f t="shared" si="19"/>
        <v>18.252631578947369</v>
      </c>
      <c r="Y55" s="326">
        <f t="shared" si="19"/>
        <v>15.210526315789473</v>
      </c>
      <c r="Z55" s="326">
        <f t="shared" si="19"/>
        <v>12.168421052631579</v>
      </c>
      <c r="AA55" s="326">
        <f t="shared" si="19"/>
        <v>9.1263157894736846</v>
      </c>
      <c r="AB55" s="326">
        <f t="shared" si="19"/>
        <v>6.0842105263157897</v>
      </c>
      <c r="AC55" s="326">
        <f t="shared" si="19"/>
        <v>3.0421052631578949</v>
      </c>
      <c r="AD55" s="326">
        <f t="shared" si="19"/>
        <v>0</v>
      </c>
    </row>
    <row r="56" spans="1:30" x14ac:dyDescent="0.25">
      <c r="A56" s="1" t="s">
        <v>306</v>
      </c>
      <c r="B56" s="325" t="s">
        <v>293</v>
      </c>
      <c r="C56" s="326">
        <f t="shared" si="18"/>
        <v>50.345712440999996</v>
      </c>
      <c r="D56" s="326">
        <f t="shared" si="18"/>
        <v>50.203508771929833</v>
      </c>
      <c r="E56" s="326">
        <f t="shared" si="18"/>
        <v>49.307017543859658</v>
      </c>
      <c r="F56" s="326">
        <f t="shared" si="18"/>
        <v>48.410526315789483</v>
      </c>
      <c r="G56" s="326">
        <f t="shared" si="18"/>
        <v>47.514035087719307</v>
      </c>
      <c r="H56" s="326">
        <f t="shared" si="18"/>
        <v>46.617543859649125</v>
      </c>
      <c r="I56" s="326">
        <f t="shared" si="18"/>
        <v>45.721052631578956</v>
      </c>
      <c r="J56" s="326">
        <f t="shared" si="18"/>
        <v>44.824561403508774</v>
      </c>
      <c r="K56" s="326">
        <f t="shared" si="18"/>
        <v>43.031578947368423</v>
      </c>
      <c r="L56" s="326">
        <f t="shared" si="18"/>
        <v>41.238596491228073</v>
      </c>
      <c r="M56" s="326">
        <f t="shared" si="18"/>
        <v>39.445614035087722</v>
      </c>
      <c r="N56" s="326">
        <f t="shared" si="18"/>
        <v>37.652631578947371</v>
      </c>
      <c r="O56" s="326">
        <f t="shared" si="18"/>
        <v>35.859649122807021</v>
      </c>
      <c r="P56" s="326">
        <f t="shared" si="18"/>
        <v>34.06666666666667</v>
      </c>
      <c r="Q56" s="326">
        <f t="shared" si="18"/>
        <v>32.273684210526319</v>
      </c>
      <c r="R56" s="326">
        <f t="shared" si="18"/>
        <v>30.480701754385969</v>
      </c>
      <c r="S56" s="326">
        <f t="shared" si="19"/>
        <v>28.687719298245618</v>
      </c>
      <c r="T56" s="326">
        <f t="shared" si="19"/>
        <v>26.894736842105264</v>
      </c>
      <c r="U56" s="326">
        <f t="shared" si="19"/>
        <v>24.205263157894741</v>
      </c>
      <c r="V56" s="326">
        <f t="shared" si="19"/>
        <v>21.515789473684212</v>
      </c>
      <c r="W56" s="326">
        <f t="shared" si="19"/>
        <v>18.826315789473686</v>
      </c>
      <c r="X56" s="326">
        <f t="shared" si="19"/>
        <v>16.13684210526316</v>
      </c>
      <c r="Y56" s="326">
        <f t="shared" si="19"/>
        <v>13.447368421052632</v>
      </c>
      <c r="Z56" s="326">
        <f t="shared" si="19"/>
        <v>10.757894736842106</v>
      </c>
      <c r="AA56" s="326">
        <f t="shared" si="19"/>
        <v>8.0684210526315798</v>
      </c>
      <c r="AB56" s="326">
        <f t="shared" si="19"/>
        <v>5.3789473684210529</v>
      </c>
      <c r="AC56" s="326">
        <f t="shared" si="19"/>
        <v>2.6894736842105265</v>
      </c>
      <c r="AD56" s="326">
        <f t="shared" si="19"/>
        <v>0</v>
      </c>
    </row>
    <row r="57" spans="1:30" x14ac:dyDescent="0.25">
      <c r="A57" s="1" t="s">
        <v>306</v>
      </c>
      <c r="B57" s="325" t="s">
        <v>294</v>
      </c>
      <c r="C57" s="326">
        <f t="shared" si="18"/>
        <v>124.12974496799998</v>
      </c>
      <c r="D57" s="326">
        <f t="shared" si="18"/>
        <v>101.97894736842106</v>
      </c>
      <c r="E57" s="326">
        <f t="shared" si="18"/>
        <v>100.15789473684211</v>
      </c>
      <c r="F57" s="326">
        <f t="shared" si="18"/>
        <v>98.336842105263173</v>
      </c>
      <c r="G57" s="326">
        <f t="shared" si="18"/>
        <v>96.515789473684222</v>
      </c>
      <c r="H57" s="326">
        <f t="shared" si="18"/>
        <v>94.694736842105272</v>
      </c>
      <c r="I57" s="326">
        <f t="shared" si="18"/>
        <v>92.873684210526321</v>
      </c>
      <c r="J57" s="326">
        <f t="shared" si="18"/>
        <v>91.05263157894737</v>
      </c>
      <c r="K57" s="326">
        <f t="shared" si="18"/>
        <v>87.410526315789483</v>
      </c>
      <c r="L57" s="326">
        <f t="shared" si="18"/>
        <v>83.768421052631581</v>
      </c>
      <c r="M57" s="326">
        <f t="shared" si="18"/>
        <v>80.126315789473693</v>
      </c>
      <c r="N57" s="326">
        <f t="shared" si="18"/>
        <v>76.484210526315792</v>
      </c>
      <c r="O57" s="326">
        <f t="shared" si="18"/>
        <v>72.842105263157904</v>
      </c>
      <c r="P57" s="326">
        <f t="shared" si="18"/>
        <v>69.2</v>
      </c>
      <c r="Q57" s="326">
        <f t="shared" si="18"/>
        <v>65.557894736842115</v>
      </c>
      <c r="R57" s="326">
        <f t="shared" si="18"/>
        <v>61.915789473684214</v>
      </c>
      <c r="S57" s="326">
        <f t="shared" si="19"/>
        <v>58.273684210526319</v>
      </c>
      <c r="T57" s="326">
        <f t="shared" si="19"/>
        <v>54.631578947368418</v>
      </c>
      <c r="U57" s="326">
        <f t="shared" si="19"/>
        <v>49.168421052631587</v>
      </c>
      <c r="V57" s="326">
        <f t="shared" si="19"/>
        <v>43.705263157894741</v>
      </c>
      <c r="W57" s="326">
        <f t="shared" si="19"/>
        <v>38.242105263157896</v>
      </c>
      <c r="X57" s="326">
        <f t="shared" si="19"/>
        <v>32.778947368421058</v>
      </c>
      <c r="Y57" s="326">
        <f t="shared" si="19"/>
        <v>27.315789473684209</v>
      </c>
      <c r="Z57" s="326">
        <f t="shared" si="19"/>
        <v>21.852631578947371</v>
      </c>
      <c r="AA57" s="326">
        <f t="shared" si="19"/>
        <v>16.389473684210529</v>
      </c>
      <c r="AB57" s="326">
        <f t="shared" si="19"/>
        <v>10.926315789473685</v>
      </c>
      <c r="AC57" s="326">
        <f t="shared" si="19"/>
        <v>5.4631578947368427</v>
      </c>
      <c r="AD57" s="326">
        <f t="shared" si="19"/>
        <v>0</v>
      </c>
    </row>
    <row r="58" spans="1:30" x14ac:dyDescent="0.25">
      <c r="A58" s="1" t="s">
        <v>306</v>
      </c>
      <c r="B58" s="325" t="s">
        <v>295</v>
      </c>
      <c r="C58" s="326">
        <f t="shared" si="18"/>
        <v>160.92657929699996</v>
      </c>
      <c r="D58" s="326">
        <f t="shared" si="18"/>
        <v>156.40701754385967</v>
      </c>
      <c r="E58" s="326">
        <f t="shared" si="18"/>
        <v>153.61403508771932</v>
      </c>
      <c r="F58" s="326">
        <f t="shared" si="18"/>
        <v>150.82105263157897</v>
      </c>
      <c r="G58" s="326">
        <f t="shared" si="18"/>
        <v>148.02807017543861</v>
      </c>
      <c r="H58" s="326">
        <f t="shared" si="18"/>
        <v>145.23508771929824</v>
      </c>
      <c r="I58" s="326">
        <f t="shared" si="18"/>
        <v>142.44210526315791</v>
      </c>
      <c r="J58" s="326">
        <f t="shared" si="18"/>
        <v>139.64912280701753</v>
      </c>
      <c r="K58" s="326">
        <f t="shared" si="18"/>
        <v>134.06315789473683</v>
      </c>
      <c r="L58" s="326">
        <f t="shared" si="18"/>
        <v>128.47719298245613</v>
      </c>
      <c r="M58" s="326">
        <f t="shared" si="18"/>
        <v>122.89122807017544</v>
      </c>
      <c r="N58" s="326">
        <f t="shared" si="18"/>
        <v>117.30526315789474</v>
      </c>
      <c r="O58" s="326">
        <f t="shared" si="18"/>
        <v>111.71929824561404</v>
      </c>
      <c r="P58" s="326">
        <f t="shared" si="18"/>
        <v>106.13333333333334</v>
      </c>
      <c r="Q58" s="326">
        <f t="shared" si="18"/>
        <v>100.54736842105264</v>
      </c>
      <c r="R58" s="326">
        <f t="shared" si="18"/>
        <v>94.961403508771937</v>
      </c>
      <c r="S58" s="326">
        <f t="shared" si="19"/>
        <v>89.375438596491236</v>
      </c>
      <c r="T58" s="326">
        <f t="shared" si="19"/>
        <v>83.78947368421052</v>
      </c>
      <c r="U58" s="326">
        <f t="shared" si="19"/>
        <v>75.410526315789483</v>
      </c>
      <c r="V58" s="326">
        <f t="shared" si="19"/>
        <v>67.031578947368416</v>
      </c>
      <c r="W58" s="326">
        <f t="shared" si="19"/>
        <v>58.652631578947371</v>
      </c>
      <c r="X58" s="326">
        <f t="shared" si="19"/>
        <v>50.273684210526319</v>
      </c>
      <c r="Y58" s="326">
        <f t="shared" si="19"/>
        <v>41.89473684210526</v>
      </c>
      <c r="Z58" s="326">
        <f t="shared" si="19"/>
        <v>33.515789473684208</v>
      </c>
      <c r="AA58" s="326">
        <f t="shared" si="19"/>
        <v>25.13684210526316</v>
      </c>
      <c r="AB58" s="326">
        <f t="shared" si="19"/>
        <v>16.757894736842104</v>
      </c>
      <c r="AC58" s="326">
        <f t="shared" si="19"/>
        <v>8.378947368421052</v>
      </c>
      <c r="AD58" s="326">
        <f t="shared" si="19"/>
        <v>0</v>
      </c>
    </row>
    <row r="59" spans="1:30" x14ac:dyDescent="0.25">
      <c r="A59" s="1" t="s">
        <v>306</v>
      </c>
      <c r="B59" s="325" t="s">
        <v>296</v>
      </c>
      <c r="C59" s="326">
        <f t="shared" si="18"/>
        <v>770.46672092699998</v>
      </c>
      <c r="D59" s="326">
        <f t="shared" si="18"/>
        <v>889.90877192982464</v>
      </c>
      <c r="E59" s="326">
        <f t="shared" si="18"/>
        <v>655.51315789473688</v>
      </c>
      <c r="F59" s="326">
        <f t="shared" si="18"/>
        <v>429.06315789473689</v>
      </c>
      <c r="G59" s="326">
        <f t="shared" si="18"/>
        <v>421.11754385964917</v>
      </c>
      <c r="H59" s="326">
        <f t="shared" si="18"/>
        <v>413.1719298245614</v>
      </c>
      <c r="I59" s="326">
        <f t="shared" si="18"/>
        <v>405.22631578947374</v>
      </c>
      <c r="J59" s="326">
        <f t="shared" si="18"/>
        <v>397.28070175438597</v>
      </c>
      <c r="K59" s="326">
        <f t="shared" si="18"/>
        <v>381.38947368421054</v>
      </c>
      <c r="L59" s="326">
        <f t="shared" si="18"/>
        <v>365.49824561403511</v>
      </c>
      <c r="M59" s="326">
        <f t="shared" si="18"/>
        <v>349.60701754385968</v>
      </c>
      <c r="N59" s="326">
        <f t="shared" si="18"/>
        <v>333.71578947368425</v>
      </c>
      <c r="O59" s="326">
        <f t="shared" si="18"/>
        <v>317.82456140350877</v>
      </c>
      <c r="P59" s="326">
        <f t="shared" si="18"/>
        <v>301.93333333333334</v>
      </c>
      <c r="Q59" s="326">
        <f t="shared" si="18"/>
        <v>286.04210526315791</v>
      </c>
      <c r="R59" s="326">
        <f t="shared" si="18"/>
        <v>270.15087719298248</v>
      </c>
      <c r="S59" s="326">
        <f t="shared" si="19"/>
        <v>254.25964912280705</v>
      </c>
      <c r="T59" s="326">
        <f t="shared" si="19"/>
        <v>238.36842105263156</v>
      </c>
      <c r="U59" s="326">
        <f t="shared" si="19"/>
        <v>214.53157894736844</v>
      </c>
      <c r="V59" s="326">
        <f t="shared" si="19"/>
        <v>190.69473684210527</v>
      </c>
      <c r="W59" s="326">
        <f t="shared" si="19"/>
        <v>166.85789473684213</v>
      </c>
      <c r="X59" s="326">
        <f t="shared" si="19"/>
        <v>143.02105263157895</v>
      </c>
      <c r="Y59" s="326">
        <f t="shared" si="19"/>
        <v>119.18421052631578</v>
      </c>
      <c r="Z59" s="326">
        <f t="shared" si="19"/>
        <v>95.347368421052636</v>
      </c>
      <c r="AA59" s="326">
        <f t="shared" si="19"/>
        <v>71.510526315789477</v>
      </c>
      <c r="AB59" s="326">
        <f t="shared" si="19"/>
        <v>47.673684210526318</v>
      </c>
      <c r="AC59" s="326">
        <f t="shared" si="19"/>
        <v>23.836842105263159</v>
      </c>
      <c r="AD59" s="326">
        <f t="shared" si="19"/>
        <v>0</v>
      </c>
    </row>
    <row r="60" spans="1:30" ht="17.100000000000001" customHeight="1" x14ac:dyDescent="0.25">
      <c r="A60" s="1"/>
      <c r="B60" s="1"/>
      <c r="C60" s="327"/>
      <c r="D60" s="327"/>
      <c r="E60" s="327"/>
      <c r="F60" s="327"/>
      <c r="G60" s="327"/>
      <c r="H60" s="327"/>
      <c r="I60" s="327"/>
      <c r="J60" s="327"/>
      <c r="K60" s="327"/>
      <c r="L60" s="327"/>
      <c r="M60" s="327"/>
      <c r="N60" s="327"/>
      <c r="O60" s="327"/>
    </row>
    <row r="61" spans="1:30" ht="17.100000000000001" customHeight="1" x14ac:dyDescent="0.25">
      <c r="A61" s="1"/>
      <c r="B61" s="1"/>
      <c r="C61" s="327"/>
      <c r="D61" s="327"/>
      <c r="E61" s="327"/>
      <c r="F61" s="327"/>
      <c r="G61" s="327"/>
      <c r="H61" s="327"/>
      <c r="I61" s="327"/>
      <c r="J61" s="327"/>
      <c r="K61" s="327"/>
      <c r="L61" s="327"/>
      <c r="M61" s="327"/>
      <c r="N61" s="327"/>
      <c r="O61" s="327"/>
    </row>
    <row r="62" spans="1:30" s="291" customFormat="1" ht="18.75" x14ac:dyDescent="0.3">
      <c r="A62" s="328" t="s">
        <v>307</v>
      </c>
      <c r="B62" s="329"/>
      <c r="C62" s="330">
        <f t="shared" ref="C62:N62" si="20">SUM(C49:C59)</f>
        <v>5574.404757506999</v>
      </c>
      <c r="D62" s="330">
        <f>SUM(D49:D59)</f>
        <v>5011.8116588021785</v>
      </c>
      <c r="E62" s="330">
        <f t="shared" si="20"/>
        <v>5186.1646310647311</v>
      </c>
      <c r="F62" s="330">
        <f t="shared" si="20"/>
        <v>4593.174890235935</v>
      </c>
      <c r="G62" s="330">
        <f t="shared" si="20"/>
        <v>4438.3437882456137</v>
      </c>
      <c r="H62" s="330">
        <f t="shared" si="20"/>
        <v>4098.1251000483962</v>
      </c>
      <c r="I62" s="330">
        <f t="shared" si="20"/>
        <v>4042.8539980580772</v>
      </c>
      <c r="J62" s="330">
        <f t="shared" si="20"/>
        <v>3987.5828960677554</v>
      </c>
      <c r="K62" s="330">
        <f t="shared" si="20"/>
        <v>3877.0406920871146</v>
      </c>
      <c r="L62" s="330">
        <f t="shared" si="20"/>
        <v>3766.4984881064738</v>
      </c>
      <c r="M62" s="330">
        <f t="shared" si="20"/>
        <v>3655.9562841258321</v>
      </c>
      <c r="N62" s="330">
        <f t="shared" si="20"/>
        <v>3545.4140801451908</v>
      </c>
      <c r="O62" s="330">
        <f>SUM(O49:O59)</f>
        <v>3434.8718761645496</v>
      </c>
      <c r="P62" s="330">
        <f>SUM(P49:P59)</f>
        <v>3324.3296721839083</v>
      </c>
      <c r="Q62" s="330">
        <f t="shared" ref="Q62:AD62" si="21">SUM(Q49:Q59)</f>
        <v>3213.7874682032671</v>
      </c>
      <c r="R62" s="330">
        <f t="shared" si="21"/>
        <v>3103.2452642226249</v>
      </c>
      <c r="S62" s="330">
        <f t="shared" si="21"/>
        <v>2992.7030602419845</v>
      </c>
      <c r="T62" s="330">
        <f t="shared" si="21"/>
        <v>2882.1608562613428</v>
      </c>
      <c r="U62" s="330">
        <f t="shared" si="21"/>
        <v>2716.3475502903812</v>
      </c>
      <c r="V62" s="330">
        <f t="shared" si="21"/>
        <v>2550.5342443194199</v>
      </c>
      <c r="W62" s="330">
        <f t="shared" si="21"/>
        <v>2384.7209383484578</v>
      </c>
      <c r="X62" s="330">
        <f t="shared" si="21"/>
        <v>2218.9076323774957</v>
      </c>
      <c r="Y62" s="330">
        <f t="shared" si="21"/>
        <v>2053.0943264065336</v>
      </c>
      <c r="Z62" s="330">
        <f t="shared" si="21"/>
        <v>1887.2810204355719</v>
      </c>
      <c r="AA62" s="330">
        <f t="shared" si="21"/>
        <v>1721.46771446461</v>
      </c>
      <c r="AB62" s="330">
        <f t="shared" si="21"/>
        <v>1555.6544084936475</v>
      </c>
      <c r="AC62" s="330">
        <f t="shared" si="21"/>
        <v>1389.8411025226862</v>
      </c>
      <c r="AD62" s="330">
        <f t="shared" si="21"/>
        <v>1224.0277965517241</v>
      </c>
    </row>
    <row r="63" spans="1:30" s="291" customFormat="1" ht="18.75" x14ac:dyDescent="0.3">
      <c r="A63" s="331" t="s">
        <v>308</v>
      </c>
      <c r="B63" s="332"/>
      <c r="C63" s="333">
        <f t="shared" ref="C63:N63" si="22">C62/1000</f>
        <v>5.5744047575069988</v>
      </c>
      <c r="D63" s="334">
        <f t="shared" si="22"/>
        <v>5.0118116588021788</v>
      </c>
      <c r="E63" s="334">
        <f t="shared" si="22"/>
        <v>5.1861646310647309</v>
      </c>
      <c r="F63" s="334">
        <f>F62/1000</f>
        <v>4.5931748902359351</v>
      </c>
      <c r="G63" s="334">
        <f t="shared" si="22"/>
        <v>4.4383437882456134</v>
      </c>
      <c r="H63" s="334">
        <f t="shared" si="22"/>
        <v>4.0981251000483958</v>
      </c>
      <c r="I63" s="334">
        <f t="shared" si="22"/>
        <v>4.0428539980580771</v>
      </c>
      <c r="J63" s="334">
        <f t="shared" si="22"/>
        <v>3.9875828960677553</v>
      </c>
      <c r="K63" s="334">
        <f t="shared" si="22"/>
        <v>3.8770406920871148</v>
      </c>
      <c r="L63" s="334">
        <f t="shared" si="22"/>
        <v>3.7664984881064738</v>
      </c>
      <c r="M63" s="334">
        <f t="shared" si="22"/>
        <v>3.655956284125832</v>
      </c>
      <c r="N63" s="334">
        <f t="shared" si="22"/>
        <v>3.545414080145191</v>
      </c>
      <c r="O63" s="334">
        <f>O62/1000</f>
        <v>3.4348718761645496</v>
      </c>
      <c r="P63" s="334">
        <f t="shared" ref="P63:AD63" si="23">P62/1000</f>
        <v>3.3243296721839082</v>
      </c>
      <c r="Q63" s="334">
        <f t="shared" si="23"/>
        <v>3.2137874682032672</v>
      </c>
      <c r="R63" s="334">
        <f t="shared" si="23"/>
        <v>3.1032452642226249</v>
      </c>
      <c r="S63" s="334">
        <f t="shared" si="23"/>
        <v>2.9927030602419844</v>
      </c>
      <c r="T63" s="334">
        <f t="shared" si="23"/>
        <v>2.882160856261343</v>
      </c>
      <c r="U63" s="334">
        <f t="shared" si="23"/>
        <v>2.7163475502903811</v>
      </c>
      <c r="V63" s="334">
        <f t="shared" si="23"/>
        <v>2.5505342443194201</v>
      </c>
      <c r="W63" s="334">
        <f t="shared" si="23"/>
        <v>2.3847209383484578</v>
      </c>
      <c r="X63" s="334">
        <f t="shared" si="23"/>
        <v>2.2189076323774959</v>
      </c>
      <c r="Y63" s="334">
        <f t="shared" si="23"/>
        <v>2.0530943264065336</v>
      </c>
      <c r="Z63" s="334">
        <f t="shared" si="23"/>
        <v>1.8872810204355719</v>
      </c>
      <c r="AA63" s="334">
        <f t="shared" si="23"/>
        <v>1.72146771446461</v>
      </c>
      <c r="AB63" s="334">
        <f t="shared" si="23"/>
        <v>1.5556544084936474</v>
      </c>
      <c r="AC63" s="334">
        <f t="shared" si="23"/>
        <v>1.3898411025226862</v>
      </c>
      <c r="AD63" s="334">
        <f t="shared" si="23"/>
        <v>1.2240277965517241</v>
      </c>
    </row>
    <row r="64" spans="1:30" s="291" customFormat="1" ht="18.75" x14ac:dyDescent="0.3">
      <c r="A64" s="335"/>
      <c r="C64" s="336"/>
      <c r="D64" s="337"/>
      <c r="E64" s="337"/>
      <c r="F64" s="337"/>
      <c r="G64" s="337"/>
      <c r="H64" s="337"/>
      <c r="I64" s="337"/>
      <c r="J64" s="337"/>
      <c r="K64" s="337"/>
      <c r="L64" s="337"/>
      <c r="M64" s="337"/>
      <c r="N64" s="337"/>
      <c r="O64" s="337"/>
      <c r="P64" s="295"/>
      <c r="Q64"/>
      <c r="R64"/>
      <c r="S64"/>
      <c r="T64"/>
      <c r="U64"/>
      <c r="V64"/>
      <c r="W64"/>
      <c r="X64"/>
      <c r="Y64"/>
      <c r="Z64"/>
      <c r="AA64"/>
      <c r="AB64"/>
      <c r="AC64"/>
      <c r="AD64"/>
    </row>
    <row r="65" spans="2:15" x14ac:dyDescent="0.25">
      <c r="C65" s="339"/>
      <c r="D65" s="339"/>
      <c r="E65" s="339"/>
      <c r="F65" s="339"/>
      <c r="G65" s="339"/>
      <c r="H65" s="339"/>
      <c r="I65" s="339"/>
      <c r="J65" s="339"/>
      <c r="K65" s="339"/>
      <c r="L65" s="339"/>
      <c r="M65" s="339"/>
      <c r="N65" s="339"/>
      <c r="O65" s="339"/>
    </row>
    <row r="66" spans="2:15" x14ac:dyDescent="0.25">
      <c r="J66" s="338"/>
    </row>
    <row r="67" spans="2:15" x14ac:dyDescent="0.25">
      <c r="C67" s="13"/>
      <c r="D67" s="13"/>
      <c r="E67" s="13"/>
      <c r="F67" s="13"/>
      <c r="G67" s="13"/>
      <c r="H67" s="13"/>
      <c r="I67" s="13"/>
      <c r="J67" s="339"/>
      <c r="K67" s="13"/>
      <c r="L67" s="13"/>
      <c r="M67" s="13"/>
      <c r="N67" s="13"/>
      <c r="O67" s="13"/>
    </row>
    <row r="68" spans="2:15" x14ac:dyDescent="0.25">
      <c r="B68" s="340"/>
      <c r="C68" s="340"/>
      <c r="D68" s="340"/>
      <c r="E68" s="340"/>
      <c r="F68" s="340"/>
      <c r="G68" s="340"/>
      <c r="H68" s="340"/>
      <c r="I68" s="340"/>
      <c r="J68" s="340"/>
      <c r="K68" s="340"/>
      <c r="L68" s="340"/>
      <c r="M68" s="340"/>
      <c r="N68" s="340"/>
      <c r="O68" s="340"/>
    </row>
    <row r="69" spans="2:15" x14ac:dyDescent="0.25">
      <c r="B69" s="340"/>
      <c r="C69" s="340"/>
      <c r="D69" s="340"/>
      <c r="E69" s="340"/>
      <c r="F69" s="340"/>
      <c r="G69" s="340"/>
      <c r="H69" s="340"/>
      <c r="I69" s="340"/>
      <c r="J69" s="340"/>
      <c r="K69" s="340"/>
      <c r="L69" s="340"/>
      <c r="M69" s="340"/>
      <c r="N69" s="340"/>
      <c r="O69" s="340"/>
    </row>
    <row r="70" spans="2:15" x14ac:dyDescent="0.25">
      <c r="B70" s="340"/>
      <c r="C70" s="340"/>
      <c r="D70" s="340"/>
      <c r="E70" s="341"/>
      <c r="F70" s="340"/>
      <c r="G70" s="340"/>
      <c r="H70" s="340"/>
      <c r="I70" s="340"/>
      <c r="J70" s="340"/>
      <c r="K70" s="340"/>
      <c r="L70" s="340"/>
      <c r="M70" s="340"/>
      <c r="N70" s="340"/>
      <c r="O70" s="340"/>
    </row>
    <row r="71" spans="2:15" x14ac:dyDescent="0.25">
      <c r="B71" s="340"/>
      <c r="C71" s="340"/>
      <c r="D71" s="340"/>
      <c r="E71" s="341"/>
      <c r="F71" s="341"/>
      <c r="G71" s="341"/>
      <c r="H71" s="341"/>
      <c r="I71" s="341"/>
      <c r="J71" s="341"/>
      <c r="K71" s="341"/>
      <c r="L71" s="341"/>
      <c r="M71" s="341"/>
      <c r="N71" s="341"/>
      <c r="O71" s="341"/>
    </row>
    <row r="72" spans="2:15" x14ac:dyDescent="0.25">
      <c r="E72" s="342"/>
      <c r="F72" s="342"/>
      <c r="G72" s="342"/>
      <c r="H72" s="342"/>
      <c r="I72" s="342"/>
      <c r="J72" s="342"/>
      <c r="K72" s="342"/>
      <c r="L72" s="342"/>
      <c r="M72" s="342"/>
      <c r="N72" s="342"/>
      <c r="O72" s="342"/>
    </row>
    <row r="73" spans="2:15" x14ac:dyDescent="0.25">
      <c r="E73" s="340"/>
      <c r="F73" s="340"/>
      <c r="G73" s="340"/>
      <c r="H73" s="340"/>
      <c r="I73" s="340"/>
      <c r="J73" s="340"/>
      <c r="K73" s="340"/>
      <c r="L73" s="340"/>
      <c r="M73" s="340"/>
      <c r="N73" s="340"/>
      <c r="O73" s="340"/>
    </row>
    <row r="74" spans="2:15" x14ac:dyDescent="0.25">
      <c r="E74" s="340"/>
      <c r="F74" s="340"/>
      <c r="G74" s="340"/>
      <c r="H74" s="340"/>
      <c r="I74" s="340"/>
      <c r="J74" s="340"/>
      <c r="K74" s="340"/>
      <c r="L74" s="340"/>
      <c r="M74" s="340"/>
      <c r="N74" s="340"/>
      <c r="O74" s="340"/>
    </row>
    <row r="75" spans="2:15" x14ac:dyDescent="0.25">
      <c r="C75" s="183"/>
      <c r="D75" s="183"/>
      <c r="E75" s="340"/>
      <c r="F75" s="340"/>
      <c r="G75" s="340"/>
      <c r="H75" s="340"/>
      <c r="I75" s="340"/>
      <c r="J75" s="340"/>
      <c r="K75" s="340"/>
      <c r="L75" s="340"/>
      <c r="M75" s="340"/>
      <c r="N75" s="340"/>
      <c r="O75" s="340"/>
    </row>
    <row r="76" spans="2:15" x14ac:dyDescent="0.25">
      <c r="C76" s="183"/>
      <c r="D76" s="183"/>
      <c r="E76" s="340"/>
      <c r="F76" s="340"/>
      <c r="G76" s="340"/>
      <c r="H76" s="340"/>
      <c r="I76" s="340"/>
      <c r="J76" s="340"/>
      <c r="K76" s="340"/>
      <c r="L76" s="340"/>
      <c r="M76" s="340"/>
      <c r="N76" s="340"/>
      <c r="O76" s="340"/>
    </row>
    <row r="77" spans="2:15" x14ac:dyDescent="0.25">
      <c r="C77" s="183"/>
      <c r="D77" s="183"/>
      <c r="E77" s="340"/>
      <c r="F77" s="340"/>
      <c r="G77" s="340"/>
      <c r="H77" s="340"/>
      <c r="I77" s="340"/>
      <c r="J77" s="340"/>
      <c r="K77" s="340"/>
      <c r="L77" s="340"/>
      <c r="M77" s="340"/>
      <c r="N77" s="340"/>
      <c r="O77" s="340"/>
    </row>
    <row r="78" spans="2:15" x14ac:dyDescent="0.25">
      <c r="C78" s="183"/>
      <c r="D78" s="183"/>
      <c r="E78" s="340"/>
      <c r="F78" s="340"/>
      <c r="G78" s="340"/>
      <c r="H78" s="340"/>
      <c r="I78" s="340"/>
      <c r="J78" s="340"/>
      <c r="K78" s="340"/>
      <c r="L78" s="340"/>
      <c r="M78" s="340"/>
      <c r="N78" s="340"/>
      <c r="O78" s="340"/>
    </row>
    <row r="79" spans="2:15" x14ac:dyDescent="0.25">
      <c r="C79" s="183"/>
      <c r="D79" s="183"/>
      <c r="E79" s="340"/>
      <c r="F79" s="340"/>
      <c r="G79" s="340"/>
      <c r="H79" s="340"/>
      <c r="I79" s="340"/>
      <c r="J79" s="340"/>
      <c r="K79" s="340"/>
      <c r="L79" s="340"/>
      <c r="M79" s="340"/>
      <c r="N79" s="340"/>
      <c r="O79" s="340"/>
    </row>
    <row r="80" spans="2:15" x14ac:dyDescent="0.25">
      <c r="C80" s="183"/>
      <c r="D80" s="183"/>
      <c r="E80" s="340"/>
      <c r="F80" s="340"/>
      <c r="G80" s="340"/>
      <c r="H80" s="340"/>
      <c r="I80" s="340"/>
      <c r="J80" s="340"/>
      <c r="K80" s="340"/>
      <c r="L80" s="340"/>
      <c r="M80" s="340"/>
      <c r="N80" s="340"/>
      <c r="O80" s="340"/>
    </row>
    <row r="85" spans="4:4" x14ac:dyDescent="0.25">
      <c r="D85" s="323"/>
    </row>
    <row r="86" spans="4:4" x14ac:dyDescent="0.25">
      <c r="D86" s="323"/>
    </row>
    <row r="87" spans="4:4" x14ac:dyDescent="0.25">
      <c r="D87" s="343"/>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606AD-EF27-4D16-90F3-D6C2C8D84E71}">
  <sheetPr codeName="Sheet11">
    <tabColor rgb="FFFFC000"/>
  </sheetPr>
  <dimension ref="A1:AM39"/>
  <sheetViews>
    <sheetView zoomScaleNormal="100" workbookViewId="0">
      <selection activeCell="J31" sqref="J31"/>
    </sheetView>
  </sheetViews>
  <sheetFormatPr defaultRowHeight="15" customHeight="1" x14ac:dyDescent="0.25"/>
  <cols>
    <col min="6" max="6" width="11.42578125" customWidth="1"/>
    <col min="7" max="7" width="12.42578125" customWidth="1"/>
    <col min="8" max="9" width="11.42578125" bestFit="1" customWidth="1"/>
    <col min="10" max="10" width="24.42578125" customWidth="1"/>
    <col min="11" max="14" width="11.42578125" bestFit="1" customWidth="1"/>
    <col min="15" max="22" width="9.140625" customWidth="1"/>
    <col min="23" max="23" width="13.5703125" customWidth="1"/>
    <col min="24" max="24" width="11.28515625" customWidth="1"/>
    <col min="25" max="26" width="9.140625" customWidth="1"/>
    <col min="27" max="27" width="20" customWidth="1"/>
  </cols>
  <sheetData>
    <row r="1" spans="1:39" x14ac:dyDescent="0.25">
      <c r="B1" s="38" t="s">
        <v>129</v>
      </c>
      <c r="C1" s="38" t="str">
        <f>B1</f>
        <v>Current</v>
      </c>
      <c r="D1" s="38" t="str">
        <f>C1</f>
        <v>Current</v>
      </c>
      <c r="E1" s="38" t="str">
        <f>C1</f>
        <v>Current</v>
      </c>
      <c r="F1" s="38" t="str">
        <f>E1</f>
        <v>Current</v>
      </c>
      <c r="G1" s="38" t="str">
        <f>F1</f>
        <v>Current</v>
      </c>
      <c r="H1" s="38" t="str">
        <f>G1</f>
        <v>Current</v>
      </c>
      <c r="I1" s="17"/>
      <c r="J1" s="376" t="s">
        <v>309</v>
      </c>
      <c r="K1" s="176" t="s">
        <v>310</v>
      </c>
      <c r="L1" s="176" t="s">
        <v>310</v>
      </c>
      <c r="M1" s="176" t="s">
        <v>310</v>
      </c>
      <c r="N1" s="176" t="s">
        <v>310</v>
      </c>
      <c r="O1" s="176" t="s">
        <v>310</v>
      </c>
      <c r="P1" s="176" t="s">
        <v>310</v>
      </c>
      <c r="S1" s="38" t="s">
        <v>311</v>
      </c>
      <c r="U1" t="s">
        <v>312</v>
      </c>
      <c r="W1" t="s">
        <v>313</v>
      </c>
    </row>
    <row r="2" spans="1:39" x14ac:dyDescent="0.25">
      <c r="A2" s="93"/>
      <c r="B2" s="178" t="s">
        <v>314</v>
      </c>
      <c r="C2" s="178" t="s">
        <v>92</v>
      </c>
      <c r="D2" s="178" t="s">
        <v>94</v>
      </c>
      <c r="E2" s="178" t="s">
        <v>61</v>
      </c>
      <c r="F2" s="178" t="s">
        <v>315</v>
      </c>
      <c r="G2" s="178" t="s">
        <v>316</v>
      </c>
      <c r="H2" s="178" t="s">
        <v>317</v>
      </c>
      <c r="I2" s="17"/>
      <c r="J2" s="377"/>
      <c r="K2" s="177" t="s">
        <v>92</v>
      </c>
      <c r="L2" s="177" t="s">
        <v>94</v>
      </c>
      <c r="M2" s="177" t="str">
        <f>E2</f>
        <v>Auction</v>
      </c>
      <c r="N2" s="177" t="str">
        <f>F2</f>
        <v>Floor</v>
      </c>
      <c r="O2" s="177" t="s">
        <v>316</v>
      </c>
      <c r="P2" s="177" t="s">
        <v>317</v>
      </c>
      <c r="R2" t="s">
        <v>315</v>
      </c>
      <c r="S2" s="21">
        <v>0.03</v>
      </c>
      <c r="U2" s="165" t="s">
        <v>318</v>
      </c>
      <c r="V2">
        <v>1026</v>
      </c>
      <c r="W2">
        <v>2020</v>
      </c>
      <c r="X2">
        <f>V7</f>
        <v>1047</v>
      </c>
      <c r="Y2" s="3"/>
      <c r="Z2" s="20"/>
    </row>
    <row r="3" spans="1:39" x14ac:dyDescent="0.25">
      <c r="A3">
        <v>2022</v>
      </c>
      <c r="B3" s="2">
        <v>26.3</v>
      </c>
      <c r="C3" s="2">
        <v>7</v>
      </c>
      <c r="D3" s="2"/>
      <c r="E3" s="2">
        <v>19.3</v>
      </c>
      <c r="F3" s="255">
        <v>30</v>
      </c>
      <c r="G3" s="255">
        <v>70</v>
      </c>
      <c r="H3" s="255"/>
      <c r="I3" s="17"/>
      <c r="J3" s="21"/>
      <c r="K3" s="2"/>
      <c r="L3">
        <v>7</v>
      </c>
      <c r="M3" s="2">
        <v>19.3</v>
      </c>
      <c r="N3" s="18">
        <f>F3</f>
        <v>30</v>
      </c>
      <c r="O3" s="18">
        <f>G3</f>
        <v>70</v>
      </c>
      <c r="P3" s="18">
        <v>0</v>
      </c>
      <c r="R3" t="s">
        <v>316</v>
      </c>
      <c r="S3" s="13">
        <v>0.03</v>
      </c>
      <c r="T3" s="17"/>
      <c r="U3" s="165" t="s">
        <v>319</v>
      </c>
      <c r="V3">
        <v>1032</v>
      </c>
      <c r="W3">
        <v>2021</v>
      </c>
      <c r="X3">
        <f>V11</f>
        <v>1082</v>
      </c>
      <c r="Y3" s="3"/>
      <c r="Z3" s="20"/>
    </row>
    <row r="4" spans="1:39" x14ac:dyDescent="0.25">
      <c r="A4">
        <f>A3+1</f>
        <v>2023</v>
      </c>
      <c r="B4" s="2">
        <v>0</v>
      </c>
      <c r="C4" s="2">
        <v>0</v>
      </c>
      <c r="D4" s="2"/>
      <c r="E4" s="2">
        <v>0</v>
      </c>
      <c r="F4" s="255">
        <v>60</v>
      </c>
      <c r="G4" s="255">
        <v>173</v>
      </c>
      <c r="H4" s="255">
        <v>216</v>
      </c>
      <c r="I4" s="17"/>
      <c r="K4">
        <v>2.9</v>
      </c>
      <c r="L4">
        <v>5.0999999999999996</v>
      </c>
      <c r="M4" s="2">
        <v>0</v>
      </c>
      <c r="N4" s="18">
        <v>60</v>
      </c>
      <c r="O4" s="18">
        <v>173</v>
      </c>
      <c r="P4" s="18">
        <v>216</v>
      </c>
      <c r="Q4" s="2"/>
      <c r="R4" t="s">
        <v>317</v>
      </c>
      <c r="S4" s="13">
        <v>0.03</v>
      </c>
      <c r="T4" s="17"/>
      <c r="U4" s="165" t="s">
        <v>320</v>
      </c>
      <c r="V4">
        <v>1039</v>
      </c>
      <c r="W4">
        <v>2022</v>
      </c>
      <c r="X4">
        <f>V15</f>
        <v>1161</v>
      </c>
      <c r="Y4" s="3"/>
      <c r="Z4" s="20"/>
      <c r="AC4" s="344"/>
      <c r="AD4" s="344"/>
      <c r="AE4" s="344"/>
      <c r="AF4" s="344"/>
      <c r="AG4" s="344"/>
      <c r="AH4" s="344"/>
      <c r="AI4" s="344"/>
      <c r="AJ4" s="344"/>
      <c r="AK4" s="344"/>
      <c r="AL4" s="344"/>
      <c r="AM4" s="344"/>
    </row>
    <row r="5" spans="1:39" x14ac:dyDescent="0.25">
      <c r="A5">
        <f t="shared" ref="A5:A31" si="0">A4+1</f>
        <v>2024</v>
      </c>
      <c r="B5" s="2">
        <f>SUM(C5:E5)</f>
        <v>14.7</v>
      </c>
      <c r="C5" s="2">
        <v>2.8</v>
      </c>
      <c r="D5" s="2">
        <v>4.9000000000000004</v>
      </c>
      <c r="E5" s="2">
        <v>7</v>
      </c>
      <c r="F5" s="255">
        <f>F4*(1+$S$2)</f>
        <v>61.800000000000004</v>
      </c>
      <c r="G5" s="255">
        <f t="shared" ref="G5:G31" si="1">G4*(1+$S$3)</f>
        <v>178.19</v>
      </c>
      <c r="H5" s="255">
        <f t="shared" ref="H5:H31" si="2">H4*(1+$S$4)</f>
        <v>222.48000000000002</v>
      </c>
      <c r="I5" s="346"/>
      <c r="K5">
        <v>2.8</v>
      </c>
      <c r="L5">
        <v>4.9000000000000004</v>
      </c>
      <c r="M5" s="273">
        <v>7</v>
      </c>
      <c r="N5" s="18">
        <f>N4*(1+$S$2)</f>
        <v>61.800000000000004</v>
      </c>
      <c r="O5" s="18">
        <f>O4*(1+$S$3)</f>
        <v>178.19</v>
      </c>
      <c r="P5" s="18">
        <f>P4*(1+$S$4)</f>
        <v>222.48000000000002</v>
      </c>
      <c r="Q5" s="2"/>
      <c r="R5" s="2"/>
      <c r="S5" s="2"/>
      <c r="T5" s="17"/>
      <c r="U5" s="165" t="s">
        <v>321</v>
      </c>
      <c r="V5">
        <v>1044</v>
      </c>
      <c r="W5">
        <v>2023</v>
      </c>
      <c r="X5" s="3">
        <f>V19</f>
        <v>1231</v>
      </c>
      <c r="Y5" s="3"/>
      <c r="Z5" s="20"/>
      <c r="AA5" s="2"/>
      <c r="AC5" s="345"/>
      <c r="AD5" s="345"/>
      <c r="AE5" s="345"/>
      <c r="AF5" s="345"/>
      <c r="AG5" s="345"/>
      <c r="AH5" s="345"/>
      <c r="AI5" s="345"/>
      <c r="AJ5" s="345"/>
      <c r="AK5" s="345"/>
      <c r="AL5" s="345"/>
      <c r="AM5" s="345"/>
    </row>
    <row r="6" spans="1:39" x14ac:dyDescent="0.25">
      <c r="A6">
        <f t="shared" si="0"/>
        <v>2025</v>
      </c>
      <c r="B6" s="2">
        <f t="shared" ref="B6:B27" si="3">SUM(C6:E6)</f>
        <v>13.1</v>
      </c>
      <c r="C6" s="2">
        <v>2.6</v>
      </c>
      <c r="D6" s="2">
        <v>4.5</v>
      </c>
      <c r="E6" s="2">
        <f>M6</f>
        <v>6</v>
      </c>
      <c r="F6" s="255">
        <f>F5*(1+$S$2)</f>
        <v>63.654000000000003</v>
      </c>
      <c r="G6" s="255">
        <f t="shared" si="1"/>
        <v>183.53569999999999</v>
      </c>
      <c r="H6" s="255">
        <f t="shared" si="2"/>
        <v>229.15440000000004</v>
      </c>
      <c r="I6" s="272"/>
      <c r="J6" s="347"/>
      <c r="K6">
        <v>2.6</v>
      </c>
      <c r="L6">
        <v>4.5</v>
      </c>
      <c r="M6" s="349">
        <v>6</v>
      </c>
      <c r="N6" s="18">
        <f>N5*(1+$S$2)</f>
        <v>63.654000000000003</v>
      </c>
      <c r="O6" s="18">
        <f>O5*(1+$S$3)</f>
        <v>183.53569999999999</v>
      </c>
      <c r="P6" s="18">
        <f t="shared" ref="P6:P31" si="4">P5*(1+$S$4)</f>
        <v>229.15440000000004</v>
      </c>
      <c r="Q6" s="2"/>
      <c r="R6" s="2"/>
      <c r="S6" s="2"/>
      <c r="T6" s="17"/>
      <c r="U6" s="165" t="s">
        <v>322</v>
      </c>
      <c r="V6">
        <v>1052</v>
      </c>
      <c r="W6">
        <v>2024</v>
      </c>
      <c r="X6" s="3">
        <f>X5*1.034</f>
        <v>1272.854</v>
      </c>
      <c r="Y6" s="3"/>
      <c r="Z6" s="20"/>
      <c r="AA6" s="2"/>
    </row>
    <row r="7" spans="1:39" x14ac:dyDescent="0.25">
      <c r="A7">
        <f t="shared" si="0"/>
        <v>2026</v>
      </c>
      <c r="B7" s="36">
        <f t="shared" si="3"/>
        <v>11.7</v>
      </c>
      <c r="C7" s="36">
        <v>2.2999999999999998</v>
      </c>
      <c r="D7" s="36">
        <v>4.2</v>
      </c>
      <c r="E7" s="36">
        <f t="shared" ref="E7:E8" si="5">M7</f>
        <v>5.2</v>
      </c>
      <c r="F7" s="254">
        <v>65.56362</v>
      </c>
      <c r="G7" s="254">
        <f>G6*(1+$S$3)</f>
        <v>189.04177099999998</v>
      </c>
      <c r="H7" s="254">
        <f t="shared" si="2"/>
        <v>236.02903200000006</v>
      </c>
      <c r="I7" s="272"/>
      <c r="J7" s="347"/>
      <c r="K7">
        <v>2.2999999999999998</v>
      </c>
      <c r="L7">
        <v>4.2</v>
      </c>
      <c r="M7" s="349">
        <v>5.2</v>
      </c>
      <c r="N7" s="18">
        <f t="shared" ref="N7:N31" si="6">N6*(1+$S$2)</f>
        <v>65.56362</v>
      </c>
      <c r="O7" s="18">
        <f>O6*(1+$S$3)</f>
        <v>189.04177099999998</v>
      </c>
      <c r="P7" s="18">
        <f t="shared" si="4"/>
        <v>236.02903200000006</v>
      </c>
      <c r="Q7" s="2"/>
      <c r="U7" s="165" t="s">
        <v>323</v>
      </c>
      <c r="V7">
        <v>1047</v>
      </c>
      <c r="W7">
        <v>2025</v>
      </c>
      <c r="X7" s="3">
        <f>X6*1.022</f>
        <v>1300.8567880000001</v>
      </c>
      <c r="Y7" s="3"/>
      <c r="Z7" s="20"/>
      <c r="AA7" s="2"/>
    </row>
    <row r="8" spans="1:39" x14ac:dyDescent="0.25">
      <c r="A8">
        <f t="shared" si="0"/>
        <v>2027</v>
      </c>
      <c r="B8" s="36">
        <f t="shared" si="3"/>
        <v>10.199999999999999</v>
      </c>
      <c r="C8" s="36">
        <v>2.1</v>
      </c>
      <c r="D8" s="36">
        <v>3.8</v>
      </c>
      <c r="E8" s="36">
        <f t="shared" si="5"/>
        <v>4.3</v>
      </c>
      <c r="F8" s="254">
        <f>F7*(1+$S$2)</f>
        <v>67.530528599999997</v>
      </c>
      <c r="G8" s="254">
        <f>G7*(1+$S$3)</f>
        <v>194.71302412999998</v>
      </c>
      <c r="H8" s="254">
        <f t="shared" si="2"/>
        <v>243.10990296000006</v>
      </c>
      <c r="I8" s="272"/>
      <c r="J8" s="347"/>
      <c r="K8">
        <v>2.1</v>
      </c>
      <c r="L8">
        <v>3.8</v>
      </c>
      <c r="M8" s="349">
        <v>4.3</v>
      </c>
      <c r="N8" s="18">
        <f t="shared" si="6"/>
        <v>67.530528599999997</v>
      </c>
      <c r="O8" s="18">
        <f t="shared" ref="O8:O31" si="7">O7*(1+$S$3)</f>
        <v>194.71302412999998</v>
      </c>
      <c r="P8" s="18">
        <f t="shared" si="4"/>
        <v>243.10990296000006</v>
      </c>
      <c r="Q8" s="2"/>
      <c r="U8" s="165" t="s">
        <v>324</v>
      </c>
      <c r="V8">
        <v>1054</v>
      </c>
      <c r="W8">
        <v>2026</v>
      </c>
      <c r="X8" s="3">
        <f>X7*1.02</f>
        <v>1326.87392376</v>
      </c>
      <c r="Y8" s="3"/>
      <c r="Z8" s="20"/>
      <c r="AA8" s="2"/>
    </row>
    <row r="9" spans="1:39" x14ac:dyDescent="0.25">
      <c r="A9">
        <f t="shared" si="0"/>
        <v>2028</v>
      </c>
      <c r="B9" s="36">
        <f t="shared" si="3"/>
        <v>8.6</v>
      </c>
      <c r="C9" s="36">
        <v>1.9</v>
      </c>
      <c r="D9" s="36">
        <v>3.4</v>
      </c>
      <c r="E9" s="36">
        <v>3.3</v>
      </c>
      <c r="F9" s="254">
        <f t="shared" ref="F9:F31" si="8">F8*(1+$S$2)</f>
        <v>69.556444458000001</v>
      </c>
      <c r="G9" s="254">
        <f>G8*(1+$S$3)</f>
        <v>200.55441485389997</v>
      </c>
      <c r="H9" s="254">
        <f t="shared" si="2"/>
        <v>250.40320004880007</v>
      </c>
      <c r="I9" s="272"/>
      <c r="J9" s="347"/>
      <c r="K9">
        <v>1.9</v>
      </c>
      <c r="L9">
        <v>3.4</v>
      </c>
      <c r="M9" s="349">
        <v>7</v>
      </c>
      <c r="N9" s="18">
        <f t="shared" si="6"/>
        <v>69.556444458000001</v>
      </c>
      <c r="O9" s="18">
        <f>O8*(1+$S$3)</f>
        <v>200.55441485389997</v>
      </c>
      <c r="P9" s="18">
        <f>P8*(1+$S$4)</f>
        <v>250.40320004880007</v>
      </c>
      <c r="Q9" s="2"/>
      <c r="U9" s="165" t="s">
        <v>325</v>
      </c>
      <c r="V9">
        <v>1059</v>
      </c>
      <c r="W9">
        <v>2027</v>
      </c>
      <c r="X9" s="3">
        <f t="shared" ref="X9:X32" si="9">X8*1.02</f>
        <v>1353.4114022352001</v>
      </c>
      <c r="Y9" s="3"/>
      <c r="Z9" s="20"/>
      <c r="AA9" s="2"/>
    </row>
    <row r="10" spans="1:39" x14ac:dyDescent="0.25">
      <c r="A10">
        <f t="shared" si="0"/>
        <v>2029</v>
      </c>
      <c r="B10" s="36">
        <f t="shared" si="3"/>
        <v>7.1</v>
      </c>
      <c r="C10" s="36">
        <v>1.7</v>
      </c>
      <c r="D10" s="36">
        <v>3</v>
      </c>
      <c r="E10" s="36">
        <v>2.4</v>
      </c>
      <c r="F10" s="254">
        <f t="shared" si="8"/>
        <v>71.643137791740003</v>
      </c>
      <c r="G10" s="254">
        <f t="shared" si="1"/>
        <v>206.57104729951698</v>
      </c>
      <c r="H10" s="254">
        <f t="shared" si="2"/>
        <v>257.91529605026409</v>
      </c>
      <c r="I10" s="272"/>
      <c r="J10" s="347"/>
      <c r="K10">
        <v>1.7</v>
      </c>
      <c r="L10">
        <v>3</v>
      </c>
      <c r="M10" s="349">
        <v>7</v>
      </c>
      <c r="N10" s="18">
        <f t="shared" si="6"/>
        <v>71.643137791740003</v>
      </c>
      <c r="O10" s="18">
        <f t="shared" si="7"/>
        <v>206.57104729951698</v>
      </c>
      <c r="P10" s="18">
        <f t="shared" si="4"/>
        <v>257.91529605026409</v>
      </c>
      <c r="Q10" s="2"/>
      <c r="U10" s="165" t="s">
        <v>326</v>
      </c>
      <c r="V10">
        <v>1068</v>
      </c>
      <c r="W10">
        <v>2028</v>
      </c>
      <c r="X10" s="3">
        <f t="shared" si="9"/>
        <v>1380.4796302799041</v>
      </c>
      <c r="Y10" s="3"/>
      <c r="Z10" s="20"/>
      <c r="AA10" s="2"/>
    </row>
    <row r="11" spans="1:39" x14ac:dyDescent="0.25">
      <c r="A11">
        <f t="shared" si="0"/>
        <v>2030</v>
      </c>
      <c r="B11" s="36">
        <f t="shared" si="3"/>
        <v>5.6</v>
      </c>
      <c r="C11" s="36">
        <v>1.4</v>
      </c>
      <c r="D11" s="36">
        <v>2.5</v>
      </c>
      <c r="E11" s="36">
        <v>1.7</v>
      </c>
      <c r="F11" s="254">
        <f t="shared" si="8"/>
        <v>73.79243192549221</v>
      </c>
      <c r="G11" s="254">
        <f>G10*(1+$S$3)</f>
        <v>212.7681787185025</v>
      </c>
      <c r="H11" s="254">
        <f t="shared" si="2"/>
        <v>265.65275493177199</v>
      </c>
      <c r="I11" s="272"/>
      <c r="J11" s="347"/>
      <c r="K11">
        <v>1.4</v>
      </c>
      <c r="L11">
        <v>2.5</v>
      </c>
      <c r="M11" s="349">
        <v>7</v>
      </c>
      <c r="N11" s="18">
        <f t="shared" si="6"/>
        <v>73.79243192549221</v>
      </c>
      <c r="O11" s="18">
        <f t="shared" si="7"/>
        <v>212.7681787185025</v>
      </c>
      <c r="P11" s="18">
        <f t="shared" si="4"/>
        <v>265.65275493177199</v>
      </c>
      <c r="Q11" s="2"/>
      <c r="U11" s="165" t="s">
        <v>327</v>
      </c>
      <c r="V11">
        <v>1082</v>
      </c>
      <c r="W11">
        <v>2029</v>
      </c>
      <c r="X11" s="3">
        <f t="shared" si="9"/>
        <v>1408.0892228855023</v>
      </c>
      <c r="Y11" s="3"/>
      <c r="Z11" s="20"/>
      <c r="AA11" s="2"/>
    </row>
    <row r="12" spans="1:39" x14ac:dyDescent="0.25">
      <c r="A12">
        <f t="shared" si="0"/>
        <v>2031</v>
      </c>
      <c r="B12" s="2">
        <f t="shared" si="3"/>
        <v>9.1999999999999993</v>
      </c>
      <c r="C12" s="2">
        <v>1.2</v>
      </c>
      <c r="D12" s="2">
        <v>2.2999999999999998</v>
      </c>
      <c r="E12" s="2">
        <v>5.7</v>
      </c>
      <c r="F12" s="255">
        <f>F11*(1+$S$2)</f>
        <v>76.006204883256984</v>
      </c>
      <c r="G12" s="255">
        <f>G11*(1+$S$3)</f>
        <v>219.15122408005757</v>
      </c>
      <c r="H12" s="255">
        <f t="shared" si="2"/>
        <v>273.62233757972518</v>
      </c>
      <c r="I12" s="17"/>
      <c r="J12" s="348"/>
      <c r="K12">
        <v>1.2</v>
      </c>
      <c r="L12">
        <v>2.2999999999999998</v>
      </c>
      <c r="M12" s="349">
        <v>5.7</v>
      </c>
      <c r="N12" s="18">
        <f>N11*(1+$S$2)</f>
        <v>76.006204883256984</v>
      </c>
      <c r="O12" s="18">
        <f t="shared" si="7"/>
        <v>219.15122408005757</v>
      </c>
      <c r="P12" s="18">
        <f t="shared" si="4"/>
        <v>273.62233757972518</v>
      </c>
      <c r="Q12" s="2"/>
      <c r="U12" s="165" t="s">
        <v>328</v>
      </c>
      <c r="V12">
        <v>1106</v>
      </c>
      <c r="W12">
        <v>2030</v>
      </c>
      <c r="X12" s="3">
        <f t="shared" si="9"/>
        <v>1436.2510073432124</v>
      </c>
      <c r="Y12" s="3"/>
      <c r="Z12" s="20"/>
      <c r="AA12" s="2"/>
    </row>
    <row r="13" spans="1:39" x14ac:dyDescent="0.25">
      <c r="A13">
        <f t="shared" si="0"/>
        <v>2032</v>
      </c>
      <c r="B13" s="2">
        <f t="shared" si="3"/>
        <v>8.1999999999999993</v>
      </c>
      <c r="C13" s="2">
        <v>1</v>
      </c>
      <c r="D13" s="2">
        <v>2.0999999999999996</v>
      </c>
      <c r="E13" s="2">
        <v>5.0999999999999996</v>
      </c>
      <c r="F13" s="255">
        <f t="shared" si="8"/>
        <v>78.286391029754697</v>
      </c>
      <c r="G13" s="255">
        <f>G12*(1+$S$3)</f>
        <v>225.72576080245932</v>
      </c>
      <c r="H13" s="255">
        <f t="shared" si="2"/>
        <v>281.83100770711695</v>
      </c>
      <c r="I13" s="17"/>
      <c r="J13" s="348"/>
      <c r="K13">
        <v>1</v>
      </c>
      <c r="L13">
        <v>2.0999999999999996</v>
      </c>
      <c r="M13" s="349">
        <v>5.0999999999999996</v>
      </c>
      <c r="N13" s="18">
        <f t="shared" si="6"/>
        <v>78.286391029754697</v>
      </c>
      <c r="O13" s="18">
        <f t="shared" si="7"/>
        <v>225.72576080245932</v>
      </c>
      <c r="P13" s="18">
        <f t="shared" si="4"/>
        <v>281.83100770711695</v>
      </c>
      <c r="Q13" s="2"/>
      <c r="U13" s="165" t="s">
        <v>329</v>
      </c>
      <c r="V13">
        <v>1122</v>
      </c>
      <c r="W13">
        <v>2031</v>
      </c>
      <c r="X13" s="3">
        <f t="shared" si="9"/>
        <v>1464.9760274900768</v>
      </c>
      <c r="Y13" s="3"/>
      <c r="Z13" s="20"/>
      <c r="AA13" s="2"/>
    </row>
    <row r="14" spans="1:39" x14ac:dyDescent="0.25">
      <c r="A14">
        <f t="shared" si="0"/>
        <v>2033</v>
      </c>
      <c r="B14" s="2">
        <f t="shared" si="3"/>
        <v>7.1</v>
      </c>
      <c r="C14" s="2">
        <v>0.8</v>
      </c>
      <c r="D14" s="2">
        <v>1.8999999999999997</v>
      </c>
      <c r="E14" s="2">
        <v>4.4000000000000004</v>
      </c>
      <c r="F14" s="255">
        <f t="shared" si="8"/>
        <v>80.634982760647333</v>
      </c>
      <c r="G14" s="255">
        <f t="shared" si="1"/>
        <v>232.49753362653311</v>
      </c>
      <c r="H14" s="255">
        <f t="shared" si="2"/>
        <v>290.28593793833045</v>
      </c>
      <c r="I14" s="17"/>
      <c r="J14" s="348"/>
      <c r="K14">
        <v>0.8</v>
      </c>
      <c r="L14">
        <v>1.8999999999999997</v>
      </c>
      <c r="M14" s="349">
        <v>4.4000000000000004</v>
      </c>
      <c r="N14" s="18">
        <f t="shared" si="6"/>
        <v>80.634982760647333</v>
      </c>
      <c r="O14" s="18">
        <f t="shared" si="7"/>
        <v>232.49753362653311</v>
      </c>
      <c r="P14" s="18">
        <f t="shared" si="4"/>
        <v>290.28593793833045</v>
      </c>
      <c r="Q14" s="2"/>
      <c r="U14" s="165" t="s">
        <v>330</v>
      </c>
      <c r="V14">
        <v>1142</v>
      </c>
      <c r="W14">
        <v>2032</v>
      </c>
      <c r="X14" s="3">
        <f t="shared" si="9"/>
        <v>1494.2755480398785</v>
      </c>
      <c r="Y14" s="3"/>
      <c r="Z14" s="20"/>
      <c r="AA14" s="2"/>
    </row>
    <row r="15" spans="1:39" x14ac:dyDescent="0.25">
      <c r="A15">
        <f t="shared" si="0"/>
        <v>2034</v>
      </c>
      <c r="B15" s="2">
        <f t="shared" si="3"/>
        <v>5.8</v>
      </c>
      <c r="C15" s="2">
        <v>0.60000000000000009</v>
      </c>
      <c r="D15" s="2">
        <v>1.6999999999999997</v>
      </c>
      <c r="E15" s="2">
        <v>3.5</v>
      </c>
      <c r="F15" s="255">
        <f t="shared" si="8"/>
        <v>83.05403224346675</v>
      </c>
      <c r="G15" s="255">
        <f t="shared" si="1"/>
        <v>239.4724596353291</v>
      </c>
      <c r="H15" s="255">
        <f t="shared" si="2"/>
        <v>298.99451607648035</v>
      </c>
      <c r="I15" s="17"/>
      <c r="J15" s="348"/>
      <c r="K15">
        <v>0.60000000000000009</v>
      </c>
      <c r="L15">
        <v>1.6999999999999997</v>
      </c>
      <c r="M15" s="349">
        <v>3.5</v>
      </c>
      <c r="N15" s="18">
        <f t="shared" si="6"/>
        <v>83.05403224346675</v>
      </c>
      <c r="O15" s="18">
        <f t="shared" si="7"/>
        <v>239.4724596353291</v>
      </c>
      <c r="P15" s="18">
        <f t="shared" si="4"/>
        <v>298.99451607648035</v>
      </c>
      <c r="Q15" s="2"/>
      <c r="U15" s="165" t="s">
        <v>331</v>
      </c>
      <c r="V15">
        <v>1161</v>
      </c>
      <c r="W15">
        <v>2033</v>
      </c>
      <c r="X15" s="3">
        <f t="shared" si="9"/>
        <v>1524.161059000676</v>
      </c>
      <c r="Y15" s="3"/>
      <c r="Z15" s="20"/>
      <c r="AA15" s="2"/>
    </row>
    <row r="16" spans="1:39" x14ac:dyDescent="0.25">
      <c r="A16">
        <f t="shared" si="0"/>
        <v>2035</v>
      </c>
      <c r="B16" s="2">
        <f t="shared" si="3"/>
        <v>4.5999999999999996</v>
      </c>
      <c r="C16" s="2">
        <v>0.40000000000000008</v>
      </c>
      <c r="D16" s="2">
        <v>1.4999999999999998</v>
      </c>
      <c r="E16" s="2">
        <v>2.7</v>
      </c>
      <c r="F16" s="255">
        <f t="shared" si="8"/>
        <v>85.545653210770752</v>
      </c>
      <c r="G16" s="255">
        <f t="shared" si="1"/>
        <v>246.65663342438899</v>
      </c>
      <c r="H16" s="255">
        <f t="shared" si="2"/>
        <v>307.96435155877475</v>
      </c>
      <c r="I16" s="17"/>
      <c r="J16" s="348"/>
      <c r="K16">
        <v>0.40000000000000008</v>
      </c>
      <c r="L16">
        <v>1.4999999999999998</v>
      </c>
      <c r="M16" s="349">
        <v>2.7</v>
      </c>
      <c r="N16" s="18">
        <f t="shared" si="6"/>
        <v>85.545653210770752</v>
      </c>
      <c r="O16" s="18">
        <f t="shared" si="7"/>
        <v>246.65663342438899</v>
      </c>
      <c r="P16" s="18">
        <f t="shared" si="4"/>
        <v>307.96435155877475</v>
      </c>
      <c r="Q16" s="2"/>
      <c r="U16" s="165" t="s">
        <v>332</v>
      </c>
      <c r="V16">
        <v>1186</v>
      </c>
      <c r="W16">
        <v>2034</v>
      </c>
      <c r="X16" s="3">
        <f t="shared" si="9"/>
        <v>1554.6442801806895</v>
      </c>
      <c r="Y16" s="3"/>
      <c r="Z16" s="20"/>
      <c r="AA16" s="2"/>
    </row>
    <row r="17" spans="1:26" x14ac:dyDescent="0.25">
      <c r="A17">
        <f t="shared" si="0"/>
        <v>2036</v>
      </c>
      <c r="B17" s="2">
        <f t="shared" si="3"/>
        <v>1.4999999999999998</v>
      </c>
      <c r="C17" s="2">
        <v>0.2</v>
      </c>
      <c r="D17" s="2">
        <f>D16-0.2</f>
        <v>1.2999999999999998</v>
      </c>
      <c r="E17" s="2">
        <v>0</v>
      </c>
      <c r="F17" s="255">
        <f t="shared" si="8"/>
        <v>88.112022807093879</v>
      </c>
      <c r="G17" s="255">
        <f t="shared" si="1"/>
        <v>254.05633242712065</v>
      </c>
      <c r="H17" s="255">
        <f t="shared" si="2"/>
        <v>317.20328210553799</v>
      </c>
      <c r="I17" s="17"/>
      <c r="N17" s="18">
        <f t="shared" si="6"/>
        <v>88.112022807093879</v>
      </c>
      <c r="O17" s="18">
        <f t="shared" si="7"/>
        <v>254.05633242712065</v>
      </c>
      <c r="P17" s="18">
        <f t="shared" si="4"/>
        <v>317.20328210553799</v>
      </c>
      <c r="Q17" s="2"/>
      <c r="U17" s="165" t="s">
        <v>333</v>
      </c>
      <c r="V17">
        <v>1203</v>
      </c>
      <c r="W17">
        <v>2035</v>
      </c>
      <c r="X17" s="3">
        <f t="shared" si="9"/>
        <v>1585.7371657843034</v>
      </c>
      <c r="Y17" s="3"/>
      <c r="Z17" s="20"/>
    </row>
    <row r="18" spans="1:26" x14ac:dyDescent="0.25">
      <c r="A18">
        <f t="shared" si="0"/>
        <v>2037</v>
      </c>
      <c r="B18" s="2">
        <f t="shared" si="3"/>
        <v>1.0999999999999999</v>
      </c>
      <c r="C18" s="2">
        <v>0</v>
      </c>
      <c r="D18" s="2">
        <f t="shared" ref="D18:D23" si="10">D17-0.2</f>
        <v>1.0999999999999999</v>
      </c>
      <c r="E18" s="2">
        <v>0</v>
      </c>
      <c r="F18" s="255">
        <f t="shared" si="8"/>
        <v>90.755383491306702</v>
      </c>
      <c r="G18" s="255">
        <f t="shared" si="1"/>
        <v>261.67802239993426</v>
      </c>
      <c r="H18" s="255">
        <f t="shared" si="2"/>
        <v>326.71938056870414</v>
      </c>
      <c r="I18" s="17"/>
      <c r="N18" s="18">
        <f t="shared" si="6"/>
        <v>90.755383491306702</v>
      </c>
      <c r="O18" s="18">
        <f t="shared" si="7"/>
        <v>261.67802239993426</v>
      </c>
      <c r="P18" s="18">
        <f t="shared" si="4"/>
        <v>326.71938056870414</v>
      </c>
      <c r="Q18" s="2"/>
      <c r="U18" s="165" t="s">
        <v>334</v>
      </c>
      <c r="V18">
        <v>1218</v>
      </c>
      <c r="W18">
        <v>2036</v>
      </c>
      <c r="X18" s="3">
        <f t="shared" si="9"/>
        <v>1617.4519090999895</v>
      </c>
      <c r="Y18" s="3"/>
      <c r="Z18" s="20"/>
    </row>
    <row r="19" spans="1:26" x14ac:dyDescent="0.25">
      <c r="A19">
        <f t="shared" si="0"/>
        <v>2038</v>
      </c>
      <c r="B19" s="2">
        <f t="shared" si="3"/>
        <v>0.89999999999999991</v>
      </c>
      <c r="C19" s="2">
        <v>0</v>
      </c>
      <c r="D19" s="2">
        <f t="shared" si="10"/>
        <v>0.89999999999999991</v>
      </c>
      <c r="E19" s="2">
        <v>0</v>
      </c>
      <c r="F19" s="255">
        <f t="shared" si="8"/>
        <v>93.478044996045909</v>
      </c>
      <c r="G19" s="255">
        <f t="shared" si="1"/>
        <v>269.52836307193229</v>
      </c>
      <c r="H19" s="255">
        <f t="shared" si="2"/>
        <v>336.52096198576527</v>
      </c>
      <c r="I19" s="17"/>
      <c r="N19" s="18">
        <f t="shared" si="6"/>
        <v>93.478044996045909</v>
      </c>
      <c r="O19" s="18">
        <f t="shared" si="7"/>
        <v>269.52836307193229</v>
      </c>
      <c r="P19" s="18">
        <f t="shared" si="4"/>
        <v>336.52096198576527</v>
      </c>
      <c r="Q19" s="2"/>
      <c r="U19" s="165" t="s">
        <v>335</v>
      </c>
      <c r="V19">
        <v>1231</v>
      </c>
      <c r="W19">
        <v>2037</v>
      </c>
      <c r="X19" s="3">
        <f t="shared" si="9"/>
        <v>1649.8009472819892</v>
      </c>
      <c r="Y19" s="3"/>
      <c r="Z19" s="20"/>
    </row>
    <row r="20" spans="1:26" x14ac:dyDescent="0.25">
      <c r="A20">
        <f t="shared" si="0"/>
        <v>2039</v>
      </c>
      <c r="B20" s="2">
        <f t="shared" si="3"/>
        <v>0.7</v>
      </c>
      <c r="C20" s="2">
        <v>0</v>
      </c>
      <c r="D20" s="2">
        <f t="shared" si="10"/>
        <v>0.7</v>
      </c>
      <c r="E20" s="2">
        <v>0</v>
      </c>
      <c r="F20" s="255">
        <f t="shared" si="8"/>
        <v>96.282386345927293</v>
      </c>
      <c r="G20" s="255">
        <f t="shared" si="1"/>
        <v>277.61421396409025</v>
      </c>
      <c r="H20" s="255">
        <f t="shared" si="2"/>
        <v>346.61659084533824</v>
      </c>
      <c r="I20" s="17"/>
      <c r="N20" s="18">
        <f t="shared" si="6"/>
        <v>96.282386345927293</v>
      </c>
      <c r="O20" s="18">
        <f t="shared" si="7"/>
        <v>277.61421396409025</v>
      </c>
      <c r="P20" s="18">
        <f t="shared" si="4"/>
        <v>346.61659084533824</v>
      </c>
      <c r="Q20" s="2"/>
      <c r="U20" s="165" t="s">
        <v>336</v>
      </c>
      <c r="V20">
        <v>1253</v>
      </c>
      <c r="W20">
        <v>2038</v>
      </c>
      <c r="X20" s="3">
        <f t="shared" si="9"/>
        <v>1682.7969662276291</v>
      </c>
      <c r="Y20" s="3"/>
      <c r="Z20" s="20"/>
    </row>
    <row r="21" spans="1:26" x14ac:dyDescent="0.25">
      <c r="A21">
        <f t="shared" si="0"/>
        <v>2040</v>
      </c>
      <c r="B21" s="2">
        <f t="shared" si="3"/>
        <v>0.49999999999999994</v>
      </c>
      <c r="C21" s="2">
        <v>0</v>
      </c>
      <c r="D21" s="2">
        <f t="shared" si="10"/>
        <v>0.49999999999999994</v>
      </c>
      <c r="E21" s="2">
        <v>0</v>
      </c>
      <c r="F21" s="255">
        <f t="shared" si="8"/>
        <v>99.170857936305111</v>
      </c>
      <c r="G21" s="255">
        <f t="shared" si="1"/>
        <v>285.94264038301299</v>
      </c>
      <c r="H21" s="255">
        <f t="shared" si="2"/>
        <v>357.01508857069837</v>
      </c>
      <c r="I21" s="17"/>
      <c r="N21" s="18">
        <f t="shared" si="6"/>
        <v>99.170857936305111</v>
      </c>
      <c r="O21" s="18">
        <f t="shared" si="7"/>
        <v>285.94264038301299</v>
      </c>
      <c r="P21" s="18">
        <f t="shared" si="4"/>
        <v>357.01508857069837</v>
      </c>
      <c r="Q21" s="2"/>
      <c r="U21" s="165" t="s">
        <v>337</v>
      </c>
      <c r="V21">
        <v>1259</v>
      </c>
      <c r="W21">
        <v>2039</v>
      </c>
      <c r="X21" s="3">
        <f t="shared" si="9"/>
        <v>1716.4529055521818</v>
      </c>
      <c r="Y21" s="3"/>
      <c r="Z21" s="20"/>
    </row>
    <row r="22" spans="1:26" x14ac:dyDescent="0.25">
      <c r="A22">
        <f t="shared" si="0"/>
        <v>2041</v>
      </c>
      <c r="B22" s="2">
        <f t="shared" si="3"/>
        <v>0.29999999999999993</v>
      </c>
      <c r="C22" s="2">
        <v>0</v>
      </c>
      <c r="D22" s="2">
        <f t="shared" si="10"/>
        <v>0.29999999999999993</v>
      </c>
      <c r="E22" s="2">
        <v>0</v>
      </c>
      <c r="F22" s="255">
        <f t="shared" si="8"/>
        <v>102.14598367439427</v>
      </c>
      <c r="G22" s="255">
        <f t="shared" si="1"/>
        <v>294.52091959450337</v>
      </c>
      <c r="H22" s="255">
        <f t="shared" si="2"/>
        <v>367.72554122781935</v>
      </c>
      <c r="I22" s="17"/>
      <c r="N22" s="18">
        <f t="shared" si="6"/>
        <v>102.14598367439427</v>
      </c>
      <c r="O22" s="18">
        <f t="shared" si="7"/>
        <v>294.52091959450337</v>
      </c>
      <c r="P22" s="18">
        <f t="shared" si="4"/>
        <v>367.72554122781935</v>
      </c>
      <c r="Q22" s="2"/>
      <c r="U22" s="165" t="s">
        <v>338</v>
      </c>
      <c r="V22">
        <v>1267</v>
      </c>
      <c r="W22">
        <v>2040</v>
      </c>
      <c r="X22" s="3">
        <f t="shared" si="9"/>
        <v>1750.7819636632255</v>
      </c>
      <c r="Y22" s="3"/>
      <c r="Z22" s="20"/>
    </row>
    <row r="23" spans="1:26" x14ac:dyDescent="0.25">
      <c r="A23">
        <f t="shared" si="0"/>
        <v>2042</v>
      </c>
      <c r="B23" s="2">
        <f t="shared" si="3"/>
        <v>9.9999999999999922E-2</v>
      </c>
      <c r="C23" s="2">
        <v>0</v>
      </c>
      <c r="D23" s="2">
        <f t="shared" si="10"/>
        <v>9.9999999999999922E-2</v>
      </c>
      <c r="E23" s="2">
        <v>0</v>
      </c>
      <c r="F23" s="255">
        <f t="shared" si="8"/>
        <v>105.2103631846261</v>
      </c>
      <c r="G23" s="255">
        <f t="shared" si="1"/>
        <v>303.35654718233849</v>
      </c>
      <c r="H23" s="255">
        <f t="shared" si="2"/>
        <v>378.75730746465393</v>
      </c>
      <c r="I23" s="17"/>
      <c r="N23" s="18">
        <f t="shared" si="6"/>
        <v>105.2103631846261</v>
      </c>
      <c r="O23" s="18">
        <f t="shared" si="7"/>
        <v>303.35654718233849</v>
      </c>
      <c r="P23" s="18">
        <f t="shared" si="4"/>
        <v>378.75730746465393</v>
      </c>
      <c r="Q23" s="2"/>
      <c r="W23">
        <v>2041</v>
      </c>
      <c r="X23" s="3">
        <f t="shared" si="9"/>
        <v>1785.79760293649</v>
      </c>
      <c r="Y23" s="3"/>
      <c r="Z23" s="20"/>
    </row>
    <row r="24" spans="1:26" x14ac:dyDescent="0.25">
      <c r="A24">
        <f t="shared" si="0"/>
        <v>2043</v>
      </c>
      <c r="B24" s="2">
        <f t="shared" si="3"/>
        <v>0</v>
      </c>
      <c r="C24" s="2">
        <v>0</v>
      </c>
      <c r="D24" s="2">
        <v>0</v>
      </c>
      <c r="E24" s="2">
        <v>0</v>
      </c>
      <c r="F24" s="255">
        <f t="shared" si="8"/>
        <v>108.36667408016488</v>
      </c>
      <c r="G24" s="255">
        <f t="shared" si="1"/>
        <v>312.45724359780866</v>
      </c>
      <c r="H24" s="255">
        <f t="shared" si="2"/>
        <v>390.12002668859355</v>
      </c>
      <c r="I24" s="17"/>
      <c r="N24" s="18">
        <f t="shared" si="6"/>
        <v>108.36667408016488</v>
      </c>
      <c r="O24" s="18">
        <f t="shared" si="7"/>
        <v>312.45724359780866</v>
      </c>
      <c r="P24" s="18">
        <f t="shared" si="4"/>
        <v>390.12002668859355</v>
      </c>
      <c r="Q24" s="2"/>
      <c r="W24">
        <v>2042</v>
      </c>
      <c r="X24" s="3">
        <f t="shared" si="9"/>
        <v>1821.5135549952197</v>
      </c>
      <c r="Y24" s="3"/>
      <c r="Z24" s="20"/>
    </row>
    <row r="25" spans="1:26" x14ac:dyDescent="0.25">
      <c r="A25">
        <f t="shared" si="0"/>
        <v>2044</v>
      </c>
      <c r="B25" s="2">
        <f t="shared" si="3"/>
        <v>0</v>
      </c>
      <c r="C25" s="2">
        <v>0</v>
      </c>
      <c r="D25" s="2">
        <v>0</v>
      </c>
      <c r="E25" s="2">
        <v>0</v>
      </c>
      <c r="F25" s="255">
        <f t="shared" si="8"/>
        <v>111.61767430256984</v>
      </c>
      <c r="G25" s="255">
        <f t="shared" si="1"/>
        <v>321.83096090574293</v>
      </c>
      <c r="H25" s="255">
        <f t="shared" si="2"/>
        <v>401.82362748925135</v>
      </c>
      <c r="I25" s="17"/>
      <c r="N25" s="18">
        <f t="shared" si="6"/>
        <v>111.61767430256984</v>
      </c>
      <c r="O25" s="18">
        <f t="shared" si="7"/>
        <v>321.83096090574293</v>
      </c>
      <c r="P25" s="18">
        <f t="shared" si="4"/>
        <v>401.82362748925135</v>
      </c>
      <c r="Q25" s="2"/>
      <c r="W25">
        <v>2043</v>
      </c>
      <c r="X25" s="3">
        <f t="shared" si="9"/>
        <v>1857.9438260951242</v>
      </c>
      <c r="Y25" s="3"/>
      <c r="Z25" s="20"/>
    </row>
    <row r="26" spans="1:26" x14ac:dyDescent="0.25">
      <c r="A26">
        <f t="shared" si="0"/>
        <v>2045</v>
      </c>
      <c r="B26" s="2">
        <f t="shared" si="3"/>
        <v>0</v>
      </c>
      <c r="C26" s="2">
        <v>0</v>
      </c>
      <c r="D26" s="2">
        <v>0</v>
      </c>
      <c r="E26" s="2">
        <v>0</v>
      </c>
      <c r="F26" s="255">
        <f t="shared" si="8"/>
        <v>114.96620453164694</v>
      </c>
      <c r="G26" s="255">
        <f t="shared" si="1"/>
        <v>331.48588973291521</v>
      </c>
      <c r="H26" s="255">
        <f t="shared" si="2"/>
        <v>413.87833631392891</v>
      </c>
      <c r="I26" s="17"/>
      <c r="N26" s="18">
        <f t="shared" si="6"/>
        <v>114.96620453164694</v>
      </c>
      <c r="O26" s="18">
        <f t="shared" si="7"/>
        <v>331.48588973291521</v>
      </c>
      <c r="P26" s="18">
        <f t="shared" si="4"/>
        <v>413.87833631392891</v>
      </c>
      <c r="Q26" s="2"/>
      <c r="W26">
        <v>2044</v>
      </c>
      <c r="X26" s="3">
        <f t="shared" si="9"/>
        <v>1895.1027026170268</v>
      </c>
      <c r="Y26" s="3"/>
      <c r="Z26" s="20"/>
    </row>
    <row r="27" spans="1:26" x14ac:dyDescent="0.25">
      <c r="A27">
        <f t="shared" si="0"/>
        <v>2046</v>
      </c>
      <c r="B27" s="2">
        <f t="shared" si="3"/>
        <v>0</v>
      </c>
      <c r="C27" s="2">
        <v>0</v>
      </c>
      <c r="D27" s="2">
        <v>0</v>
      </c>
      <c r="E27" s="2">
        <v>0</v>
      </c>
      <c r="F27" s="255">
        <f t="shared" si="8"/>
        <v>118.41519066759635</v>
      </c>
      <c r="G27" s="255">
        <f t="shared" si="1"/>
        <v>341.4304664249027</v>
      </c>
      <c r="H27" s="255">
        <f t="shared" si="2"/>
        <v>426.29468640334682</v>
      </c>
      <c r="I27" s="17"/>
      <c r="N27" s="18">
        <f t="shared" si="6"/>
        <v>118.41519066759635</v>
      </c>
      <c r="O27" s="18">
        <f t="shared" si="7"/>
        <v>341.4304664249027</v>
      </c>
      <c r="P27" s="18">
        <f t="shared" si="4"/>
        <v>426.29468640334682</v>
      </c>
      <c r="Q27" s="2"/>
      <c r="W27">
        <v>2045</v>
      </c>
      <c r="X27" s="3">
        <f t="shared" si="9"/>
        <v>1933.0047566693675</v>
      </c>
      <c r="Y27" s="3"/>
      <c r="Z27" s="20"/>
    </row>
    <row r="28" spans="1:26" x14ac:dyDescent="0.25">
      <c r="A28">
        <f t="shared" si="0"/>
        <v>2047</v>
      </c>
      <c r="B28" s="2">
        <v>0</v>
      </c>
      <c r="C28" s="2">
        <v>0</v>
      </c>
      <c r="D28" s="2">
        <v>0</v>
      </c>
      <c r="E28" s="2">
        <v>0</v>
      </c>
      <c r="F28" s="255">
        <f t="shared" si="8"/>
        <v>121.96764638762424</v>
      </c>
      <c r="G28" s="255">
        <f t="shared" si="1"/>
        <v>351.67338041764981</v>
      </c>
      <c r="H28" s="255">
        <f t="shared" si="2"/>
        <v>439.08352699544724</v>
      </c>
      <c r="I28" s="17"/>
      <c r="N28" s="18">
        <f t="shared" si="6"/>
        <v>121.96764638762424</v>
      </c>
      <c r="O28" s="18">
        <f t="shared" si="7"/>
        <v>351.67338041764981</v>
      </c>
      <c r="P28" s="18">
        <f t="shared" si="4"/>
        <v>439.08352699544724</v>
      </c>
      <c r="Q28" s="2"/>
      <c r="W28">
        <v>2046</v>
      </c>
      <c r="X28" s="3">
        <f t="shared" si="9"/>
        <v>1971.6648518027548</v>
      </c>
      <c r="Y28" s="3"/>
      <c r="Z28" s="20"/>
    </row>
    <row r="29" spans="1:26" x14ac:dyDescent="0.25">
      <c r="A29">
        <f t="shared" si="0"/>
        <v>2048</v>
      </c>
      <c r="B29" s="2">
        <v>0</v>
      </c>
      <c r="C29" s="2">
        <v>0</v>
      </c>
      <c r="D29" s="2">
        <v>0</v>
      </c>
      <c r="E29" s="2">
        <v>0</v>
      </c>
      <c r="F29" s="255">
        <f t="shared" si="8"/>
        <v>125.62667577925298</v>
      </c>
      <c r="G29" s="255">
        <f t="shared" si="1"/>
        <v>362.22358183017934</v>
      </c>
      <c r="H29" s="255">
        <f t="shared" si="2"/>
        <v>452.25603280531067</v>
      </c>
      <c r="I29" s="17"/>
      <c r="N29" s="18">
        <f t="shared" si="6"/>
        <v>125.62667577925298</v>
      </c>
      <c r="O29" s="18">
        <f t="shared" si="7"/>
        <v>362.22358183017934</v>
      </c>
      <c r="P29" s="18">
        <f t="shared" si="4"/>
        <v>452.25603280531067</v>
      </c>
      <c r="Q29" s="2"/>
      <c r="W29">
        <v>2047</v>
      </c>
      <c r="X29" s="3">
        <f t="shared" si="9"/>
        <v>2011.0981488388099</v>
      </c>
      <c r="Y29" s="3"/>
      <c r="Z29" s="20"/>
    </row>
    <row r="30" spans="1:26" x14ac:dyDescent="0.25">
      <c r="A30">
        <f t="shared" si="0"/>
        <v>2049</v>
      </c>
      <c r="B30" s="2">
        <v>0</v>
      </c>
      <c r="C30" s="2">
        <v>0</v>
      </c>
      <c r="D30" s="2">
        <v>0</v>
      </c>
      <c r="E30" s="2">
        <v>0</v>
      </c>
      <c r="F30" s="255">
        <f t="shared" si="8"/>
        <v>129.39547605263056</v>
      </c>
      <c r="G30" s="255">
        <f t="shared" si="1"/>
        <v>373.09028928508474</v>
      </c>
      <c r="H30" s="255">
        <f t="shared" si="2"/>
        <v>465.82371378946999</v>
      </c>
      <c r="I30" s="17"/>
      <c r="N30" s="18">
        <f t="shared" si="6"/>
        <v>129.39547605263056</v>
      </c>
      <c r="O30" s="18">
        <f t="shared" si="7"/>
        <v>373.09028928508474</v>
      </c>
      <c r="P30" s="18">
        <f t="shared" si="4"/>
        <v>465.82371378946999</v>
      </c>
      <c r="Q30" s="2"/>
      <c r="W30">
        <v>2048</v>
      </c>
      <c r="X30" s="3">
        <f t="shared" si="9"/>
        <v>2051.3201118155862</v>
      </c>
      <c r="Z30" s="20"/>
    </row>
    <row r="31" spans="1:26" x14ac:dyDescent="0.25">
      <c r="A31">
        <f t="shared" si="0"/>
        <v>2050</v>
      </c>
      <c r="B31" s="2">
        <v>0</v>
      </c>
      <c r="C31" s="2">
        <v>0</v>
      </c>
      <c r="D31" s="2">
        <v>0</v>
      </c>
      <c r="E31" s="2">
        <v>0</v>
      </c>
      <c r="F31" s="255">
        <f t="shared" si="8"/>
        <v>133.27734033420947</v>
      </c>
      <c r="G31" s="255">
        <f t="shared" si="1"/>
        <v>384.28299796363729</v>
      </c>
      <c r="H31" s="255">
        <f t="shared" si="2"/>
        <v>479.79842520315412</v>
      </c>
      <c r="I31" s="17"/>
      <c r="N31" s="18">
        <f t="shared" si="6"/>
        <v>133.27734033420947</v>
      </c>
      <c r="O31" s="18">
        <f t="shared" si="7"/>
        <v>384.28299796363729</v>
      </c>
      <c r="P31" s="18">
        <f t="shared" si="4"/>
        <v>479.79842520315412</v>
      </c>
      <c r="Q31" s="2"/>
      <c r="W31">
        <v>2049</v>
      </c>
      <c r="X31" s="3">
        <f t="shared" si="9"/>
        <v>2092.3465140518979</v>
      </c>
      <c r="Z31" s="20"/>
    </row>
    <row r="32" spans="1:26" x14ac:dyDescent="0.25">
      <c r="W32">
        <v>2050</v>
      </c>
      <c r="X32" s="3">
        <f t="shared" si="9"/>
        <v>2134.193444332936</v>
      </c>
      <c r="Z32" s="20"/>
    </row>
    <row r="39" spans="9:9" ht="15" customHeight="1" x14ac:dyDescent="0.25">
      <c r="I39" s="292"/>
    </row>
  </sheetData>
  <mergeCells count="1">
    <mergeCell ref="J1:J2"/>
  </mergeCells>
  <phoneticPr fontId="18" type="noConversion"/>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F1B54-01C8-4B61-916A-195B584A52E0}">
  <sheetPr codeName="Sheet19">
    <tabColor rgb="FF00B050"/>
  </sheetPr>
  <dimension ref="A1:BI84"/>
  <sheetViews>
    <sheetView zoomScale="80" zoomScaleNormal="80" workbookViewId="0">
      <selection activeCell="P33" sqref="P33"/>
    </sheetView>
  </sheetViews>
  <sheetFormatPr defaultRowHeight="15" x14ac:dyDescent="0.25"/>
  <cols>
    <col min="1" max="1" width="35.140625" bestFit="1" customWidth="1"/>
    <col min="2" max="2" width="10.85546875" bestFit="1" customWidth="1"/>
    <col min="3" max="3" width="10.7109375" customWidth="1"/>
    <col min="4" max="11" width="8.140625" bestFit="1" customWidth="1"/>
    <col min="12" max="60" width="9.85546875" bestFit="1" customWidth="1"/>
  </cols>
  <sheetData>
    <row r="1" spans="1:60" x14ac:dyDescent="0.25">
      <c r="A1" s="83" t="s">
        <v>135</v>
      </c>
      <c r="B1" s="82">
        <v>2022</v>
      </c>
      <c r="C1" s="82">
        <v>2023</v>
      </c>
      <c r="D1" s="82">
        <v>2024</v>
      </c>
      <c r="E1" s="82">
        <v>2025</v>
      </c>
      <c r="F1" s="82">
        <v>2026</v>
      </c>
      <c r="G1" s="82">
        <v>2027</v>
      </c>
      <c r="H1" s="82">
        <v>2028</v>
      </c>
      <c r="I1" s="82">
        <v>2029</v>
      </c>
      <c r="J1" s="82">
        <v>2030</v>
      </c>
      <c r="K1" s="82">
        <v>2031</v>
      </c>
      <c r="L1" s="82">
        <v>2032</v>
      </c>
      <c r="M1" s="82">
        <v>2033</v>
      </c>
      <c r="N1" s="82">
        <v>2034</v>
      </c>
      <c r="O1" s="82">
        <v>2035</v>
      </c>
      <c r="P1" s="82">
        <v>2036</v>
      </c>
      <c r="Q1" s="82">
        <v>2037</v>
      </c>
      <c r="R1" s="82">
        <v>2038</v>
      </c>
      <c r="S1" s="82">
        <v>2039</v>
      </c>
      <c r="T1" s="82">
        <v>2040</v>
      </c>
      <c r="U1" s="82">
        <v>2041</v>
      </c>
      <c r="V1" s="82">
        <v>2042</v>
      </c>
      <c r="W1" s="82">
        <v>2043</v>
      </c>
      <c r="X1" s="82">
        <v>2044</v>
      </c>
      <c r="Y1" s="82">
        <v>2045</v>
      </c>
      <c r="Z1" s="82">
        <v>2046</v>
      </c>
      <c r="AA1" s="82">
        <v>2047</v>
      </c>
      <c r="AB1" s="82">
        <v>2048</v>
      </c>
      <c r="AC1" s="82">
        <v>2049</v>
      </c>
      <c r="AD1" s="82">
        <v>2050</v>
      </c>
      <c r="AE1" s="82">
        <v>2051</v>
      </c>
      <c r="AF1" s="82">
        <v>2052</v>
      </c>
      <c r="AG1" s="82">
        <v>2053</v>
      </c>
      <c r="AH1" s="82">
        <v>2054</v>
      </c>
      <c r="AI1" s="82">
        <v>2055</v>
      </c>
      <c r="AJ1" s="82">
        <v>2056</v>
      </c>
      <c r="AK1" s="82">
        <v>2057</v>
      </c>
      <c r="AL1" s="82">
        <v>2058</v>
      </c>
      <c r="AM1" s="82">
        <v>2059</v>
      </c>
      <c r="AN1" s="82">
        <v>2060</v>
      </c>
      <c r="AO1" s="82">
        <v>2061</v>
      </c>
      <c r="AP1" s="82">
        <v>2062</v>
      </c>
      <c r="AQ1" s="82">
        <v>2063</v>
      </c>
      <c r="AR1" s="82">
        <v>2064</v>
      </c>
      <c r="AS1" s="82">
        <v>2065</v>
      </c>
      <c r="AT1" s="82">
        <v>2066</v>
      </c>
      <c r="AU1" s="82">
        <v>2067</v>
      </c>
      <c r="AV1" s="82">
        <v>2068</v>
      </c>
      <c r="AW1" s="82">
        <v>2069</v>
      </c>
      <c r="AX1" s="82">
        <v>2070</v>
      </c>
      <c r="AY1" s="82">
        <v>2071</v>
      </c>
      <c r="AZ1" s="82">
        <v>2072</v>
      </c>
      <c r="BA1" s="82">
        <v>2073</v>
      </c>
      <c r="BB1" s="82">
        <v>2074</v>
      </c>
      <c r="BC1" s="82">
        <v>2075</v>
      </c>
      <c r="BD1" s="82">
        <v>2076</v>
      </c>
      <c r="BE1" s="82">
        <v>2077</v>
      </c>
      <c r="BF1" s="82">
        <v>2078</v>
      </c>
      <c r="BG1" s="82">
        <v>2079</v>
      </c>
      <c r="BH1" s="82">
        <v>2080</v>
      </c>
    </row>
    <row r="2" spans="1:60" x14ac:dyDescent="0.25">
      <c r="A2" s="61" t="s">
        <v>339</v>
      </c>
      <c r="B2" s="71">
        <v>89538.905225076393</v>
      </c>
      <c r="C2" s="71">
        <v>76325.669666666668</v>
      </c>
      <c r="D2" s="71">
        <v>62600</v>
      </c>
      <c r="E2" s="71">
        <v>62800</v>
      </c>
      <c r="F2" s="71">
        <v>27600</v>
      </c>
      <c r="G2" s="71">
        <v>27400</v>
      </c>
      <c r="H2" s="71">
        <v>27300</v>
      </c>
      <c r="I2" s="71">
        <v>27300</v>
      </c>
      <c r="J2" s="71">
        <v>27300</v>
      </c>
      <c r="K2" s="71">
        <v>27300</v>
      </c>
      <c r="L2" s="71">
        <v>27300</v>
      </c>
      <c r="M2" s="71">
        <v>27300</v>
      </c>
      <c r="N2" s="71">
        <v>27300</v>
      </c>
      <c r="O2" s="71">
        <v>27300</v>
      </c>
      <c r="P2" s="71">
        <v>27300</v>
      </c>
      <c r="Q2" s="71">
        <v>27300</v>
      </c>
      <c r="R2" s="71">
        <v>27300</v>
      </c>
      <c r="S2" s="71">
        <v>27300</v>
      </c>
      <c r="T2" s="71">
        <v>27300</v>
      </c>
      <c r="U2" s="71">
        <v>27300</v>
      </c>
      <c r="V2" s="71">
        <v>27300</v>
      </c>
      <c r="W2" s="71">
        <v>27300</v>
      </c>
      <c r="X2" s="71">
        <v>27300</v>
      </c>
      <c r="Y2" s="71">
        <v>27300</v>
      </c>
      <c r="Z2" s="71">
        <v>27300</v>
      </c>
      <c r="AA2" s="71">
        <v>27300</v>
      </c>
      <c r="AB2" s="71">
        <v>27300</v>
      </c>
      <c r="AC2" s="71">
        <v>27300</v>
      </c>
      <c r="AD2" s="71">
        <v>27300</v>
      </c>
      <c r="AE2" s="71">
        <v>27300</v>
      </c>
      <c r="AF2" s="71">
        <v>27300</v>
      </c>
      <c r="AG2" s="71">
        <v>27300</v>
      </c>
      <c r="AH2" s="71">
        <v>27300</v>
      </c>
      <c r="AI2" s="71">
        <v>27300</v>
      </c>
      <c r="AJ2" s="71">
        <v>27300</v>
      </c>
      <c r="AK2" s="71">
        <v>27300</v>
      </c>
      <c r="AL2" s="71">
        <v>27300</v>
      </c>
      <c r="AM2" s="71">
        <v>27300</v>
      </c>
      <c r="AN2" s="71">
        <v>27300</v>
      </c>
      <c r="AO2" s="71">
        <v>27300</v>
      </c>
      <c r="AP2" s="71">
        <v>27300</v>
      </c>
      <c r="AQ2" s="71">
        <v>27300</v>
      </c>
      <c r="AR2" s="71">
        <v>27300</v>
      </c>
      <c r="AS2" s="71">
        <v>27300</v>
      </c>
      <c r="AT2" s="71">
        <v>27300</v>
      </c>
      <c r="AU2" s="71">
        <v>27300</v>
      </c>
      <c r="AV2" s="71">
        <v>27300</v>
      </c>
      <c r="AW2" s="71">
        <v>27300</v>
      </c>
      <c r="AX2" s="71">
        <v>27300</v>
      </c>
      <c r="AY2" s="71">
        <v>27300</v>
      </c>
      <c r="AZ2" s="71">
        <v>27300</v>
      </c>
      <c r="BA2" s="71">
        <v>27300</v>
      </c>
      <c r="BB2" s="71">
        <v>27300</v>
      </c>
      <c r="BC2" s="71">
        <v>27300</v>
      </c>
      <c r="BD2" s="71">
        <v>27300</v>
      </c>
      <c r="BE2" s="71">
        <v>27300</v>
      </c>
      <c r="BF2" s="71">
        <v>27300</v>
      </c>
      <c r="BG2" s="71">
        <v>27300</v>
      </c>
      <c r="BH2" s="71">
        <v>27300</v>
      </c>
    </row>
    <row r="3" spans="1:60" x14ac:dyDescent="0.25">
      <c r="A3" s="61" t="s">
        <v>340</v>
      </c>
      <c r="B3" s="71">
        <v>12728.6473197634</v>
      </c>
      <c r="C3" s="71">
        <v>10169.300000000001</v>
      </c>
      <c r="D3" s="71">
        <v>14500</v>
      </c>
      <c r="E3" s="71">
        <v>12300</v>
      </c>
      <c r="F3" s="71">
        <v>9200</v>
      </c>
      <c r="G3" s="71">
        <v>9200</v>
      </c>
      <c r="H3" s="71">
        <v>9200</v>
      </c>
      <c r="I3" s="71">
        <v>9200</v>
      </c>
      <c r="J3" s="71">
        <v>9200</v>
      </c>
      <c r="K3" s="71">
        <v>9200</v>
      </c>
      <c r="L3" s="71">
        <v>9200</v>
      </c>
      <c r="M3" s="71">
        <v>9200</v>
      </c>
      <c r="N3" s="71">
        <v>9200</v>
      </c>
      <c r="O3" s="71">
        <v>9200</v>
      </c>
      <c r="P3" s="71">
        <v>9200</v>
      </c>
      <c r="Q3" s="71">
        <v>9200</v>
      </c>
      <c r="R3" s="71">
        <v>9200</v>
      </c>
      <c r="S3" s="71">
        <v>9200</v>
      </c>
      <c r="T3" s="71">
        <v>9200</v>
      </c>
      <c r="U3" s="71">
        <v>9200</v>
      </c>
      <c r="V3" s="71">
        <v>9200</v>
      </c>
      <c r="W3" s="71">
        <v>9200</v>
      </c>
      <c r="X3" s="71">
        <v>9200</v>
      </c>
      <c r="Y3" s="71">
        <v>9200</v>
      </c>
      <c r="Z3" s="71">
        <v>9200</v>
      </c>
      <c r="AA3" s="71">
        <v>9200</v>
      </c>
      <c r="AB3" s="71">
        <v>9200</v>
      </c>
      <c r="AC3" s="71">
        <v>9200</v>
      </c>
      <c r="AD3" s="71">
        <v>9200</v>
      </c>
      <c r="AE3" s="71">
        <v>9200</v>
      </c>
      <c r="AF3" s="71">
        <v>9200</v>
      </c>
      <c r="AG3" s="71">
        <v>9200</v>
      </c>
      <c r="AH3" s="71">
        <v>9200</v>
      </c>
      <c r="AI3" s="71">
        <v>9200</v>
      </c>
      <c r="AJ3" s="71">
        <v>9200</v>
      </c>
      <c r="AK3" s="71">
        <v>9200</v>
      </c>
      <c r="AL3" s="71">
        <v>9200</v>
      </c>
      <c r="AM3" s="71">
        <v>9200</v>
      </c>
      <c r="AN3" s="71">
        <v>9200</v>
      </c>
      <c r="AO3" s="71">
        <v>9200</v>
      </c>
      <c r="AP3" s="71">
        <v>9200</v>
      </c>
      <c r="AQ3" s="71">
        <v>9200</v>
      </c>
      <c r="AR3" s="71">
        <v>9200</v>
      </c>
      <c r="AS3" s="71">
        <v>9200</v>
      </c>
      <c r="AT3" s="71">
        <v>9200</v>
      </c>
      <c r="AU3" s="71">
        <v>9200</v>
      </c>
      <c r="AV3" s="71">
        <v>9200</v>
      </c>
      <c r="AW3" s="71">
        <v>9200</v>
      </c>
      <c r="AX3" s="71">
        <v>9200</v>
      </c>
      <c r="AY3" s="71">
        <v>9200</v>
      </c>
      <c r="AZ3" s="71">
        <v>9200</v>
      </c>
      <c r="BA3" s="71">
        <v>9200</v>
      </c>
      <c r="BB3" s="71">
        <v>9200</v>
      </c>
      <c r="BC3" s="71">
        <v>9200</v>
      </c>
      <c r="BD3" s="71">
        <v>9200</v>
      </c>
      <c r="BE3" s="71">
        <v>9200</v>
      </c>
      <c r="BF3" s="71">
        <v>9200</v>
      </c>
      <c r="BG3" s="71">
        <v>9200</v>
      </c>
      <c r="BH3" s="71">
        <v>9200</v>
      </c>
    </row>
    <row r="4" spans="1:60" x14ac:dyDescent="0.25">
      <c r="A4" s="71" t="s">
        <v>341</v>
      </c>
      <c r="B4" s="71">
        <v>6874.1620393486237</v>
      </c>
      <c r="C4" s="71">
        <v>7786.0846666666675</v>
      </c>
      <c r="D4" s="71">
        <v>3500</v>
      </c>
      <c r="E4" s="71">
        <v>2200</v>
      </c>
      <c r="F4" s="71">
        <v>400</v>
      </c>
      <c r="G4" s="71">
        <v>200</v>
      </c>
      <c r="H4" s="71">
        <v>100</v>
      </c>
      <c r="I4" s="71">
        <v>100</v>
      </c>
      <c r="J4" s="71">
        <v>100</v>
      </c>
      <c r="K4" s="71">
        <v>100</v>
      </c>
      <c r="L4" s="71">
        <v>100</v>
      </c>
      <c r="M4" s="71">
        <v>100</v>
      </c>
      <c r="N4" s="71">
        <v>100</v>
      </c>
      <c r="O4" s="71">
        <v>100</v>
      </c>
      <c r="P4" s="71">
        <v>100</v>
      </c>
      <c r="Q4" s="71">
        <v>100</v>
      </c>
      <c r="R4" s="71">
        <v>100</v>
      </c>
      <c r="S4" s="71">
        <v>100</v>
      </c>
      <c r="T4" s="71">
        <v>100</v>
      </c>
      <c r="U4" s="71">
        <v>100</v>
      </c>
      <c r="V4" s="71">
        <v>100</v>
      </c>
      <c r="W4" s="71">
        <v>100</v>
      </c>
      <c r="X4" s="71">
        <v>100</v>
      </c>
      <c r="Y4" s="71">
        <v>100</v>
      </c>
      <c r="Z4" s="71">
        <v>100</v>
      </c>
      <c r="AA4" s="71">
        <v>100</v>
      </c>
      <c r="AB4" s="71">
        <v>100</v>
      </c>
      <c r="AC4" s="71">
        <v>100</v>
      </c>
      <c r="AD4" s="71">
        <v>100</v>
      </c>
      <c r="AE4" s="71">
        <v>100</v>
      </c>
      <c r="AF4" s="71">
        <v>100</v>
      </c>
      <c r="AG4" s="71">
        <v>100</v>
      </c>
      <c r="AH4" s="71">
        <v>100</v>
      </c>
      <c r="AI4" s="71">
        <v>100</v>
      </c>
      <c r="AJ4" s="71">
        <v>100</v>
      </c>
      <c r="AK4" s="71">
        <v>100</v>
      </c>
      <c r="AL4" s="71">
        <v>100</v>
      </c>
      <c r="AM4" s="71">
        <v>100</v>
      </c>
      <c r="AN4" s="71">
        <v>100</v>
      </c>
      <c r="AO4" s="71">
        <v>100</v>
      </c>
      <c r="AP4" s="71">
        <v>100</v>
      </c>
      <c r="AQ4" s="71">
        <v>100</v>
      </c>
      <c r="AR4" s="71">
        <v>100</v>
      </c>
      <c r="AS4" s="71">
        <v>100</v>
      </c>
      <c r="AT4" s="71">
        <v>100</v>
      </c>
      <c r="AU4" s="71">
        <v>100</v>
      </c>
      <c r="AV4" s="71">
        <v>100</v>
      </c>
      <c r="AW4" s="71">
        <v>100</v>
      </c>
      <c r="AX4" s="71">
        <v>100</v>
      </c>
      <c r="AY4" s="71">
        <v>100</v>
      </c>
      <c r="AZ4" s="71">
        <v>100</v>
      </c>
      <c r="BA4" s="71">
        <v>100</v>
      </c>
      <c r="BB4" s="71">
        <v>100</v>
      </c>
      <c r="BC4" s="71">
        <v>100</v>
      </c>
      <c r="BD4" s="71">
        <v>100</v>
      </c>
      <c r="BE4" s="71">
        <v>100</v>
      </c>
      <c r="BF4" s="71">
        <v>100</v>
      </c>
      <c r="BG4" s="71">
        <v>100</v>
      </c>
      <c r="BH4" s="71">
        <v>100</v>
      </c>
    </row>
    <row r="5" spans="1:60" x14ac:dyDescent="0.25">
      <c r="A5" s="71" t="s">
        <v>342</v>
      </c>
      <c r="B5" s="71">
        <v>69936.095865964366</v>
      </c>
      <c r="C5" s="71">
        <v>58370.285000000003</v>
      </c>
      <c r="D5" s="71">
        <v>44600</v>
      </c>
      <c r="E5" s="71">
        <v>48300</v>
      </c>
      <c r="F5" s="71">
        <v>18000</v>
      </c>
      <c r="G5" s="71">
        <v>18000</v>
      </c>
      <c r="H5" s="71">
        <v>18000</v>
      </c>
      <c r="I5" s="71">
        <v>18000</v>
      </c>
      <c r="J5" s="71">
        <v>18000</v>
      </c>
      <c r="K5" s="71">
        <v>18000</v>
      </c>
      <c r="L5" s="71">
        <v>18000</v>
      </c>
      <c r="M5" s="71">
        <v>18000</v>
      </c>
      <c r="N5" s="71">
        <v>18000</v>
      </c>
      <c r="O5" s="71">
        <v>18000</v>
      </c>
      <c r="P5" s="71">
        <v>18000</v>
      </c>
      <c r="Q5" s="71">
        <v>18000</v>
      </c>
      <c r="R5" s="71">
        <v>18000</v>
      </c>
      <c r="S5" s="71">
        <v>18000</v>
      </c>
      <c r="T5" s="71">
        <v>18000</v>
      </c>
      <c r="U5" s="71">
        <v>18000</v>
      </c>
      <c r="V5" s="71">
        <v>18000</v>
      </c>
      <c r="W5" s="71">
        <v>18000</v>
      </c>
      <c r="X5" s="71">
        <v>18000</v>
      </c>
      <c r="Y5" s="71">
        <v>18000</v>
      </c>
      <c r="Z5" s="71">
        <v>18000</v>
      </c>
      <c r="AA5" s="71">
        <v>18000</v>
      </c>
      <c r="AB5" s="71">
        <v>18000</v>
      </c>
      <c r="AC5" s="71">
        <v>18000</v>
      </c>
      <c r="AD5" s="71">
        <v>18000</v>
      </c>
      <c r="AE5" s="71">
        <v>18000</v>
      </c>
      <c r="AF5" s="71">
        <v>18000</v>
      </c>
      <c r="AG5" s="71">
        <v>18000</v>
      </c>
      <c r="AH5" s="71">
        <v>18000</v>
      </c>
      <c r="AI5" s="71">
        <v>18000</v>
      </c>
      <c r="AJ5" s="71">
        <v>18000</v>
      </c>
      <c r="AK5" s="71">
        <v>18000</v>
      </c>
      <c r="AL5" s="71">
        <v>18000</v>
      </c>
      <c r="AM5" s="71">
        <v>18000</v>
      </c>
      <c r="AN5" s="71">
        <v>18000</v>
      </c>
      <c r="AO5" s="71">
        <v>18000</v>
      </c>
      <c r="AP5" s="71">
        <v>18000</v>
      </c>
      <c r="AQ5" s="71">
        <v>18000</v>
      </c>
      <c r="AR5" s="71">
        <v>18000</v>
      </c>
      <c r="AS5" s="71">
        <v>18000</v>
      </c>
      <c r="AT5" s="71">
        <v>18000</v>
      </c>
      <c r="AU5" s="71">
        <v>18000</v>
      </c>
      <c r="AV5" s="71">
        <v>18000</v>
      </c>
      <c r="AW5" s="71">
        <v>18000</v>
      </c>
      <c r="AX5" s="71">
        <v>18000</v>
      </c>
      <c r="AY5" s="71">
        <v>18000</v>
      </c>
      <c r="AZ5" s="71">
        <v>18000</v>
      </c>
      <c r="BA5" s="71">
        <v>18000</v>
      </c>
      <c r="BB5" s="71">
        <v>18000</v>
      </c>
      <c r="BC5" s="71">
        <v>18000</v>
      </c>
      <c r="BD5" s="71">
        <v>18000</v>
      </c>
      <c r="BE5" s="71">
        <v>18000</v>
      </c>
      <c r="BF5" s="71">
        <v>18000</v>
      </c>
      <c r="BG5" s="71">
        <v>18000</v>
      </c>
      <c r="BH5" s="71">
        <v>18000</v>
      </c>
    </row>
    <row r="6" spans="1:60" x14ac:dyDescent="0.25">
      <c r="A6" s="81" t="s">
        <v>180</v>
      </c>
      <c r="B6" s="82">
        <v>2022</v>
      </c>
      <c r="C6" s="82">
        <v>2023</v>
      </c>
      <c r="D6" s="82">
        <v>2024</v>
      </c>
      <c r="E6" s="82">
        <v>2025</v>
      </c>
      <c r="F6" s="82">
        <v>2026</v>
      </c>
      <c r="G6" s="82">
        <v>2027</v>
      </c>
      <c r="H6" s="82">
        <v>2028</v>
      </c>
      <c r="I6" s="82">
        <v>2029</v>
      </c>
      <c r="J6" s="82">
        <v>2030</v>
      </c>
      <c r="K6" s="82">
        <v>2031</v>
      </c>
      <c r="L6" s="82">
        <v>2032</v>
      </c>
      <c r="M6" s="82">
        <v>2033</v>
      </c>
      <c r="N6" s="82">
        <v>2034</v>
      </c>
      <c r="O6" s="82">
        <v>2035</v>
      </c>
      <c r="P6" s="82">
        <v>2036</v>
      </c>
      <c r="Q6" s="82">
        <v>2037</v>
      </c>
      <c r="R6" s="82">
        <v>2038</v>
      </c>
      <c r="S6" s="82">
        <v>2039</v>
      </c>
      <c r="T6" s="82">
        <v>2040</v>
      </c>
      <c r="U6" s="82">
        <v>2041</v>
      </c>
      <c r="V6" s="82">
        <v>2042</v>
      </c>
      <c r="W6" s="82">
        <v>2043</v>
      </c>
      <c r="X6" s="82">
        <v>2044</v>
      </c>
      <c r="Y6" s="82">
        <v>2045</v>
      </c>
      <c r="Z6" s="82">
        <v>2046</v>
      </c>
      <c r="AA6" s="82">
        <v>2047</v>
      </c>
      <c r="AB6" s="82">
        <v>2048</v>
      </c>
      <c r="AC6" s="82">
        <v>2049</v>
      </c>
      <c r="AD6" s="82">
        <v>2050</v>
      </c>
      <c r="AE6" s="82">
        <v>2051</v>
      </c>
      <c r="AF6" s="82">
        <v>2052</v>
      </c>
      <c r="AG6" s="82">
        <v>2053</v>
      </c>
      <c r="AH6" s="82">
        <v>2054</v>
      </c>
      <c r="AI6" s="82">
        <v>2055</v>
      </c>
      <c r="AJ6" s="82">
        <v>2056</v>
      </c>
      <c r="AK6" s="82">
        <v>2057</v>
      </c>
      <c r="AL6" s="82">
        <v>2058</v>
      </c>
      <c r="AM6" s="82">
        <v>2059</v>
      </c>
      <c r="AN6" s="82">
        <v>2060</v>
      </c>
      <c r="AO6" s="82">
        <v>2061</v>
      </c>
      <c r="AP6" s="82">
        <v>2062</v>
      </c>
      <c r="AQ6" s="82">
        <v>2063</v>
      </c>
      <c r="AR6" s="82">
        <v>2064</v>
      </c>
      <c r="AS6" s="82">
        <v>2065</v>
      </c>
      <c r="AT6" s="82">
        <v>2066</v>
      </c>
      <c r="AU6" s="82">
        <v>2067</v>
      </c>
      <c r="AV6" s="82">
        <v>2068</v>
      </c>
      <c r="AW6" s="82">
        <v>2069</v>
      </c>
      <c r="AX6" s="82">
        <v>2070</v>
      </c>
      <c r="AY6" s="82">
        <v>2071</v>
      </c>
      <c r="AZ6" s="82">
        <v>2072</v>
      </c>
      <c r="BA6" s="82">
        <v>2073</v>
      </c>
      <c r="BB6" s="82">
        <v>2074</v>
      </c>
      <c r="BC6" s="82">
        <v>2075</v>
      </c>
      <c r="BD6" s="82">
        <v>2076</v>
      </c>
      <c r="BE6" s="82">
        <v>2077</v>
      </c>
      <c r="BF6" s="82">
        <v>2078</v>
      </c>
      <c r="BG6" s="82">
        <v>2079</v>
      </c>
      <c r="BH6" s="82">
        <v>2080</v>
      </c>
    </row>
    <row r="7" spans="1:60" x14ac:dyDescent="0.25">
      <c r="A7" s="71" t="str">
        <f>A2</f>
        <v>Total Planting</v>
      </c>
      <c r="B7" s="71">
        <v>89538.74318572777</v>
      </c>
      <c r="C7" s="71">
        <v>77583.334000000003</v>
      </c>
      <c r="D7" s="71">
        <v>62600</v>
      </c>
      <c r="E7" s="71">
        <v>72800</v>
      </c>
      <c r="F7" s="71">
        <v>33900</v>
      </c>
      <c r="G7" s="71">
        <v>33600</v>
      </c>
      <c r="H7" s="71">
        <v>33450</v>
      </c>
      <c r="I7" s="71">
        <v>33450</v>
      </c>
      <c r="J7" s="71">
        <v>33450</v>
      </c>
      <c r="K7" s="71">
        <v>33450</v>
      </c>
      <c r="L7" s="71">
        <v>33450</v>
      </c>
      <c r="M7" s="71">
        <v>33450</v>
      </c>
      <c r="N7" s="71">
        <v>33450</v>
      </c>
      <c r="O7" s="71">
        <v>33450</v>
      </c>
      <c r="P7" s="71">
        <v>33450</v>
      </c>
      <c r="Q7" s="71">
        <v>33450</v>
      </c>
      <c r="R7" s="71">
        <v>33450</v>
      </c>
      <c r="S7" s="71">
        <v>33450</v>
      </c>
      <c r="T7" s="71">
        <v>33450</v>
      </c>
      <c r="U7" s="71">
        <v>33450</v>
      </c>
      <c r="V7" s="71">
        <v>33450</v>
      </c>
      <c r="W7" s="71">
        <v>33450</v>
      </c>
      <c r="X7" s="71">
        <v>33450</v>
      </c>
      <c r="Y7" s="71">
        <v>33450</v>
      </c>
      <c r="Z7" s="71">
        <v>33450</v>
      </c>
      <c r="AA7" s="71">
        <v>33450</v>
      </c>
      <c r="AB7" s="71">
        <v>33450</v>
      </c>
      <c r="AC7" s="71">
        <v>33450</v>
      </c>
      <c r="AD7" s="71">
        <v>33450</v>
      </c>
      <c r="AE7" s="71">
        <v>33450</v>
      </c>
      <c r="AF7" s="71">
        <v>33450</v>
      </c>
      <c r="AG7" s="71">
        <v>33450</v>
      </c>
      <c r="AH7" s="71">
        <v>33450</v>
      </c>
      <c r="AI7" s="71">
        <v>33450</v>
      </c>
      <c r="AJ7" s="71">
        <v>33450</v>
      </c>
      <c r="AK7" s="71">
        <v>33450</v>
      </c>
      <c r="AL7" s="71">
        <v>33450</v>
      </c>
      <c r="AM7" s="71">
        <v>33450</v>
      </c>
      <c r="AN7" s="71">
        <v>33450</v>
      </c>
      <c r="AO7" s="71">
        <v>33450</v>
      </c>
      <c r="AP7" s="71">
        <v>33450</v>
      </c>
      <c r="AQ7" s="71">
        <v>33450</v>
      </c>
      <c r="AR7" s="71">
        <v>33450</v>
      </c>
      <c r="AS7" s="71">
        <v>33450</v>
      </c>
      <c r="AT7" s="71">
        <v>33450</v>
      </c>
      <c r="AU7" s="71">
        <v>33450</v>
      </c>
      <c r="AV7" s="71">
        <v>33450</v>
      </c>
      <c r="AW7" s="71">
        <v>33450</v>
      </c>
      <c r="AX7" s="71">
        <v>33450</v>
      </c>
      <c r="AY7" s="71">
        <v>33450</v>
      </c>
      <c r="AZ7" s="71">
        <v>33450</v>
      </c>
      <c r="BA7" s="71">
        <v>33450</v>
      </c>
      <c r="BB7" s="71">
        <v>33450</v>
      </c>
      <c r="BC7" s="71">
        <v>33450</v>
      </c>
      <c r="BD7" s="71">
        <v>33450</v>
      </c>
      <c r="BE7" s="71">
        <v>33450</v>
      </c>
      <c r="BF7" s="71">
        <v>33450</v>
      </c>
      <c r="BG7" s="71">
        <v>33450</v>
      </c>
      <c r="BH7" s="71">
        <v>33450</v>
      </c>
    </row>
    <row r="8" spans="1:60" x14ac:dyDescent="0.25">
      <c r="A8" s="71" t="s">
        <v>340</v>
      </c>
      <c r="B8" s="71">
        <v>12728.6473197634</v>
      </c>
      <c r="C8" s="71">
        <v>10169.300000000001</v>
      </c>
      <c r="D8" s="71">
        <v>6100</v>
      </c>
      <c r="E8" s="71">
        <v>6200</v>
      </c>
      <c r="F8" s="71">
        <v>13800</v>
      </c>
      <c r="G8" s="71">
        <v>13800</v>
      </c>
      <c r="H8" s="71">
        <v>13800</v>
      </c>
      <c r="I8" s="71">
        <v>13800</v>
      </c>
      <c r="J8" s="71">
        <v>13800</v>
      </c>
      <c r="K8" s="71">
        <v>13800</v>
      </c>
      <c r="L8" s="71">
        <v>13800</v>
      </c>
      <c r="M8" s="71">
        <v>13800</v>
      </c>
      <c r="N8" s="71">
        <v>13800</v>
      </c>
      <c r="O8" s="71">
        <v>13800</v>
      </c>
      <c r="P8" s="71">
        <v>13800</v>
      </c>
      <c r="Q8" s="71">
        <v>13800</v>
      </c>
      <c r="R8" s="71">
        <v>13800</v>
      </c>
      <c r="S8" s="71">
        <v>13800</v>
      </c>
      <c r="T8" s="71">
        <v>13800</v>
      </c>
      <c r="U8" s="71">
        <v>13800</v>
      </c>
      <c r="V8" s="71">
        <v>13800</v>
      </c>
      <c r="W8" s="71">
        <v>13800</v>
      </c>
      <c r="X8" s="71">
        <v>13800</v>
      </c>
      <c r="Y8" s="71">
        <v>13800</v>
      </c>
      <c r="Z8" s="71">
        <v>13800</v>
      </c>
      <c r="AA8" s="71">
        <v>13800</v>
      </c>
      <c r="AB8" s="71">
        <v>13800</v>
      </c>
      <c r="AC8" s="71">
        <v>13800</v>
      </c>
      <c r="AD8" s="71">
        <v>13800</v>
      </c>
      <c r="AE8" s="71">
        <v>13800</v>
      </c>
      <c r="AF8" s="71">
        <v>13800</v>
      </c>
      <c r="AG8" s="71">
        <v>13800</v>
      </c>
      <c r="AH8" s="71">
        <v>13800</v>
      </c>
      <c r="AI8" s="71">
        <v>13800</v>
      </c>
      <c r="AJ8" s="71">
        <v>13800</v>
      </c>
      <c r="AK8" s="71">
        <v>13800</v>
      </c>
      <c r="AL8" s="71">
        <v>13800</v>
      </c>
      <c r="AM8" s="71">
        <v>13800</v>
      </c>
      <c r="AN8" s="71">
        <v>13800</v>
      </c>
      <c r="AO8" s="71">
        <v>13800</v>
      </c>
      <c r="AP8" s="71">
        <v>13800</v>
      </c>
      <c r="AQ8" s="71">
        <v>13800</v>
      </c>
      <c r="AR8" s="71">
        <v>13800</v>
      </c>
      <c r="AS8" s="71">
        <v>13800</v>
      </c>
      <c r="AT8" s="71">
        <v>13800</v>
      </c>
      <c r="AU8" s="71">
        <v>13800</v>
      </c>
      <c r="AV8" s="71">
        <v>13800</v>
      </c>
      <c r="AW8" s="71">
        <v>13800</v>
      </c>
      <c r="AX8" s="71">
        <v>13800</v>
      </c>
      <c r="AY8" s="71">
        <v>13800</v>
      </c>
      <c r="AZ8" s="71">
        <v>13800</v>
      </c>
      <c r="BA8" s="71">
        <v>13800</v>
      </c>
      <c r="BB8" s="71">
        <v>13800</v>
      </c>
      <c r="BC8" s="71">
        <v>13800</v>
      </c>
      <c r="BD8" s="71">
        <v>13800</v>
      </c>
      <c r="BE8" s="71">
        <v>13800</v>
      </c>
      <c r="BF8" s="71">
        <v>13800</v>
      </c>
      <c r="BG8" s="71">
        <v>13800</v>
      </c>
      <c r="BH8" s="71">
        <v>13800</v>
      </c>
    </row>
    <row r="9" spans="1:60" x14ac:dyDescent="0.25">
      <c r="A9" s="71" t="s">
        <v>341</v>
      </c>
      <c r="B9" s="71">
        <v>6874</v>
      </c>
      <c r="C9" s="71">
        <v>9043.7489999999998</v>
      </c>
      <c r="D9" s="71">
        <v>3500</v>
      </c>
      <c r="E9" s="71">
        <v>2200</v>
      </c>
      <c r="F9" s="71">
        <v>600</v>
      </c>
      <c r="G9" s="71">
        <v>300</v>
      </c>
      <c r="H9" s="71">
        <v>150</v>
      </c>
      <c r="I9" s="71">
        <v>150</v>
      </c>
      <c r="J9" s="71">
        <v>150</v>
      </c>
      <c r="K9" s="71">
        <v>150</v>
      </c>
      <c r="L9" s="71">
        <v>150</v>
      </c>
      <c r="M9" s="71">
        <v>150</v>
      </c>
      <c r="N9" s="71">
        <v>150</v>
      </c>
      <c r="O9" s="71">
        <v>150</v>
      </c>
      <c r="P9" s="71">
        <v>150</v>
      </c>
      <c r="Q9" s="71">
        <v>150</v>
      </c>
      <c r="R9" s="71">
        <v>150</v>
      </c>
      <c r="S9" s="71">
        <v>150</v>
      </c>
      <c r="T9" s="71">
        <v>150</v>
      </c>
      <c r="U9" s="71">
        <v>150</v>
      </c>
      <c r="V9" s="71">
        <v>150</v>
      </c>
      <c r="W9" s="71">
        <v>150</v>
      </c>
      <c r="X9" s="71">
        <v>150</v>
      </c>
      <c r="Y9" s="71">
        <v>150</v>
      </c>
      <c r="Z9" s="71">
        <v>150</v>
      </c>
      <c r="AA9" s="71">
        <v>150</v>
      </c>
      <c r="AB9" s="71">
        <v>150</v>
      </c>
      <c r="AC9" s="71">
        <v>150</v>
      </c>
      <c r="AD9" s="71">
        <v>150</v>
      </c>
      <c r="AE9" s="71">
        <v>150</v>
      </c>
      <c r="AF9" s="71">
        <v>150</v>
      </c>
      <c r="AG9" s="71">
        <v>150</v>
      </c>
      <c r="AH9" s="71">
        <v>150</v>
      </c>
      <c r="AI9" s="71">
        <v>150</v>
      </c>
      <c r="AJ9" s="71">
        <v>150</v>
      </c>
      <c r="AK9" s="71">
        <v>150</v>
      </c>
      <c r="AL9" s="71">
        <v>150</v>
      </c>
      <c r="AM9" s="71">
        <v>150</v>
      </c>
      <c r="AN9" s="71">
        <v>150</v>
      </c>
      <c r="AO9" s="71">
        <v>150</v>
      </c>
      <c r="AP9" s="71">
        <v>150</v>
      </c>
      <c r="AQ9" s="71">
        <v>150</v>
      </c>
      <c r="AR9" s="71">
        <v>150</v>
      </c>
      <c r="AS9" s="71">
        <v>150</v>
      </c>
      <c r="AT9" s="71">
        <v>150</v>
      </c>
      <c r="AU9" s="71">
        <v>150</v>
      </c>
      <c r="AV9" s="71">
        <v>150</v>
      </c>
      <c r="AW9" s="71">
        <v>150</v>
      </c>
      <c r="AX9" s="71">
        <v>150</v>
      </c>
      <c r="AY9" s="71">
        <v>150</v>
      </c>
      <c r="AZ9" s="71">
        <v>150</v>
      </c>
      <c r="BA9" s="71">
        <v>150</v>
      </c>
      <c r="BB9" s="71">
        <v>150</v>
      </c>
      <c r="BC9" s="71">
        <v>150</v>
      </c>
      <c r="BD9" s="71">
        <v>150</v>
      </c>
      <c r="BE9" s="71">
        <v>150</v>
      </c>
      <c r="BF9" s="71">
        <v>150</v>
      </c>
      <c r="BG9" s="71">
        <v>150</v>
      </c>
      <c r="BH9" s="71">
        <v>150</v>
      </c>
    </row>
    <row r="10" spans="1:60" x14ac:dyDescent="0.25">
      <c r="A10" s="71" t="s">
        <v>342</v>
      </c>
      <c r="B10" s="71">
        <v>69936.095865964366</v>
      </c>
      <c r="C10" s="71">
        <v>58370.285000000003</v>
      </c>
      <c r="D10" s="71">
        <v>53000</v>
      </c>
      <c r="E10" s="71">
        <v>64400</v>
      </c>
      <c r="F10" s="71">
        <v>19500</v>
      </c>
      <c r="G10" s="71">
        <v>19500</v>
      </c>
      <c r="H10" s="71">
        <v>19500</v>
      </c>
      <c r="I10" s="71">
        <v>19500</v>
      </c>
      <c r="J10" s="71">
        <v>19500</v>
      </c>
      <c r="K10" s="71">
        <v>19500</v>
      </c>
      <c r="L10" s="71">
        <v>19500</v>
      </c>
      <c r="M10" s="71">
        <v>19500</v>
      </c>
      <c r="N10" s="71">
        <v>19500</v>
      </c>
      <c r="O10" s="71">
        <v>19500</v>
      </c>
      <c r="P10" s="71">
        <v>19500</v>
      </c>
      <c r="Q10" s="71">
        <v>19500</v>
      </c>
      <c r="R10" s="71">
        <v>19500</v>
      </c>
      <c r="S10" s="71">
        <v>19500</v>
      </c>
      <c r="T10" s="71">
        <v>19500</v>
      </c>
      <c r="U10" s="71">
        <v>19500</v>
      </c>
      <c r="V10" s="71">
        <v>19500</v>
      </c>
      <c r="W10" s="71">
        <v>19500</v>
      </c>
      <c r="X10" s="71">
        <v>19500</v>
      </c>
      <c r="Y10" s="71">
        <v>19500</v>
      </c>
      <c r="Z10" s="71">
        <v>19500</v>
      </c>
      <c r="AA10" s="71">
        <v>19500</v>
      </c>
      <c r="AB10" s="71">
        <v>19500</v>
      </c>
      <c r="AC10" s="71">
        <v>19500</v>
      </c>
      <c r="AD10" s="71">
        <v>19500</v>
      </c>
      <c r="AE10" s="71">
        <v>19500</v>
      </c>
      <c r="AF10" s="71">
        <v>19500</v>
      </c>
      <c r="AG10" s="71">
        <v>19500</v>
      </c>
      <c r="AH10" s="71">
        <v>19500</v>
      </c>
      <c r="AI10" s="71">
        <v>19500</v>
      </c>
      <c r="AJ10" s="71">
        <v>19500</v>
      </c>
      <c r="AK10" s="71">
        <v>19500</v>
      </c>
      <c r="AL10" s="71">
        <v>19500</v>
      </c>
      <c r="AM10" s="71">
        <v>19500</v>
      </c>
      <c r="AN10" s="71">
        <v>19500</v>
      </c>
      <c r="AO10" s="71">
        <v>19500</v>
      </c>
      <c r="AP10" s="71">
        <v>19500</v>
      </c>
      <c r="AQ10" s="71">
        <v>19500</v>
      </c>
      <c r="AR10" s="71">
        <v>19500</v>
      </c>
      <c r="AS10" s="71">
        <v>19500</v>
      </c>
      <c r="AT10" s="71">
        <v>19500</v>
      </c>
      <c r="AU10" s="71">
        <v>19500</v>
      </c>
      <c r="AV10" s="71">
        <v>19500</v>
      </c>
      <c r="AW10" s="71">
        <v>19500</v>
      </c>
      <c r="AX10" s="71">
        <v>19500</v>
      </c>
      <c r="AY10" s="71">
        <v>19500</v>
      </c>
      <c r="AZ10" s="71">
        <v>19500</v>
      </c>
      <c r="BA10" s="71">
        <v>19500</v>
      </c>
      <c r="BB10" s="71">
        <v>19500</v>
      </c>
      <c r="BC10" s="71">
        <v>19500</v>
      </c>
      <c r="BD10" s="71">
        <v>19500</v>
      </c>
      <c r="BE10" s="71">
        <v>19500</v>
      </c>
      <c r="BF10" s="71">
        <v>19500</v>
      </c>
      <c r="BG10" s="71">
        <v>19500</v>
      </c>
      <c r="BH10" s="71">
        <v>19500</v>
      </c>
    </row>
    <row r="11" spans="1:60" x14ac:dyDescent="0.25">
      <c r="A11" s="81" t="s">
        <v>343</v>
      </c>
      <c r="B11" s="82">
        <v>2022</v>
      </c>
      <c r="C11" s="82">
        <v>2023</v>
      </c>
      <c r="D11" s="82">
        <v>2024</v>
      </c>
      <c r="E11" s="82">
        <v>2025</v>
      </c>
      <c r="F11" s="82">
        <v>2026</v>
      </c>
      <c r="G11" s="82">
        <v>2027</v>
      </c>
      <c r="H11" s="82">
        <v>2028</v>
      </c>
      <c r="I11" s="82">
        <v>2029</v>
      </c>
      <c r="J11" s="82">
        <v>2030</v>
      </c>
      <c r="K11" s="82">
        <v>2031</v>
      </c>
      <c r="L11" s="82">
        <v>2032</v>
      </c>
      <c r="M11" s="82">
        <v>2033</v>
      </c>
      <c r="N11" s="82">
        <v>2034</v>
      </c>
      <c r="O11" s="82">
        <v>2035</v>
      </c>
      <c r="P11" s="82">
        <v>2036</v>
      </c>
      <c r="Q11" s="82">
        <v>2037</v>
      </c>
      <c r="R11" s="82">
        <v>2038</v>
      </c>
      <c r="S11" s="82">
        <v>2039</v>
      </c>
      <c r="T11" s="82">
        <v>2040</v>
      </c>
      <c r="U11" s="82">
        <v>2041</v>
      </c>
      <c r="V11" s="82">
        <v>2042</v>
      </c>
      <c r="W11" s="82">
        <v>2043</v>
      </c>
      <c r="X11" s="82">
        <v>2044</v>
      </c>
      <c r="Y11" s="82">
        <v>2045</v>
      </c>
      <c r="Z11" s="82">
        <v>2046</v>
      </c>
      <c r="AA11" s="82">
        <v>2047</v>
      </c>
      <c r="AB11" s="82">
        <v>2048</v>
      </c>
      <c r="AC11" s="82">
        <v>2049</v>
      </c>
      <c r="AD11" s="82">
        <v>2050</v>
      </c>
      <c r="AE11" s="82">
        <v>2051</v>
      </c>
      <c r="AF11" s="82">
        <v>2052</v>
      </c>
      <c r="AG11" s="82">
        <v>2053</v>
      </c>
      <c r="AH11" s="82">
        <v>2054</v>
      </c>
      <c r="AI11" s="82">
        <v>2055</v>
      </c>
      <c r="AJ11" s="82">
        <v>2056</v>
      </c>
      <c r="AK11" s="82">
        <v>2057</v>
      </c>
      <c r="AL11" s="82">
        <v>2058</v>
      </c>
      <c r="AM11" s="82">
        <v>2059</v>
      </c>
      <c r="AN11" s="82">
        <v>2060</v>
      </c>
      <c r="AO11" s="82">
        <v>2061</v>
      </c>
      <c r="AP11" s="82">
        <v>2062</v>
      </c>
      <c r="AQ11" s="82">
        <v>2063</v>
      </c>
      <c r="AR11" s="82">
        <v>2064</v>
      </c>
      <c r="AS11" s="82">
        <v>2065</v>
      </c>
      <c r="AT11" s="82">
        <v>2066</v>
      </c>
      <c r="AU11" s="82">
        <v>2067</v>
      </c>
      <c r="AV11" s="82">
        <v>2068</v>
      </c>
      <c r="AW11" s="82">
        <v>2069</v>
      </c>
      <c r="AX11" s="82">
        <v>2070</v>
      </c>
      <c r="AY11" s="82">
        <v>2071</v>
      </c>
      <c r="AZ11" s="82">
        <v>2072</v>
      </c>
      <c r="BA11" s="82">
        <v>2073</v>
      </c>
      <c r="BB11" s="82">
        <v>2074</v>
      </c>
      <c r="BC11" s="82">
        <v>2075</v>
      </c>
      <c r="BD11" s="82">
        <v>2076</v>
      </c>
      <c r="BE11" s="82">
        <v>2077</v>
      </c>
      <c r="BF11" s="82">
        <v>2078</v>
      </c>
      <c r="BG11" s="82">
        <v>2079</v>
      </c>
      <c r="BH11" s="82">
        <v>2080</v>
      </c>
    </row>
    <row r="12" spans="1:60" x14ac:dyDescent="0.25">
      <c r="A12" s="71" t="str">
        <f>A7</f>
        <v>Total Planting</v>
      </c>
      <c r="B12" s="71">
        <v>89538.905225076393</v>
      </c>
      <c r="C12" s="71">
        <v>76325.669666666668</v>
      </c>
      <c r="D12" s="71">
        <v>62600</v>
      </c>
      <c r="E12" s="71">
        <v>46200</v>
      </c>
      <c r="F12" s="71">
        <v>21300</v>
      </c>
      <c r="G12" s="71">
        <v>21200</v>
      </c>
      <c r="H12" s="71">
        <v>21150</v>
      </c>
      <c r="I12" s="71">
        <v>21150</v>
      </c>
      <c r="J12" s="71">
        <v>21150</v>
      </c>
      <c r="K12" s="71">
        <v>21150</v>
      </c>
      <c r="L12" s="71">
        <v>21150</v>
      </c>
      <c r="M12" s="71">
        <v>21150</v>
      </c>
      <c r="N12" s="71">
        <v>21150</v>
      </c>
      <c r="O12" s="71">
        <v>21150</v>
      </c>
      <c r="P12" s="71">
        <v>21150</v>
      </c>
      <c r="Q12" s="71">
        <v>21150</v>
      </c>
      <c r="R12" s="71">
        <v>21150</v>
      </c>
      <c r="S12" s="71">
        <v>21150</v>
      </c>
      <c r="T12" s="71">
        <v>21150</v>
      </c>
      <c r="U12" s="71">
        <v>21150</v>
      </c>
      <c r="V12" s="71">
        <v>21150</v>
      </c>
      <c r="W12" s="71">
        <v>21150</v>
      </c>
      <c r="X12" s="71">
        <v>21150</v>
      </c>
      <c r="Y12" s="71">
        <v>21150</v>
      </c>
      <c r="Z12" s="71">
        <v>21150</v>
      </c>
      <c r="AA12" s="71">
        <v>21150</v>
      </c>
      <c r="AB12" s="71">
        <v>21150</v>
      </c>
      <c r="AC12" s="71">
        <v>21150</v>
      </c>
      <c r="AD12" s="71">
        <v>21150</v>
      </c>
      <c r="AE12" s="71">
        <v>21150</v>
      </c>
      <c r="AF12" s="71">
        <v>21150</v>
      </c>
      <c r="AG12" s="71">
        <v>21150</v>
      </c>
      <c r="AH12" s="71">
        <v>21150</v>
      </c>
      <c r="AI12" s="71">
        <v>21150</v>
      </c>
      <c r="AJ12" s="71">
        <v>21150</v>
      </c>
      <c r="AK12" s="71">
        <v>21150</v>
      </c>
      <c r="AL12" s="71">
        <v>21150</v>
      </c>
      <c r="AM12" s="71">
        <v>21150</v>
      </c>
      <c r="AN12" s="71">
        <v>21150</v>
      </c>
      <c r="AO12" s="71">
        <v>21150</v>
      </c>
      <c r="AP12" s="71">
        <v>21150</v>
      </c>
      <c r="AQ12" s="71">
        <v>21150</v>
      </c>
      <c r="AR12" s="71">
        <v>21150</v>
      </c>
      <c r="AS12" s="71">
        <v>21150</v>
      </c>
      <c r="AT12" s="71">
        <v>21150</v>
      </c>
      <c r="AU12" s="71">
        <v>21150</v>
      </c>
      <c r="AV12" s="71">
        <v>21150</v>
      </c>
      <c r="AW12" s="71">
        <v>21150</v>
      </c>
      <c r="AX12" s="71">
        <v>21150</v>
      </c>
      <c r="AY12" s="71">
        <v>21150</v>
      </c>
      <c r="AZ12" s="71">
        <v>21150</v>
      </c>
      <c r="BA12" s="71">
        <v>21150</v>
      </c>
      <c r="BB12" s="71">
        <v>21150</v>
      </c>
      <c r="BC12" s="71">
        <v>21150</v>
      </c>
      <c r="BD12" s="71">
        <v>21150</v>
      </c>
      <c r="BE12" s="71">
        <v>21150</v>
      </c>
      <c r="BF12" s="71">
        <v>21150</v>
      </c>
      <c r="BG12" s="71">
        <v>21150</v>
      </c>
      <c r="BH12" s="71">
        <v>21150</v>
      </c>
    </row>
    <row r="13" spans="1:60" x14ac:dyDescent="0.25">
      <c r="A13" s="71" t="s">
        <v>340</v>
      </c>
      <c r="B13" s="71">
        <v>12728.6473197634</v>
      </c>
      <c r="C13" s="71">
        <v>10169.300000000001</v>
      </c>
      <c r="D13" s="71">
        <v>6100</v>
      </c>
      <c r="E13" s="71">
        <v>6200</v>
      </c>
      <c r="F13" s="71">
        <v>4600</v>
      </c>
      <c r="G13" s="71">
        <v>4600</v>
      </c>
      <c r="H13" s="71">
        <v>4600</v>
      </c>
      <c r="I13" s="71">
        <v>4600</v>
      </c>
      <c r="J13" s="71">
        <v>4600</v>
      </c>
      <c r="K13" s="71">
        <v>4600</v>
      </c>
      <c r="L13" s="71">
        <v>4600</v>
      </c>
      <c r="M13" s="71">
        <v>4600</v>
      </c>
      <c r="N13" s="71">
        <v>4600</v>
      </c>
      <c r="O13" s="71">
        <v>4600</v>
      </c>
      <c r="P13" s="71">
        <v>4600</v>
      </c>
      <c r="Q13" s="71">
        <v>4600</v>
      </c>
      <c r="R13" s="71">
        <v>4600</v>
      </c>
      <c r="S13" s="71">
        <v>4600</v>
      </c>
      <c r="T13" s="71">
        <v>4600</v>
      </c>
      <c r="U13" s="71">
        <v>4600</v>
      </c>
      <c r="V13" s="71">
        <v>4600</v>
      </c>
      <c r="W13" s="71">
        <v>4600</v>
      </c>
      <c r="X13" s="71">
        <v>4600</v>
      </c>
      <c r="Y13" s="71">
        <v>4600</v>
      </c>
      <c r="Z13" s="71">
        <v>4600</v>
      </c>
      <c r="AA13" s="71">
        <v>4600</v>
      </c>
      <c r="AB13" s="71">
        <v>4600</v>
      </c>
      <c r="AC13" s="71">
        <v>4600</v>
      </c>
      <c r="AD13" s="71">
        <v>4600</v>
      </c>
      <c r="AE13" s="71">
        <v>4600</v>
      </c>
      <c r="AF13" s="71">
        <v>4600</v>
      </c>
      <c r="AG13" s="71">
        <v>4600</v>
      </c>
      <c r="AH13" s="71">
        <v>4600</v>
      </c>
      <c r="AI13" s="71">
        <v>4600</v>
      </c>
      <c r="AJ13" s="71">
        <v>4600</v>
      </c>
      <c r="AK13" s="71">
        <v>4600</v>
      </c>
      <c r="AL13" s="71">
        <v>4600</v>
      </c>
      <c r="AM13" s="71">
        <v>4600</v>
      </c>
      <c r="AN13" s="71">
        <v>4600</v>
      </c>
      <c r="AO13" s="71">
        <v>4600</v>
      </c>
      <c r="AP13" s="71">
        <v>4600</v>
      </c>
      <c r="AQ13" s="71">
        <v>4600</v>
      </c>
      <c r="AR13" s="71">
        <v>4600</v>
      </c>
      <c r="AS13" s="71">
        <v>4600</v>
      </c>
      <c r="AT13" s="71">
        <v>4600</v>
      </c>
      <c r="AU13" s="71">
        <v>4600</v>
      </c>
      <c r="AV13" s="71">
        <v>4600</v>
      </c>
      <c r="AW13" s="71">
        <v>4600</v>
      </c>
      <c r="AX13" s="71">
        <v>4600</v>
      </c>
      <c r="AY13" s="71">
        <v>4600</v>
      </c>
      <c r="AZ13" s="71">
        <v>4600</v>
      </c>
      <c r="BA13" s="71">
        <v>4600</v>
      </c>
      <c r="BB13" s="71">
        <v>4600</v>
      </c>
      <c r="BC13" s="71">
        <v>4600</v>
      </c>
      <c r="BD13" s="71">
        <v>4600</v>
      </c>
      <c r="BE13" s="71">
        <v>4600</v>
      </c>
      <c r="BF13" s="71">
        <v>4600</v>
      </c>
      <c r="BG13" s="71">
        <v>4600</v>
      </c>
      <c r="BH13" s="71">
        <v>4600</v>
      </c>
    </row>
    <row r="14" spans="1:60" x14ac:dyDescent="0.25">
      <c r="A14" s="71" t="s">
        <v>341</v>
      </c>
      <c r="B14" s="71">
        <v>6874.1620393486237</v>
      </c>
      <c r="C14" s="71">
        <v>7786.0846666666675</v>
      </c>
      <c r="D14" s="71">
        <v>3500</v>
      </c>
      <c r="E14" s="71">
        <v>2200</v>
      </c>
      <c r="F14" s="71">
        <v>200</v>
      </c>
      <c r="G14" s="71">
        <v>100</v>
      </c>
      <c r="H14" s="71">
        <v>50</v>
      </c>
      <c r="I14" s="71">
        <v>50</v>
      </c>
      <c r="J14" s="71">
        <v>50</v>
      </c>
      <c r="K14" s="71">
        <v>50</v>
      </c>
      <c r="L14" s="71">
        <v>50</v>
      </c>
      <c r="M14" s="71">
        <v>50</v>
      </c>
      <c r="N14" s="71">
        <v>50</v>
      </c>
      <c r="O14" s="71">
        <v>50</v>
      </c>
      <c r="P14" s="71">
        <v>50</v>
      </c>
      <c r="Q14" s="71">
        <v>50</v>
      </c>
      <c r="R14" s="71">
        <v>50</v>
      </c>
      <c r="S14" s="71">
        <v>50</v>
      </c>
      <c r="T14" s="71">
        <v>50</v>
      </c>
      <c r="U14" s="71">
        <v>50</v>
      </c>
      <c r="V14" s="71">
        <v>50</v>
      </c>
      <c r="W14" s="71">
        <v>50</v>
      </c>
      <c r="X14" s="71">
        <v>50</v>
      </c>
      <c r="Y14" s="71">
        <v>50</v>
      </c>
      <c r="Z14" s="71">
        <v>50</v>
      </c>
      <c r="AA14" s="71">
        <v>50</v>
      </c>
      <c r="AB14" s="71">
        <v>50</v>
      </c>
      <c r="AC14" s="71">
        <v>50</v>
      </c>
      <c r="AD14" s="71">
        <v>50</v>
      </c>
      <c r="AE14" s="71">
        <v>50</v>
      </c>
      <c r="AF14" s="71">
        <v>50</v>
      </c>
      <c r="AG14" s="71">
        <v>50</v>
      </c>
      <c r="AH14" s="71">
        <v>50</v>
      </c>
      <c r="AI14" s="71">
        <v>50</v>
      </c>
      <c r="AJ14" s="71">
        <v>50</v>
      </c>
      <c r="AK14" s="71">
        <v>50</v>
      </c>
      <c r="AL14" s="71">
        <v>50</v>
      </c>
      <c r="AM14" s="71">
        <v>50</v>
      </c>
      <c r="AN14" s="71">
        <v>50</v>
      </c>
      <c r="AO14" s="71">
        <v>50</v>
      </c>
      <c r="AP14" s="71">
        <v>50</v>
      </c>
      <c r="AQ14" s="71">
        <v>50</v>
      </c>
      <c r="AR14" s="71">
        <v>50</v>
      </c>
      <c r="AS14" s="71">
        <v>50</v>
      </c>
      <c r="AT14" s="71">
        <v>50</v>
      </c>
      <c r="AU14" s="71">
        <v>50</v>
      </c>
      <c r="AV14" s="71">
        <v>50</v>
      </c>
      <c r="AW14" s="71">
        <v>50</v>
      </c>
      <c r="AX14" s="71">
        <v>50</v>
      </c>
      <c r="AY14" s="71">
        <v>50</v>
      </c>
      <c r="AZ14" s="71">
        <v>50</v>
      </c>
      <c r="BA14" s="71">
        <v>50</v>
      </c>
      <c r="BB14" s="71">
        <v>50</v>
      </c>
      <c r="BC14" s="71">
        <v>50</v>
      </c>
      <c r="BD14" s="71">
        <v>50</v>
      </c>
      <c r="BE14" s="71">
        <v>50</v>
      </c>
      <c r="BF14" s="71">
        <v>50</v>
      </c>
      <c r="BG14" s="71">
        <v>50</v>
      </c>
      <c r="BH14" s="71">
        <v>50</v>
      </c>
    </row>
    <row r="15" spans="1:60" x14ac:dyDescent="0.25">
      <c r="A15" s="71" t="s">
        <v>342</v>
      </c>
      <c r="B15" s="71">
        <v>69936.095865964366</v>
      </c>
      <c r="C15" s="71">
        <v>58370.285000000003</v>
      </c>
      <c r="D15" s="71">
        <v>53000</v>
      </c>
      <c r="E15" s="71">
        <v>37800</v>
      </c>
      <c r="F15" s="71">
        <v>16500</v>
      </c>
      <c r="G15" s="71">
        <v>16500</v>
      </c>
      <c r="H15" s="71">
        <v>16500</v>
      </c>
      <c r="I15" s="71">
        <v>16500</v>
      </c>
      <c r="J15" s="71">
        <v>16500</v>
      </c>
      <c r="K15" s="71">
        <v>16500</v>
      </c>
      <c r="L15" s="71">
        <v>16500</v>
      </c>
      <c r="M15" s="71">
        <v>16500</v>
      </c>
      <c r="N15" s="71">
        <v>16500</v>
      </c>
      <c r="O15" s="71">
        <v>16500</v>
      </c>
      <c r="P15" s="71">
        <v>16500</v>
      </c>
      <c r="Q15" s="71">
        <v>16500</v>
      </c>
      <c r="R15" s="71">
        <v>16500</v>
      </c>
      <c r="S15" s="71">
        <v>16500</v>
      </c>
      <c r="T15" s="71">
        <v>16500</v>
      </c>
      <c r="U15" s="71">
        <v>16500</v>
      </c>
      <c r="V15" s="71">
        <v>16500</v>
      </c>
      <c r="W15" s="71">
        <v>16500</v>
      </c>
      <c r="X15" s="71">
        <v>16500</v>
      </c>
      <c r="Y15" s="71">
        <v>16500</v>
      </c>
      <c r="Z15" s="71">
        <v>16500</v>
      </c>
      <c r="AA15" s="71">
        <v>16500</v>
      </c>
      <c r="AB15" s="71">
        <v>16500</v>
      </c>
      <c r="AC15" s="71">
        <v>16500</v>
      </c>
      <c r="AD15" s="71">
        <v>16500</v>
      </c>
      <c r="AE15" s="71">
        <v>16500</v>
      </c>
      <c r="AF15" s="71">
        <v>16500</v>
      </c>
      <c r="AG15" s="71">
        <v>16500</v>
      </c>
      <c r="AH15" s="71">
        <v>16500</v>
      </c>
      <c r="AI15" s="71">
        <v>16500</v>
      </c>
      <c r="AJ15" s="71">
        <v>16500</v>
      </c>
      <c r="AK15" s="71">
        <v>16500</v>
      </c>
      <c r="AL15" s="71">
        <v>16500</v>
      </c>
      <c r="AM15" s="71">
        <v>16500</v>
      </c>
      <c r="AN15" s="71">
        <v>16500</v>
      </c>
      <c r="AO15" s="71">
        <v>16500</v>
      </c>
      <c r="AP15" s="71">
        <v>16500</v>
      </c>
      <c r="AQ15" s="71">
        <v>16500</v>
      </c>
      <c r="AR15" s="71">
        <v>16500</v>
      </c>
      <c r="AS15" s="71">
        <v>16500</v>
      </c>
      <c r="AT15" s="71">
        <v>16500</v>
      </c>
      <c r="AU15" s="71">
        <v>16500</v>
      </c>
      <c r="AV15" s="71">
        <v>16500</v>
      </c>
      <c r="AW15" s="71">
        <v>16500</v>
      </c>
      <c r="AX15" s="71">
        <v>16500</v>
      </c>
      <c r="AY15" s="71">
        <v>16500</v>
      </c>
      <c r="AZ15" s="71">
        <v>16500</v>
      </c>
      <c r="BA15" s="71">
        <v>16500</v>
      </c>
      <c r="BB15" s="71">
        <v>16500</v>
      </c>
      <c r="BC15" s="71">
        <v>16500</v>
      </c>
      <c r="BD15" s="71">
        <v>16500</v>
      </c>
      <c r="BE15" s="71">
        <v>16500</v>
      </c>
      <c r="BF15" s="71">
        <v>16500</v>
      </c>
      <c r="BG15" s="71">
        <v>16500</v>
      </c>
      <c r="BH15" s="71">
        <v>16500</v>
      </c>
    </row>
    <row r="16" spans="1:60" x14ac:dyDescent="0.25">
      <c r="A16" s="81" t="s">
        <v>344</v>
      </c>
      <c r="B16" s="82">
        <v>2022</v>
      </c>
      <c r="C16" s="82">
        <v>2023</v>
      </c>
      <c r="D16" s="82">
        <v>2024</v>
      </c>
      <c r="E16" s="82">
        <v>2025</v>
      </c>
      <c r="F16" s="82">
        <v>2026</v>
      </c>
      <c r="G16" s="82">
        <v>2027</v>
      </c>
      <c r="H16" s="82">
        <v>2028</v>
      </c>
      <c r="I16" s="82">
        <v>2029</v>
      </c>
      <c r="J16" s="82">
        <v>2030</v>
      </c>
      <c r="K16" s="82">
        <v>2031</v>
      </c>
      <c r="L16" s="82">
        <v>2032</v>
      </c>
      <c r="M16" s="82">
        <v>2033</v>
      </c>
      <c r="N16" s="82">
        <v>2034</v>
      </c>
      <c r="O16" s="82">
        <v>2035</v>
      </c>
      <c r="P16" s="82">
        <v>2036</v>
      </c>
      <c r="Q16" s="82">
        <v>2037</v>
      </c>
      <c r="R16" s="82">
        <v>2038</v>
      </c>
      <c r="S16" s="82">
        <v>2039</v>
      </c>
      <c r="T16" s="82">
        <v>2040</v>
      </c>
      <c r="U16" s="82">
        <v>2041</v>
      </c>
      <c r="V16" s="82">
        <v>2042</v>
      </c>
      <c r="W16" s="82">
        <v>2043</v>
      </c>
      <c r="X16" s="82">
        <v>2044</v>
      </c>
      <c r="Y16" s="82">
        <v>2045</v>
      </c>
      <c r="Z16" s="82">
        <v>2046</v>
      </c>
      <c r="AA16" s="82">
        <v>2047</v>
      </c>
      <c r="AB16" s="82">
        <v>2048</v>
      </c>
      <c r="AC16" s="82">
        <v>2049</v>
      </c>
      <c r="AD16" s="82">
        <v>2050</v>
      </c>
      <c r="AE16" s="82">
        <v>2051</v>
      </c>
      <c r="AF16" s="82">
        <v>2052</v>
      </c>
      <c r="AG16" s="82">
        <v>2053</v>
      </c>
      <c r="AH16" s="82">
        <v>2054</v>
      </c>
      <c r="AI16" s="82">
        <v>2055</v>
      </c>
      <c r="AJ16" s="82">
        <v>2056</v>
      </c>
      <c r="AK16" s="82">
        <v>2057</v>
      </c>
      <c r="AL16" s="82">
        <v>2058</v>
      </c>
      <c r="AM16" s="82">
        <v>2059</v>
      </c>
      <c r="AN16" s="82">
        <v>2060</v>
      </c>
      <c r="AO16" s="82">
        <v>2061</v>
      </c>
      <c r="AP16" s="82">
        <v>2062</v>
      </c>
      <c r="AQ16" s="82">
        <v>2063</v>
      </c>
      <c r="AR16" s="82">
        <v>2064</v>
      </c>
      <c r="AS16" s="82">
        <v>2065</v>
      </c>
      <c r="AT16" s="82">
        <v>2066</v>
      </c>
      <c r="AU16" s="82">
        <v>2067</v>
      </c>
      <c r="AV16" s="82">
        <v>2068</v>
      </c>
      <c r="AW16" s="82">
        <v>2069</v>
      </c>
      <c r="AX16" s="82">
        <v>2070</v>
      </c>
      <c r="AY16" s="82">
        <v>2071</v>
      </c>
      <c r="AZ16" s="82">
        <v>2072</v>
      </c>
      <c r="BA16" s="82">
        <v>2073</v>
      </c>
      <c r="BB16" s="82">
        <v>2074</v>
      </c>
      <c r="BC16" s="82">
        <v>2075</v>
      </c>
      <c r="BD16" s="82">
        <v>2076</v>
      </c>
      <c r="BE16" s="82">
        <v>2077</v>
      </c>
      <c r="BF16" s="82">
        <v>2078</v>
      </c>
      <c r="BG16" s="82">
        <v>2079</v>
      </c>
      <c r="BH16" s="82">
        <v>2080</v>
      </c>
    </row>
    <row r="17" spans="1:61" x14ac:dyDescent="0.25">
      <c r="A17" s="88" t="str">
        <f>A12</f>
        <v>Total Planting</v>
      </c>
      <c r="B17" s="185">
        <f>B2</f>
        <v>89538.905225076393</v>
      </c>
      <c r="C17" s="185">
        <f t="shared" ref="C17:D17" si="0">C2</f>
        <v>76325.669666666668</v>
      </c>
      <c r="D17" s="185">
        <f t="shared" si="0"/>
        <v>62600</v>
      </c>
      <c r="E17" s="185">
        <f t="shared" ref="E17" si="1">E2</f>
        <v>62800</v>
      </c>
      <c r="F17" s="90">
        <f ca="1">IF((F25-E25)*F27&gt;Model!$B$18,Model!$B$18,(F25-E25)*F27)</f>
        <v>37954.34053498198</v>
      </c>
      <c r="G17" s="90">
        <f ca="1">IF((G25-F25)*G27&gt;Model!$B$18,Model!$B$18,(G25-F25)*G27)</f>
        <v>38080.597980239108</v>
      </c>
      <c r="H17" s="90">
        <f ca="1">IF((H25-G25)*H27&gt;Model!$B$18,Model!$B$18,(H25-G25)*H27)</f>
        <v>37954.64047847531</v>
      </c>
      <c r="I17" s="90">
        <f ca="1">IF((I25-H25)*I27&gt;Model!$B$18,Model!$B$18,(I25-H25)*I27)</f>
        <v>37539.444628622907</v>
      </c>
      <c r="J17" s="90">
        <f ca="1">IF((J25-I25)*J27&gt;Model!$B$18,Model!$B$18,(J25-I25)*J27)</f>
        <v>36779.379103480664</v>
      </c>
      <c r="K17" s="90">
        <f ca="1">IF((K25-J25)*K27&gt;Model!$B$18,Model!$B$18,(K25-J25)*K27)</f>
        <v>35595.123446342128</v>
      </c>
      <c r="L17" s="90">
        <f ca="1">IF((L25-K25)*L27&gt;Model!$B$18,Model!$B$18,(L25-K25)*L27)</f>
        <v>34381.127555927204</v>
      </c>
      <c r="M17" s="90">
        <f ca="1">IF((M25-L25)*M27&gt;Model!$B$18,Model!$B$18,(M25-L25)*M27)</f>
        <v>33145.02067742747</v>
      </c>
      <c r="N17" s="90">
        <f ca="1">IF((N25-M25)*N27&gt;Model!$B$18,Model!$B$18,(N25-M25)*N27)</f>
        <v>31894.618246021564</v>
      </c>
      <c r="O17" s="90">
        <f ca="1">IF((O25-N25)*O27&gt;Model!$B$18,Model!$B$18,(O25-N25)*O27)</f>
        <v>30637.721246405563</v>
      </c>
      <c r="P17" s="90">
        <f ca="1">IF((P25-O25)*P27&gt;Model!$B$18,Model!$B$18,(P25-O25)*P27)</f>
        <v>29406.958780189743</v>
      </c>
      <c r="Q17" s="90">
        <f ca="1">IF((Q25-P25)*Q27&gt;Model!$B$18,Model!$B$18,(Q25-P25)*Q27)</f>
        <v>28220.17456447985</v>
      </c>
      <c r="R17" s="90">
        <f ca="1">IF((R25-Q25)*R27&gt;Model!$B$18,Model!$B$18,(R25-Q25)*R27)</f>
        <v>27086.740451767808</v>
      </c>
      <c r="S17" s="90">
        <f ca="1">IF((S25-R25)*S27&gt;Model!$B$18,Model!$B$18,(S25-R25)*S27)</f>
        <v>26014.685403082403</v>
      </c>
      <c r="T17" s="90">
        <f ca="1">IF((T25-S25)*T27&gt;Model!$B$18,Model!$B$18,(T25-S25)*T27)</f>
        <v>25010.719539846643</v>
      </c>
      <c r="U17" s="90">
        <f ca="1">IF((U25-T25)*U27&gt;Model!$B$18,Model!$B$18,(U25-T25)*U27)</f>
        <v>24080.328926639631</v>
      </c>
      <c r="V17" s="90">
        <f ca="1">IF((V25-U25)*V27&gt;Model!$B$18,Model!$B$18,(V25-U25)*V27)</f>
        <v>23227.925034082495</v>
      </c>
      <c r="W17" s="90">
        <f ca="1">IF((W25-V25)*W27&gt;Model!$B$18,Model!$B$18,(W25-V25)*W27)</f>
        <v>22457.032927294727</v>
      </c>
      <c r="X17" s="90">
        <f ca="1">IF((X25-W25)*X27&gt;Model!$B$18,Model!$B$18,(X25-W25)*X27)</f>
        <v>21770.50390399911</v>
      </c>
      <c r="Y17" s="90">
        <f ca="1">IF((Y25-X25)*Y27&gt;Model!$B$18,Model!$B$18,(Y25-X25)*Y27)</f>
        <v>21170.740914082271</v>
      </c>
      <c r="Z17" s="90">
        <f ca="1">IF((Z25-Y25)*Z27&gt;Model!$B$18,Model!$B$18,(Z25-Y25)*Z27)</f>
        <v>20659.928036842844</v>
      </c>
      <c r="AA17" s="90">
        <f ca="1">IF((AA25-Z25)*AA27&gt;Model!$B$18,Model!$B$18,(AA25-Z25)*AA27)</f>
        <v>20240.258095865138</v>
      </c>
      <c r="AB17" s="90">
        <f ca="1">IF((AB25-AA25)*AB27&gt;Model!$B$18,Model!$B$18,(AB25-AA25)*AB27)</f>
        <v>19914.154796728981</v>
      </c>
      <c r="AC17" s="90">
        <f ca="1">IF((AC25-AB25)*AC27&gt;Model!$B$18,Model!$B$18,(AC25-AB25)*AC27)</f>
        <v>19684.487310993834</v>
      </c>
      <c r="AD17" s="90">
        <f ca="1">IF((AD25-AC25)*AD27&gt;Model!$B$18,Model!$B$18,(AD25-AC25)*AD27)</f>
        <v>19554.77576950402</v>
      </c>
      <c r="AE17" s="90">
        <f ca="1">IF((AE25-AD25)*AE27&gt;Model!$B$18,Model!$B$18,(AE25-AD25)*AE27)</f>
        <v>19425.787049717153</v>
      </c>
      <c r="AF17" s="90">
        <f ca="1">IF((AF25-AE25)*AF27&gt;Model!$B$18,Model!$B$18,(AF25-AE25)*AF27)</f>
        <v>19297.523313694284</v>
      </c>
      <c r="AG17" s="90">
        <f ca="1">IF((AG25-AF25)*AG27&gt;Model!$B$18,Model!$B$18,(AG25-AF25)*AG27)</f>
        <v>19169.986558930133</v>
      </c>
      <c r="AH17" s="90">
        <f ca="1">IF((AH25-AG25)*AH27&gt;Model!$B$18,Model!$B$18,(AH25-AG25)*AH27)</f>
        <v>19043.17862088792</v>
      </c>
      <c r="AI17" s="90">
        <f ca="1">IF((AI25-AH25)*AI27&gt;Model!$B$18,Model!$B$18,(AI25-AH25)*AI27)</f>
        <v>18917.101175554795</v>
      </c>
      <c r="AJ17" s="90">
        <f ca="1">IF((AJ25-AI25)*AJ27&gt;Model!$B$18,Model!$B$18,(AJ25-AI25)*AJ27)</f>
        <v>18791.755742013105</v>
      </c>
      <c r="AK17" s="90">
        <f ca="1">IF((AK25-AJ25)*AK27&gt;Model!$B$18,Model!$B$18,(AK25-AJ25)*AK27)</f>
        <v>18667.143685026909</v>
      </c>
      <c r="AL17" s="90">
        <f ca="1">IF((AL25-AK25)*AL27&gt;Model!$B$18,Model!$B$18,(AL25-AK25)*AL27)</f>
        <v>18543.266217641765</v>
      </c>
      <c r="AM17" s="90">
        <f ca="1">IF((AM25-AL25)*AM27&gt;Model!$B$18,Model!$B$18,(AM25-AL25)*AM27)</f>
        <v>18420.12440379383</v>
      </c>
      <c r="AN17" s="90">
        <f ca="1">IF((AN25-AM25)*AN27&gt;Model!$B$18,Model!$B$18,(AN25-AM25)*AN27)</f>
        <v>18297.719160928857</v>
      </c>
      <c r="AO17" s="90">
        <f ca="1">IF((AO25-AN25)*AO27&gt;Model!$B$18,Model!$B$18,(AO25-AN25)*AO27)</f>
        <v>18176.051262625959</v>
      </c>
      <c r="AP17" s="90">
        <f ca="1">IF((AP25-AO25)*AP27&gt;Model!$B$18,Model!$B$18,(AP25-AO25)*AP27)</f>
        <v>18055.121341228485</v>
      </c>
      <c r="AQ17" s="90">
        <f ca="1">IF((AQ25-AP25)*AQ27&gt;Model!$B$18,Model!$B$18,(AQ25-AP25)*AQ27)</f>
        <v>17934.92989047477</v>
      </c>
      <c r="AR17" s="90">
        <f ca="1">IF((AR25-AQ25)*AR27&gt;Model!$B$18,Model!$B$18,(AR25-AQ25)*AR27)</f>
        <v>17815.477268132148</v>
      </c>
      <c r="AS17" s="90">
        <f ca="1">IF((AS25-AR25)*AS27&gt;Model!$B$18,Model!$B$18,(AS25-AR25)*AS27)</f>
        <v>17696.763698628638</v>
      </c>
      <c r="AT17" s="90">
        <f ca="1">IF((AT25-AS25)*AT27&gt;Model!$B$18,Model!$B$18,(AT25-AS25)*AT27)</f>
        <v>17578.789275682066</v>
      </c>
      <c r="AU17" s="90">
        <f ca="1">IF((AU25-AT25)*AU27&gt;Model!$B$18,Model!$B$18,(AU25-AT25)*AU27)</f>
        <v>17461.553964926628</v>
      </c>
      <c r="AV17" s="90">
        <f ca="1">IF((AV25-AU25)*AV27&gt;Model!$B$18,Model!$B$18,(AV25-AU25)*AV27)</f>
        <v>17345.057606531773</v>
      </c>
      <c r="AW17" s="90">
        <f ca="1">IF((AW25-AV25)*AW27&gt;Model!$B$18,Model!$B$18,(AW25-AV25)*AW27)</f>
        <v>17229.299917814787</v>
      </c>
      <c r="AX17" s="90">
        <f ca="1">IF((AX25-AW25)*AX27&gt;Model!$B$18,Model!$B$18,(AX25-AW25)*AX27)</f>
        <v>17114.28049584385</v>
      </c>
      <c r="AY17" s="90">
        <f ca="1">IF((AY25-AX25)*AY27&gt;Model!$B$18,Model!$B$18,(AY25-AX25)*AY27)</f>
        <v>16999.998820032459</v>
      </c>
      <c r="AZ17" s="90">
        <f ca="1">IF((AZ25-AY25)*AZ27&gt;Model!$B$18,Model!$B$18,(AZ25-AY25)*AZ27)</f>
        <v>16886.454254720127</v>
      </c>
      <c r="BA17" s="90">
        <f ca="1">IF((BA25-AZ25)*BA27&gt;Model!$B$18,Model!$B$18,(BA25-AZ25)*BA27)</f>
        <v>16773.646051741904</v>
      </c>
      <c r="BB17" s="90">
        <f ca="1">IF((BB25-BA25)*BB27&gt;Model!$B$18,Model!$B$18,(BB25-BA25)*BB27)</f>
        <v>16661.57335298392</v>
      </c>
      <c r="BC17" s="90">
        <f ca="1">IF((BC25-BB25)*BC27&gt;Model!$B$18,Model!$B$18,(BC25-BB25)*BC27)</f>
        <v>16550.235192921711</v>
      </c>
      <c r="BD17" s="90">
        <f ca="1">IF((BD25-BC25)*BD27&gt;Model!$B$18,Model!$B$18,(BD25-BC25)*BD27)</f>
        <v>16439.630501144333</v>
      </c>
      <c r="BE17" s="90">
        <f ca="1">IF((BE25-BD25)*BE27&gt;Model!$B$18,Model!$B$18,(BE25-BD25)*BE27)</f>
        <v>16329.758104859618</v>
      </c>
      <c r="BF17" s="90">
        <f ca="1">IF((BF25-BE25)*BF27&gt;Model!$B$18,Model!$B$18,(BF25-BE25)*BF27)</f>
        <v>16220.616731382208</v>
      </c>
      <c r="BG17" s="90">
        <f ca="1">IF((BG25-BF25)*BG27&gt;Model!$B$18,Model!$B$18,(BG25-BF25)*BG27)</f>
        <v>16112.205010599224</v>
      </c>
      <c r="BH17" s="90">
        <f ca="1">IF((BH25-BG25)*BH27&gt;Model!$B$18,Model!$B$18,(BH25-BG25)*BH27)</f>
        <v>16004.521477420116</v>
      </c>
      <c r="BI17" s="90"/>
    </row>
    <row r="18" spans="1:61" x14ac:dyDescent="0.25">
      <c r="A18" s="88" t="str">
        <f>A13</f>
        <v>Permanent Exotic Pine</v>
      </c>
      <c r="B18" s="185">
        <f t="shared" ref="B18:D20" si="2">B3</f>
        <v>12728.6473197634</v>
      </c>
      <c r="C18" s="185">
        <f t="shared" si="2"/>
        <v>10169.300000000001</v>
      </c>
      <c r="D18" s="185">
        <f t="shared" si="2"/>
        <v>14500</v>
      </c>
      <c r="E18" s="185">
        <f t="shared" ref="E18" si="3">E3</f>
        <v>12300</v>
      </c>
      <c r="F18" s="90">
        <f t="shared" ref="F18:J18" ca="1" si="4">F3/F$2*F$17</f>
        <v>12651.446844993992</v>
      </c>
      <c r="G18" s="90">
        <f t="shared" ca="1" si="4"/>
        <v>12786.186183145977</v>
      </c>
      <c r="H18" s="90">
        <f t="shared" ca="1" si="4"/>
        <v>12790.57481325908</v>
      </c>
      <c r="I18" s="90">
        <f t="shared" ca="1" si="4"/>
        <v>12650.655332722739</v>
      </c>
      <c r="J18" s="90">
        <f t="shared" ca="1" si="4"/>
        <v>12394.516034872606</v>
      </c>
      <c r="K18" s="90">
        <f t="shared" ref="K18:BH20" ca="1" si="5">K3/K$2*K$17</f>
        <v>11995.42621634973</v>
      </c>
      <c r="L18" s="90">
        <f t="shared" ca="1" si="5"/>
        <v>11586.314048151293</v>
      </c>
      <c r="M18" s="90">
        <f t="shared" ca="1" si="5"/>
        <v>11169.750557960906</v>
      </c>
      <c r="N18" s="90">
        <f t="shared" ca="1" si="5"/>
        <v>10748.369518805803</v>
      </c>
      <c r="O18" s="90">
        <f t="shared" ca="1" si="5"/>
        <v>10324.799833953524</v>
      </c>
      <c r="P18" s="90">
        <f t="shared" ca="1" si="5"/>
        <v>9910.0373911262141</v>
      </c>
      <c r="Q18" s="90">
        <f t="shared" ca="1" si="5"/>
        <v>9510.0954576269105</v>
      </c>
      <c r="R18" s="90">
        <f t="shared" ca="1" si="5"/>
        <v>9128.1323134162576</v>
      </c>
      <c r="S18" s="90">
        <f t="shared" ca="1" si="5"/>
        <v>8766.8536889508468</v>
      </c>
      <c r="T18" s="90">
        <f t="shared" ca="1" si="5"/>
        <v>8428.5208705710302</v>
      </c>
      <c r="U18" s="90">
        <f t="shared" ca="1" si="5"/>
        <v>8114.9826419444917</v>
      </c>
      <c r="V18" s="90">
        <f t="shared" ca="1" si="5"/>
        <v>7827.7256525113171</v>
      </c>
      <c r="W18" s="90">
        <f t="shared" ca="1" si="5"/>
        <v>7567.9378363044507</v>
      </c>
      <c r="X18" s="90">
        <f t="shared" ca="1" si="5"/>
        <v>7336.5800702121551</v>
      </c>
      <c r="Y18" s="90">
        <f t="shared" ca="1" si="5"/>
        <v>7134.4621395442091</v>
      </c>
      <c r="Z18" s="90">
        <f t="shared" ca="1" si="5"/>
        <v>6962.3200710239626</v>
      </c>
      <c r="AA18" s="90">
        <f t="shared" ca="1" si="5"/>
        <v>6820.8928381670066</v>
      </c>
      <c r="AB18" s="90">
        <f t="shared" ca="1" si="5"/>
        <v>6710.9972208757008</v>
      </c>
      <c r="AC18" s="90">
        <f t="shared" ca="1" si="5"/>
        <v>6633.6001194557984</v>
      </c>
      <c r="AD18" s="90">
        <f t="shared" ca="1" si="5"/>
        <v>6589.8878051075826</v>
      </c>
      <c r="AE18" s="90">
        <f t="shared" ca="1" si="5"/>
        <v>6546.4190790255616</v>
      </c>
      <c r="AF18" s="90">
        <f t="shared" ca="1" si="5"/>
        <v>6503.1946698163893</v>
      </c>
      <c r="AG18" s="90">
        <f t="shared" ca="1" si="5"/>
        <v>6460.2152506284701</v>
      </c>
      <c r="AH18" s="90">
        <f t="shared" ca="1" si="5"/>
        <v>6417.4814400061859</v>
      </c>
      <c r="AI18" s="90">
        <f t="shared" ca="1" si="5"/>
        <v>6374.9938027510671</v>
      </c>
      <c r="AJ18" s="90">
        <f t="shared" ca="1" si="5"/>
        <v>6332.7528507882998</v>
      </c>
      <c r="AK18" s="90">
        <f t="shared" ca="1" si="5"/>
        <v>6290.7590440383728</v>
      </c>
      <c r="AL18" s="90">
        <f t="shared" ca="1" si="5"/>
        <v>6249.0127912931957</v>
      </c>
      <c r="AM18" s="90">
        <f t="shared" ca="1" si="5"/>
        <v>6207.5144510953569</v>
      </c>
      <c r="AN18" s="90">
        <f t="shared" ca="1" si="5"/>
        <v>6166.2643326207144</v>
      </c>
      <c r="AO18" s="90">
        <f t="shared" ca="1" si="5"/>
        <v>6125.262696562595</v>
      </c>
      <c r="AP18" s="90">
        <f t="shared" ca="1" si="5"/>
        <v>6084.5097560183913</v>
      </c>
      <c r="AQ18" s="90">
        <f t="shared" ca="1" si="5"/>
        <v>6044.0056773761135</v>
      </c>
      <c r="AR18" s="90">
        <f t="shared" ca="1" si="5"/>
        <v>6003.7505812020427</v>
      </c>
      <c r="AS18" s="90">
        <f t="shared" ca="1" si="5"/>
        <v>5963.7445431276001</v>
      </c>
      <c r="AT18" s="90">
        <f t="shared" ca="1" si="5"/>
        <v>5923.9875947353485</v>
      </c>
      <c r="AU18" s="90">
        <f t="shared" ca="1" si="5"/>
        <v>5884.4797244441388</v>
      </c>
      <c r="AV18" s="90">
        <f t="shared" ca="1" si="5"/>
        <v>5845.2208783916603</v>
      </c>
      <c r="AW18" s="90">
        <f t="shared" ca="1" si="5"/>
        <v>5806.2109613148741</v>
      </c>
      <c r="AX18" s="90">
        <f t="shared" ca="1" si="5"/>
        <v>5767.4498374272316</v>
      </c>
      <c r="AY18" s="90">
        <f t="shared" ca="1" si="5"/>
        <v>5728.9373312929902</v>
      </c>
      <c r="AZ18" s="90">
        <f t="shared" ca="1" si="5"/>
        <v>5690.6732286968927</v>
      </c>
      <c r="BA18" s="90">
        <f t="shared" ca="1" si="5"/>
        <v>5652.6572775100922</v>
      </c>
      <c r="BB18" s="90">
        <f t="shared" ca="1" si="5"/>
        <v>5614.8891885513576</v>
      </c>
      <c r="BC18" s="90">
        <f t="shared" ca="1" si="5"/>
        <v>5577.3686364424821</v>
      </c>
      <c r="BD18" s="90">
        <f t="shared" ca="1" si="5"/>
        <v>5540.0952604588965</v>
      </c>
      <c r="BE18" s="90">
        <f t="shared" ca="1" si="5"/>
        <v>5503.0686653739376</v>
      </c>
      <c r="BF18" s="90">
        <f t="shared" ca="1" si="5"/>
        <v>5466.2884222973016</v>
      </c>
      <c r="BG18" s="90">
        <f t="shared" ca="1" si="5"/>
        <v>5429.7540695059661</v>
      </c>
      <c r="BH18" s="90">
        <f t="shared" ca="1" si="5"/>
        <v>5393.4651132697827</v>
      </c>
    </row>
    <row r="19" spans="1:61" x14ac:dyDescent="0.25">
      <c r="A19" s="88" t="str">
        <f>A14</f>
        <v xml:space="preserve">P89 Natural Forest </v>
      </c>
      <c r="B19" s="185">
        <f t="shared" si="2"/>
        <v>6874.1620393486237</v>
      </c>
      <c r="C19" s="185">
        <f t="shared" si="2"/>
        <v>7786.0846666666675</v>
      </c>
      <c r="D19" s="185">
        <f t="shared" si="2"/>
        <v>3500</v>
      </c>
      <c r="E19" s="185">
        <f t="shared" ref="E19" si="6">E4</f>
        <v>2200</v>
      </c>
      <c r="F19" s="90">
        <f t="shared" ref="F19:J19" ca="1" si="7">F4/F$2*F$17</f>
        <v>550.06290630408671</v>
      </c>
      <c r="G19" s="90">
        <f t="shared" ca="1" si="7"/>
        <v>277.96056919882562</v>
      </c>
      <c r="H19" s="90">
        <f t="shared" ca="1" si="7"/>
        <v>139.02798710064215</v>
      </c>
      <c r="I19" s="90">
        <f t="shared" ca="1" si="7"/>
        <v>137.50712318176889</v>
      </c>
      <c r="J19" s="90">
        <f t="shared" ca="1" si="7"/>
        <v>134.72300037905006</v>
      </c>
      <c r="K19" s="90">
        <f t="shared" ca="1" si="5"/>
        <v>130.38506756901879</v>
      </c>
      <c r="L19" s="90">
        <f t="shared" ca="1" si="5"/>
        <v>125.93819617555752</v>
      </c>
      <c r="M19" s="90">
        <f t="shared" ca="1" si="5"/>
        <v>121.41033215174897</v>
      </c>
      <c r="N19" s="90">
        <f t="shared" ca="1" si="5"/>
        <v>116.83010346528046</v>
      </c>
      <c r="O19" s="90">
        <f t="shared" ca="1" si="5"/>
        <v>112.22608515166873</v>
      </c>
      <c r="P19" s="90">
        <f t="shared" ca="1" si="5"/>
        <v>107.71779772963276</v>
      </c>
      <c r="Q19" s="90">
        <f t="shared" ca="1" si="5"/>
        <v>103.37060280029249</v>
      </c>
      <c r="R19" s="90">
        <f t="shared" ca="1" si="5"/>
        <v>99.21882949365498</v>
      </c>
      <c r="S19" s="90">
        <f t="shared" ca="1" si="5"/>
        <v>95.291887923378766</v>
      </c>
      <c r="T19" s="90">
        <f t="shared" ca="1" si="5"/>
        <v>91.61435728881554</v>
      </c>
      <c r="U19" s="90">
        <f t="shared" ca="1" si="5"/>
        <v>88.206333064614029</v>
      </c>
      <c r="V19" s="90">
        <f t="shared" ca="1" si="5"/>
        <v>85.083974483818665</v>
      </c>
      <c r="W19" s="90">
        <f t="shared" ca="1" si="5"/>
        <v>82.260193872874453</v>
      </c>
      <c r="X19" s="90">
        <f t="shared" ca="1" si="5"/>
        <v>79.745435545784289</v>
      </c>
      <c r="Y19" s="90">
        <f t="shared" ca="1" si="5"/>
        <v>77.548501516784881</v>
      </c>
      <c r="Z19" s="90">
        <f t="shared" ca="1" si="5"/>
        <v>75.677392076347417</v>
      </c>
      <c r="AA19" s="90">
        <f t="shared" ca="1" si="5"/>
        <v>74.14013954529355</v>
      </c>
      <c r="AB19" s="90">
        <f t="shared" ca="1" si="5"/>
        <v>72.945621966040221</v>
      </c>
      <c r="AC19" s="90">
        <f t="shared" ca="1" si="5"/>
        <v>72.104349124519544</v>
      </c>
      <c r="AD19" s="90">
        <f t="shared" ca="1" si="5"/>
        <v>71.629215272908496</v>
      </c>
      <c r="AE19" s="90">
        <f t="shared" ca="1" si="5"/>
        <v>71.15672911984305</v>
      </c>
      <c r="AF19" s="90">
        <f t="shared" ca="1" si="5"/>
        <v>70.686898584960744</v>
      </c>
      <c r="AG19" s="90">
        <f t="shared" ca="1" si="5"/>
        <v>70.21973098509207</v>
      </c>
      <c r="AH19" s="90">
        <f t="shared" ca="1" si="5"/>
        <v>69.755233043545502</v>
      </c>
      <c r="AI19" s="90">
        <f t="shared" ca="1" si="5"/>
        <v>69.293410899468114</v>
      </c>
      <c r="AJ19" s="90">
        <f t="shared" ca="1" si="5"/>
        <v>68.834270117264126</v>
      </c>
      <c r="AK19" s="90">
        <f t="shared" ca="1" si="5"/>
        <v>68.377815696069263</v>
      </c>
      <c r="AL19" s="90">
        <f t="shared" ca="1" si="5"/>
        <v>67.924052079273864</v>
      </c>
      <c r="AM19" s="90">
        <f t="shared" ca="1" si="5"/>
        <v>67.472983164079963</v>
      </c>
      <c r="AN19" s="90">
        <f t="shared" ca="1" si="5"/>
        <v>67.024612311094714</v>
      </c>
      <c r="AO19" s="90">
        <f t="shared" ca="1" si="5"/>
        <v>66.578942353941244</v>
      </c>
      <c r="AP19" s="90">
        <f t="shared" ca="1" si="5"/>
        <v>66.135975608895549</v>
      </c>
      <c r="AQ19" s="90">
        <f t="shared" ca="1" si="5"/>
        <v>65.695713884522974</v>
      </c>
      <c r="AR19" s="90">
        <f t="shared" ca="1" si="5"/>
        <v>65.258158491326554</v>
      </c>
      <c r="AS19" s="90">
        <f t="shared" ca="1" si="5"/>
        <v>64.823310251386957</v>
      </c>
      <c r="AT19" s="90">
        <f t="shared" ca="1" si="5"/>
        <v>64.391169507992913</v>
      </c>
      <c r="AU19" s="90">
        <f t="shared" ca="1" si="5"/>
        <v>63.961736135262377</v>
      </c>
      <c r="AV19" s="90">
        <f t="shared" ca="1" si="5"/>
        <v>63.535009547735434</v>
      </c>
      <c r="AW19" s="90">
        <f t="shared" ca="1" si="5"/>
        <v>63.110988709944273</v>
      </c>
      <c r="AX19" s="90">
        <f t="shared" ca="1" si="5"/>
        <v>62.689672145948165</v>
      </c>
      <c r="AY19" s="90">
        <f t="shared" ca="1" si="5"/>
        <v>62.271057948836848</v>
      </c>
      <c r="AZ19" s="90">
        <f t="shared" ca="1" si="5"/>
        <v>61.855143790183618</v>
      </c>
      <c r="BA19" s="90">
        <f t="shared" ca="1" si="5"/>
        <v>61.441926929457523</v>
      </c>
      <c r="BB19" s="90">
        <f t="shared" ca="1" si="5"/>
        <v>61.031404223384321</v>
      </c>
      <c r="BC19" s="90">
        <f t="shared" ca="1" si="5"/>
        <v>60.623572135244366</v>
      </c>
      <c r="BD19" s="90">
        <f t="shared" ca="1" si="5"/>
        <v>60.218426744118432</v>
      </c>
      <c r="BE19" s="90">
        <f t="shared" ca="1" si="5"/>
        <v>59.815963754064533</v>
      </c>
      <c r="BF19" s="90">
        <f t="shared" ca="1" si="5"/>
        <v>59.416178503231528</v>
      </c>
      <c r="BG19" s="90">
        <f t="shared" ca="1" si="5"/>
        <v>59.019065972890928</v>
      </c>
      <c r="BH19" s="90">
        <f t="shared" ca="1" si="5"/>
        <v>58.624620796410682</v>
      </c>
    </row>
    <row r="20" spans="1:61" x14ac:dyDescent="0.25">
      <c r="A20" s="88" t="str">
        <f>A15</f>
        <v>Production Exotic Pine</v>
      </c>
      <c r="B20" s="185">
        <f t="shared" si="2"/>
        <v>69936.095865964366</v>
      </c>
      <c r="C20" s="185">
        <f t="shared" si="2"/>
        <v>58370.285000000003</v>
      </c>
      <c r="D20" s="185">
        <f t="shared" si="2"/>
        <v>44600</v>
      </c>
      <c r="E20" s="185">
        <f t="shared" ref="E20" si="8">E5</f>
        <v>48300</v>
      </c>
      <c r="F20" s="90">
        <f t="shared" ref="F20:J20" ca="1" si="9">F5/F$2*F$17</f>
        <v>24752.830783683901</v>
      </c>
      <c r="G20" s="90">
        <f t="shared" ca="1" si="9"/>
        <v>25016.451227894304</v>
      </c>
      <c r="H20" s="90">
        <f t="shared" ca="1" si="9"/>
        <v>25025.03767811559</v>
      </c>
      <c r="I20" s="90">
        <f t="shared" ca="1" si="9"/>
        <v>24751.282172718398</v>
      </c>
      <c r="J20" s="90">
        <f t="shared" ca="1" si="9"/>
        <v>24250.140068229008</v>
      </c>
      <c r="K20" s="90">
        <f t="shared" ca="1" si="5"/>
        <v>23469.312162423379</v>
      </c>
      <c r="L20" s="90">
        <f t="shared" ca="1" si="5"/>
        <v>22668.875311600354</v>
      </c>
      <c r="M20" s="90">
        <f t="shared" ca="1" si="5"/>
        <v>21853.859787314814</v>
      </c>
      <c r="N20" s="90">
        <f t="shared" ca="1" si="5"/>
        <v>21029.41862375048</v>
      </c>
      <c r="O20" s="90">
        <f t="shared" ca="1" si="5"/>
        <v>20200.695327300371</v>
      </c>
      <c r="P20" s="90">
        <f t="shared" ca="1" si="5"/>
        <v>19389.203591333895</v>
      </c>
      <c r="Q20" s="90">
        <f t="shared" ca="1" si="5"/>
        <v>18606.708504052647</v>
      </c>
      <c r="R20" s="90">
        <f t="shared" ca="1" si="5"/>
        <v>17859.389308857895</v>
      </c>
      <c r="S20" s="90">
        <f t="shared" ca="1" si="5"/>
        <v>17152.539826208176</v>
      </c>
      <c r="T20" s="90">
        <f t="shared" ca="1" si="5"/>
        <v>16490.584311986797</v>
      </c>
      <c r="U20" s="90">
        <f t="shared" ca="1" si="5"/>
        <v>15877.139951630526</v>
      </c>
      <c r="V20" s="90">
        <f t="shared" ca="1" si="5"/>
        <v>15315.115407087358</v>
      </c>
      <c r="W20" s="90">
        <f t="shared" ca="1" si="5"/>
        <v>14806.834897117402</v>
      </c>
      <c r="X20" s="90">
        <f t="shared" ca="1" si="5"/>
        <v>14354.178398241171</v>
      </c>
      <c r="Y20" s="90">
        <f t="shared" ca="1" si="5"/>
        <v>13958.730273021278</v>
      </c>
      <c r="Z20" s="90">
        <f t="shared" ca="1" si="5"/>
        <v>13621.930573742535</v>
      </c>
      <c r="AA20" s="90">
        <f t="shared" ca="1" si="5"/>
        <v>13345.225118152837</v>
      </c>
      <c r="AB20" s="90">
        <f t="shared" ca="1" si="5"/>
        <v>13130.211953887239</v>
      </c>
      <c r="AC20" s="90">
        <f t="shared" ca="1" si="5"/>
        <v>12978.782842413517</v>
      </c>
      <c r="AD20" s="90">
        <f t="shared" ca="1" si="5"/>
        <v>12893.25874912353</v>
      </c>
      <c r="AE20" s="90">
        <f t="shared" ca="1" si="5"/>
        <v>12808.211241571749</v>
      </c>
      <c r="AF20" s="90">
        <f t="shared" ca="1" si="5"/>
        <v>12723.641745292935</v>
      </c>
      <c r="AG20" s="90">
        <f t="shared" ca="1" si="5"/>
        <v>12639.551577316572</v>
      </c>
      <c r="AH20" s="90">
        <f t="shared" ca="1" si="5"/>
        <v>12555.94194783819</v>
      </c>
      <c r="AI20" s="90">
        <f t="shared" ca="1" si="5"/>
        <v>12472.813961904259</v>
      </c>
      <c r="AJ20" s="90">
        <f t="shared" ca="1" si="5"/>
        <v>12390.168621107541</v>
      </c>
      <c r="AK20" s="90">
        <f t="shared" ca="1" si="5"/>
        <v>12308.006825292467</v>
      </c>
      <c r="AL20" s="90">
        <f t="shared" ca="1" si="5"/>
        <v>12226.329374269295</v>
      </c>
      <c r="AM20" s="90">
        <f t="shared" ca="1" si="5"/>
        <v>12145.136969534393</v>
      </c>
      <c r="AN20" s="90">
        <f t="shared" ca="1" si="5"/>
        <v>12064.430215997048</v>
      </c>
      <c r="AO20" s="90">
        <f t="shared" ca="1" si="5"/>
        <v>11984.209623709423</v>
      </c>
      <c r="AP20" s="90">
        <f t="shared" ca="1" si="5"/>
        <v>11904.475609601199</v>
      </c>
      <c r="AQ20" s="90">
        <f t="shared" ca="1" si="5"/>
        <v>11825.228499214134</v>
      </c>
      <c r="AR20" s="90">
        <f t="shared" ca="1" si="5"/>
        <v>11746.46852843878</v>
      </c>
      <c r="AS20" s="90">
        <f t="shared" ca="1" si="5"/>
        <v>11668.195845249651</v>
      </c>
      <c r="AT20" s="90">
        <f t="shared" ca="1" si="5"/>
        <v>11590.410511438724</v>
      </c>
      <c r="AU20" s="90">
        <f t="shared" ca="1" si="5"/>
        <v>11513.112504347228</v>
      </c>
      <c r="AV20" s="90">
        <f t="shared" ca="1" si="5"/>
        <v>11436.301718592378</v>
      </c>
      <c r="AW20" s="90">
        <f t="shared" ca="1" si="5"/>
        <v>11359.97796778997</v>
      </c>
      <c r="AX20" s="90">
        <f t="shared" ca="1" si="5"/>
        <v>11284.14098627067</v>
      </c>
      <c r="AY20" s="90">
        <f t="shared" ca="1" si="5"/>
        <v>11208.790430790632</v>
      </c>
      <c r="AZ20" s="90">
        <f t="shared" ca="1" si="5"/>
        <v>11133.92588223305</v>
      </c>
      <c r="BA20" s="90">
        <f t="shared" ca="1" si="5"/>
        <v>11059.546847302354</v>
      </c>
      <c r="BB20" s="90">
        <f t="shared" ca="1" si="5"/>
        <v>10985.652760209177</v>
      </c>
      <c r="BC20" s="90">
        <f t="shared" ca="1" si="5"/>
        <v>10912.242984343986</v>
      </c>
      <c r="BD20" s="90">
        <f t="shared" ca="1" si="5"/>
        <v>10839.316813941317</v>
      </c>
      <c r="BE20" s="90">
        <f t="shared" ca="1" si="5"/>
        <v>10766.873475731616</v>
      </c>
      <c r="BF20" s="90">
        <f t="shared" ca="1" si="5"/>
        <v>10694.912130581675</v>
      </c>
      <c r="BG20" s="90">
        <f t="shared" ca="1" si="5"/>
        <v>10623.431875120366</v>
      </c>
      <c r="BH20" s="90">
        <f t="shared" ca="1" si="5"/>
        <v>10552.431743353922</v>
      </c>
    </row>
    <row r="21" spans="1:61" x14ac:dyDescent="0.25">
      <c r="A21" s="20"/>
      <c r="B21" s="127"/>
      <c r="C21" s="127"/>
      <c r="D21" s="127"/>
      <c r="E21" s="127"/>
      <c r="F21" s="127"/>
      <c r="G21" s="196"/>
      <c r="AD21" s="19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row>
    <row r="22" spans="1:61" x14ac:dyDescent="0.25">
      <c r="A22" s="4" t="s">
        <v>345</v>
      </c>
      <c r="B22" s="123">
        <v>2</v>
      </c>
    </row>
    <row r="23" spans="1:61" x14ac:dyDescent="0.25">
      <c r="A23" t="s">
        <v>346</v>
      </c>
      <c r="B23" s="18">
        <f ca="1">IF(Model!$B$9="Current",OFFSET(Model!$X$5,COLUMN()-COLUMN($B$23)-$B$22,0),OFFSET(Model!$AG$5,COLUMN()-COLUMN($B$23),0))/Model!$B$48</f>
        <v>63.868818624144005</v>
      </c>
      <c r="C23" s="18">
        <f ca="1">IF(Model!$B$9="Current",OFFSET(Model!$X$5,COLUMN()-COLUMN($B$23)-$B$22,0),OFFSET(Model!$AG$5,COLUMN()-COLUMN($B$23),0))/Model!$B$48</f>
        <v>62.60096128452804</v>
      </c>
      <c r="D23" s="18">
        <f ca="1">IF(Model!$B$9="Current",OFFSET(Model!$X$5,COLUMN()-COLUMN($B$23)-$B$22,0),OFFSET(Model!$AG$5,COLUMN()-COLUMN($B$23),0))/Model!$B$48</f>
        <v>63.278876345584116</v>
      </c>
      <c r="E23" s="18">
        <f ca="1">IF(Model!$B$9="Current",OFFSET(Model!$X$5,COLUMN()-COLUMN($B$23)-$B$22,0),OFFSET(Model!$AG$5,COLUMN()-COLUMN($B$23),0))/Model!$B$48</f>
        <v>64.063272583903839</v>
      </c>
      <c r="F23" s="18">
        <f ca="1">IF(Model!$B$9="Current",OFFSET(Model!$X$5,COLUMN()-COLUMN($B$23)-$B$22,0),OFFSET(Model!$AG$5,COLUMN()-COLUMN($B$23),0))/Model!$B$48</f>
        <v>64.563797205147978</v>
      </c>
      <c r="G23" s="18">
        <f ca="1">IF(Model!$B$9="Current",OFFSET(Model!$X$5,COLUMN()-COLUMN($B$23)-$B$22,0),OFFSET(Model!$AG$5,COLUMN()-COLUMN($B$23),0))/Model!$B$48</f>
        <v>64.744112573104829</v>
      </c>
      <c r="H23" s="18">
        <f ca="1">IF(Model!$B$9="Current",OFFSET(Model!$X$5,COLUMN()-COLUMN($B$23)-$B$22,0),OFFSET(Model!$AG$5,COLUMN()-COLUMN($B$23),0))/Model!$B$48</f>
        <v>64.564224035657176</v>
      </c>
      <c r="I23" s="18">
        <f ca="1">IF(Model!$B$9="Current",OFFSET(Model!$X$5,COLUMN()-COLUMN($B$23)-$B$22,0),OFFSET(Model!$AG$5,COLUMN()-COLUMN($B$23),0))/Model!$B$48</f>
        <v>63.980152628084625</v>
      </c>
      <c r="J23" s="18">
        <f ca="1">IF(Model!$B$9="Current",OFFSET(Model!$X$5,COLUMN()-COLUMN($B$23)-$B$22,0),OFFSET(Model!$AG$5,COLUMN()-COLUMN($B$23),0))/Model!$B$48</f>
        <v>62.943579841231809</v>
      </c>
      <c r="K23" s="18">
        <f ca="1">IF(Model!$B$9="Current",OFFSET(Model!$X$5,COLUMN()-COLUMN($B$23)-$B$22,0),OFFSET(Model!$AG$5,COLUMN()-COLUMN($B$23),0))/Model!$B$48</f>
        <v>61.401462135121626</v>
      </c>
      <c r="L23" s="18">
        <f ca="1">IF(Model!$B$9="Current",OFFSET(Model!$X$5,COLUMN()-COLUMN($B$23)-$B$22,0),OFFSET(Model!$AG$5,COLUMN()-COLUMN($B$23),0))/Model!$B$48</f>
        <v>59.897126312811139</v>
      </c>
      <c r="M23" s="18">
        <f ca="1">IF(Model!$B$9="Current",OFFSET(Model!$X$5,COLUMN()-COLUMN($B$23)-$B$22,0),OFFSET(Model!$AG$5,COLUMN()-COLUMN($B$23),0))/Model!$B$48</f>
        <v>58.429646718147282</v>
      </c>
      <c r="N23" s="18">
        <f ca="1">IF(Model!$B$9="Current",OFFSET(Model!$X$5,COLUMN()-COLUMN($B$23)-$B$22,0),OFFSET(Model!$AG$5,COLUMN()-COLUMN($B$23),0))/Model!$B$48</f>
        <v>56.998120373552659</v>
      </c>
      <c r="O23" s="18">
        <f ca="1">IF(Model!$B$9="Current",OFFSET(Model!$X$5,COLUMN()-COLUMN($B$23)-$B$22,0),OFFSET(Model!$AG$5,COLUMN()-COLUMN($B$23),0))/Model!$B$48</f>
        <v>55.601666424400634</v>
      </c>
      <c r="P23" s="18">
        <f ca="1">IF(Model!$B$9="Current",OFFSET(Model!$X$5,COLUMN()-COLUMN($B$23)-$B$22,0),OFFSET(Model!$AG$5,COLUMN()-COLUMN($B$23),0))/Model!$B$48</f>
        <v>54.266312903466968</v>
      </c>
      <c r="Q23" s="18">
        <f ca="1">IF(Model!$B$9="Current",OFFSET(Model!$X$5,COLUMN()-COLUMN($B$23)-$B$22,0),OFFSET(Model!$AG$5,COLUMN()-COLUMN($B$23),0))/Model!$B$48</f>
        <v>53.001248237362731</v>
      </c>
      <c r="R23" s="18">
        <f ca="1">IF(Model!$B$9="Current",OFFSET(Model!$X$5,COLUMN()-COLUMN($B$23)-$B$22,0),OFFSET(Model!$AG$5,COLUMN()-COLUMN($B$23),0))/Model!$B$48</f>
        <v>51.807756164629915</v>
      </c>
      <c r="S23" s="18">
        <f ca="1">IF(Model!$B$9="Current",OFFSET(Model!$X$5,COLUMN()-COLUMN($B$23)-$B$22,0),OFFSET(Model!$AG$5,COLUMN()-COLUMN($B$23),0))/Model!$B$48</f>
        <v>50.68732943745507</v>
      </c>
      <c r="T23" s="18">
        <f ca="1">IF(Model!$B$9="Current",OFFSET(Model!$X$5,COLUMN()-COLUMN($B$23)-$B$22,0),OFFSET(Model!$AG$5,COLUMN()-COLUMN($B$23),0))/Model!$B$48</f>
        <v>49.641683938054115</v>
      </c>
      <c r="U23" s="18">
        <f ca="1">IF(Model!$B$9="Current",OFFSET(Model!$X$5,COLUMN()-COLUMN($B$23)-$B$22,0),OFFSET(Model!$AG$5,COLUMN()-COLUMN($B$23),0))/Model!$B$48</f>
        <v>48.672773988183245</v>
      </c>
      <c r="V23" s="18">
        <f ca="1">IF(Model!$B$9="Current",OFFSET(Model!$X$5,COLUMN()-COLUMN($B$23)-$B$22,0),OFFSET(Model!$AG$5,COLUMN()-COLUMN($B$23),0))/Model!$B$48</f>
        <v>47.782808945662559</v>
      </c>
      <c r="W23" s="18">
        <f ca="1">IF(Model!$B$9="Current",OFFSET(Model!$X$5,COLUMN()-COLUMN($B$23)-$B$22,0),OFFSET(Model!$AG$5,COLUMN()-COLUMN($B$23),0))/Model!$B$48</f>
        <v>46.974271189348208</v>
      </c>
      <c r="X23" s="18">
        <f ca="1">IF(Model!$B$9="Current",OFFSET(Model!$X$5,COLUMN()-COLUMN($B$23)-$B$22,0),OFFSET(Model!$AG$5,COLUMN()-COLUMN($B$23),0))/Model!$B$48</f>
        <v>46.249935602141335</v>
      </c>
      <c r="Y23" s="18">
        <f ca="1">IF(Model!$B$9="Current",OFFSET(Model!$X$5,COLUMN()-COLUMN($B$23)-$B$22,0),OFFSET(Model!$AG$5,COLUMN()-COLUMN($B$23),0))/Model!$B$48</f>
        <v>45.612890670425017</v>
      </c>
      <c r="Z23" s="18">
        <f ca="1">IF(Model!$B$9="Current",OFFSET(Model!$X$5,COLUMN()-COLUMN($B$23)-$B$22,0),OFFSET(Model!$AG$5,COLUMN()-COLUMN($B$23),0))/Model!$B$48</f>
        <v>45.066561327828062</v>
      </c>
      <c r="AA23" s="18">
        <f ca="1">IF(Model!$B$9="Current",OFFSET(Model!$X$5,COLUMN()-COLUMN($B$23)-$B$22,0),OFFSET(Model!$AG$5,COLUMN()-COLUMN($B$23),0))/Model!$B$48</f>
        <v>44.614733681480438</v>
      </c>
      <c r="AB23" s="18">
        <f ca="1">IF(Model!$B$9="Current",OFFSET(Model!$X$5,COLUMN()-COLUMN($B$23)-$B$22,0),OFFSET(Model!$AG$5,COLUMN()-COLUMN($B$23),0))/Model!$B$48</f>
        <v>44.261581770012469</v>
      </c>
      <c r="AC23" s="18">
        <f ca="1">IF(Model!$B$9="Current",OFFSET(Model!$X$5,COLUMN()-COLUMN($B$23)-$B$22,0),OFFSET(Model!$AG$5,COLUMN()-COLUMN($B$23),0))/Model!$B$48</f>
        <v>44.011696514523145</v>
      </c>
      <c r="AD23" s="18">
        <f ca="1">IF(Model!$B$9="Current",OFFSET(Model!$X$5,COLUMN()-COLUMN($B$23)-$B$22,0),OFFSET(Model!$AG$5,COLUMN()-COLUMN($B$23),0))/Model!$B$48</f>
        <v>43.870117036672823</v>
      </c>
      <c r="AE23" s="18">
        <f ca="1">IF(Model!$B$9="Current",OFFSET(Model!$X$5,COLUMN()-COLUMN($B$23)-$B$22,0),AD23*(1+(AD23-AC23)/AC23))</f>
        <v>43.728993000219582</v>
      </c>
      <c r="AF23" s="18">
        <f ca="1">IF(Model!$B$9="Current",OFFSET(Model!$X$5,COLUMN()-COLUMN($B$23)-$B$22,0),AE23*(1+(AE23-AD23)/AD23))</f>
        <v>43.588322940072082</v>
      </c>
      <c r="AG23" s="18">
        <f ca="1">IF(Model!$B$9="Current",OFFSET(Model!$X$5,COLUMN()-COLUMN($B$23)-$B$22,0),AF23*(1+(AF23-AE23)/AE23))</f>
        <v>43.448105395851982</v>
      </c>
      <c r="AH23" s="18">
        <f ca="1">IF(Model!$B$9="Current",OFFSET(Model!$X$5,COLUMN()-COLUMN($B$23)-$B$22,0),AG23*(1+(AG23-AF23)/AF23))</f>
        <v>43.308338911878778</v>
      </c>
      <c r="AI23" s="18">
        <f ca="1">IF(Model!$B$9="Current",OFFSET(Model!$X$5,COLUMN()-COLUMN($B$23)-$B$22,0),AH23*(1+(AH23-AG23)/AG23))</f>
        <v>43.169022037154683</v>
      </c>
      <c r="AJ23" s="18">
        <f ca="1">IF(Model!$B$9="Current",OFFSET(Model!$X$5,COLUMN()-COLUMN($B$23)-$B$22,0),AI23*(1+(AI23-AH23)/AH23))</f>
        <v>43.030153325349566</v>
      </c>
      <c r="AK23" s="18">
        <f ca="1">IF(Model!$B$9="Current",OFFSET(Model!$X$5,COLUMN()-COLUMN($B$23)-$B$22,0),AJ23*(1+(AJ23-AI23)/AI23))</f>
        <v>42.891731334785945</v>
      </c>
      <c r="AL23" s="18">
        <f ca="1">IF(Model!$B$9="Current",OFFSET(Model!$X$5,COLUMN()-COLUMN($B$23)-$B$22,0),AK23*(1+(AK23-AJ23)/AJ23))</f>
        <v>42.753754628423998</v>
      </c>
      <c r="AM23" s="18">
        <f ca="1">IF(Model!$B$9="Current",OFFSET(Model!$X$5,COLUMN()-COLUMN($B$23)-$B$22,0),AL23*(1+(AL23-AK23)/AK23))</f>
        <v>42.616221773846675</v>
      </c>
      <c r="AN23" s="18">
        <f ca="1">IF(Model!$B$9="Current",OFFSET(Model!$X$5,COLUMN()-COLUMN($B$23)-$B$22,0),AM23*(1+(AM23-AL23)/AL23))</f>
        <v>42.479131343244802</v>
      </c>
      <c r="AO23" s="18">
        <f ca="1">IF(Model!$B$9="Current",OFFSET(Model!$X$5,COLUMN()-COLUMN($B$23)-$B$22,0),AN23*(1+(AN23-AM23)/AM23))</f>
        <v>42.342481913402274</v>
      </c>
      <c r="AP23" s="18">
        <f ca="1">IF(Model!$B$9="Current",OFFSET(Model!$X$5,COLUMN()-COLUMN($B$23)-$B$22,0),AO23*(1+(AO23-AN23)/AN23))</f>
        <v>42.206272065681269</v>
      </c>
      <c r="AQ23" s="18">
        <f ca="1">IF(Model!$B$9="Current",OFFSET(Model!$X$5,COLUMN()-COLUMN($B$23)-$B$22,0),AP23*(1+(AP23-AO23)/AO23))</f>
        <v>42.070500386007524</v>
      </c>
      <c r="AR23" s="18">
        <f ca="1">IF(Model!$B$9="Current",OFFSET(Model!$X$5,COLUMN()-COLUMN($B$23)-$B$22,0),AQ23*(1+(AQ23-AP23)/AP23))</f>
        <v>41.935165464855658</v>
      </c>
      <c r="AS23" s="18">
        <f ca="1">IF(Model!$B$9="Current",OFFSET(Model!$X$5,COLUMN()-COLUMN($B$23)-$B$22,0),AR23*(1+(AR23-AQ23)/AQ23))</f>
        <v>41.800265897234539</v>
      </c>
      <c r="AT23" s="18">
        <f ca="1">IF(Model!$B$9="Current",OFFSET(Model!$X$5,COLUMN()-COLUMN($B$23)-$B$22,0),AS23*(1+(AS23-AR23)/AR23))</f>
        <v>41.665800282672691</v>
      </c>
      <c r="AU23" s="18">
        <f ca="1">IF(Model!$B$9="Current",OFFSET(Model!$X$5,COLUMN()-COLUMN($B$23)-$B$22,0),AT23*(1+(AT23-AS23)/AS23))</f>
        <v>41.531767225203758</v>
      </c>
      <c r="AV23" s="18">
        <f ca="1">IF(Model!$B$9="Current",OFFSET(Model!$X$5,COLUMN()-COLUMN($B$23)-$B$22,0),AU23*(1+(AU23-AT23)/AT23))</f>
        <v>41.398165333352011</v>
      </c>
      <c r="AW23" s="18">
        <f ca="1">IF(Model!$B$9="Current",OFFSET(Model!$X$5,COLUMN()-COLUMN($B$23)-$B$22,0),AV23*(1+(AV23-AU23)/AU23))</f>
        <v>41.264993220117908</v>
      </c>
      <c r="AX23" s="18">
        <f ca="1">IF(Model!$B$9="Current",OFFSET(Model!$X$5,COLUMN()-COLUMN($B$23)-$B$22,0),AW23*(1+(AW23-AV23)/AV23))</f>
        <v>41.132249502963688</v>
      </c>
      <c r="AY23" s="18">
        <f ca="1">IF(Model!$B$9="Current",OFFSET(Model!$X$5,COLUMN()-COLUMN($B$23)-$B$22,0),AX23*(1+(AX23-AW23)/AW23))</f>
        <v>40.999932803799027</v>
      </c>
      <c r="AZ23" s="18">
        <f ca="1">IF(Model!$B$9="Current",OFFSET(Model!$X$5,COLUMN()-COLUMN($B$23)-$B$22,0),AY23*(1+(AY23-AX23)/AX23))</f>
        <v>40.868041748966718</v>
      </c>
      <c r="BA23" s="18">
        <f ca="1">IF(Model!$B$9="Current",OFFSET(Model!$X$5,COLUMN()-COLUMN($B$23)-$B$22,0),AZ23*(1+(AZ23-AY23)/AY23))</f>
        <v>40.736574969228421</v>
      </c>
      <c r="BB23" s="18">
        <f ca="1">IF(Model!$B$9="Current",OFFSET(Model!$X$5,COLUMN()-COLUMN($B$23)-$B$22,0),BA23*(1+(BA23-AZ23)/AZ23))</f>
        <v>40.605531099750444</v>
      </c>
      <c r="BC23" s="18">
        <f ca="1">IF(Model!$B$9="Current",OFFSET(Model!$X$5,COLUMN()-COLUMN($B$23)-$B$22,0),BB23*(1+(BB23-BA23)/BA23))</f>
        <v>40.474908780089571</v>
      </c>
      <c r="BD23" s="18">
        <f ca="1">IF(Model!$B$9="Current",OFFSET(Model!$X$5,COLUMN()-COLUMN($B$23)-$B$22,0),BC23*(1+(BC23-BB23)/BB23))</f>
        <v>40.344706654178943</v>
      </c>
      <c r="BE23" s="18">
        <f ca="1">IF(Model!$B$9="Current",OFFSET(Model!$X$5,COLUMN()-COLUMN($B$23)-$B$22,0),BD23*(1+(BD23-BC23)/BC23))</f>
        <v>40.214923370313983</v>
      </c>
      <c r="BF23" s="18">
        <f ca="1">IF(Model!$B$9="Current",OFFSET(Model!$X$5,COLUMN()-COLUMN($B$23)-$B$22,0),BE23*(1+(BE23-BD23)/BD23))</f>
        <v>40.08555758113836</v>
      </c>
      <c r="BG23" s="18">
        <f ca="1">IF(Model!$B$9="Current",OFFSET(Model!$X$5,COLUMN()-COLUMN($B$23)-$B$22,0),BF23*(1+(BF23-BE23)/BE23))</f>
        <v>39.95660794362999</v>
      </c>
      <c r="BH23" s="18">
        <f ca="1">IF(Model!$B$9="Current",OFFSET(Model!$X$5,COLUMN()-COLUMN($B$23)-$B$22,0),BG23*(1+(BG23-BF23)/BF23))</f>
        <v>39.828073119087115</v>
      </c>
    </row>
    <row r="24" spans="1:61" x14ac:dyDescent="0.25">
      <c r="B24" s="20">
        <f>Model!B42</f>
        <v>50</v>
      </c>
      <c r="C24" s="20">
        <f>B24-((Model!$B$42-Model!$B$43)/(2050-2022))</f>
        <v>50</v>
      </c>
      <c r="D24" s="20">
        <f>C24-((Model!$B$42-Model!$B$43)/(2050-2022))</f>
        <v>50</v>
      </c>
      <c r="E24" s="20">
        <f>D24-((Model!$B$42-Model!$B$43)/(2050-2022))</f>
        <v>50</v>
      </c>
      <c r="F24" s="20">
        <f>E24-((Model!$B$42-Model!$B$43)/(2050-2022))</f>
        <v>50</v>
      </c>
      <c r="G24" s="20">
        <f>F24-((Model!$B$42-Model!$B$43)/(2050-2022))</f>
        <v>50</v>
      </c>
      <c r="H24" s="20">
        <f>G24-((Model!$B$42-Model!$B$43)/(2050-2022))</f>
        <v>50</v>
      </c>
      <c r="I24" s="20">
        <f>H24-((Model!$B$42-Model!$B$43)/(2050-2022))</f>
        <v>50</v>
      </c>
      <c r="J24" s="20">
        <f>I24-((Model!$B$42-Model!$B$43)/(2050-2022))</f>
        <v>50</v>
      </c>
      <c r="K24" s="20">
        <f>J24-((Model!$B$42-Model!$B$43)/(2050-2022))</f>
        <v>50</v>
      </c>
      <c r="L24" s="20">
        <f>K24-((Model!$B$42-Model!$B$43)/(2050-2022))</f>
        <v>50</v>
      </c>
      <c r="M24" s="20">
        <f>L24-((Model!$B$42-Model!$B$43)/(2050-2022))</f>
        <v>50</v>
      </c>
      <c r="N24" s="20">
        <f>M24-((Model!$B$42-Model!$B$43)/(2050-2022))</f>
        <v>50</v>
      </c>
      <c r="O24" s="20">
        <f>N24-((Model!$B$42-Model!$B$43)/(2050-2022))</f>
        <v>50</v>
      </c>
      <c r="P24" s="20">
        <f>O24-((Model!$B$42-Model!$B$43)/(2050-2022))</f>
        <v>50</v>
      </c>
      <c r="Q24" s="20">
        <f>P24-((Model!$B$42-Model!$B$43)/(2050-2022))</f>
        <v>50</v>
      </c>
      <c r="R24" s="20">
        <f>Q24-((Model!$B$42-Model!$B$43)/(2050-2022))</f>
        <v>50</v>
      </c>
      <c r="S24" s="20">
        <f>R24-((Model!$B$42-Model!$B$43)/(2050-2022))</f>
        <v>50</v>
      </c>
      <c r="T24" s="20">
        <f>S24-((Model!$B$42-Model!$B$43)/(2050-2022))</f>
        <v>50</v>
      </c>
      <c r="U24" s="20">
        <f>T24-((Model!$B$42-Model!$B$43)/(2050-2022))</f>
        <v>50</v>
      </c>
      <c r="V24" s="20">
        <f>U24-((Model!$B$42-Model!$B$43)/(2050-2022))</f>
        <v>50</v>
      </c>
      <c r="W24" s="20">
        <f>V24-((Model!$B$42-Model!$B$43)/(2050-2022))</f>
        <v>50</v>
      </c>
      <c r="X24" s="20">
        <f>W24-((Model!$B$42-Model!$B$43)/(2050-2022))</f>
        <v>50</v>
      </c>
      <c r="Y24" s="20">
        <f>X24-((Model!$B$42-Model!$B$43)/(2050-2022))</f>
        <v>50</v>
      </c>
      <c r="Z24" s="20">
        <f>Y24-((Model!$B$42-Model!$B$43)/(2050-2022))</f>
        <v>50</v>
      </c>
      <c r="AA24" s="20">
        <f>Z24-((Model!$B$42-Model!$B$43)/(2050-2022))</f>
        <v>50</v>
      </c>
      <c r="AB24" s="20">
        <f>AA24-((Model!$B$42-Model!$B$43)/(2050-2022))</f>
        <v>50</v>
      </c>
      <c r="AC24" s="20">
        <f>AB24-((Model!$B$42-Model!$B$43)/(2050-2022))</f>
        <v>50</v>
      </c>
      <c r="AD24" s="20">
        <f>AC24-((Model!$B$42-Model!$B$43)/(2050-2022))</f>
        <v>50</v>
      </c>
      <c r="AE24" s="20">
        <f>AD24</f>
        <v>50</v>
      </c>
      <c r="AF24" s="20">
        <f t="shared" ref="AF24:BH24" si="10">AE24</f>
        <v>50</v>
      </c>
      <c r="AG24" s="20">
        <f t="shared" si="10"/>
        <v>50</v>
      </c>
      <c r="AH24" s="20">
        <f t="shared" si="10"/>
        <v>50</v>
      </c>
      <c r="AI24" s="20">
        <f t="shared" si="10"/>
        <v>50</v>
      </c>
      <c r="AJ24" s="20">
        <f t="shared" si="10"/>
        <v>50</v>
      </c>
      <c r="AK24" s="20">
        <f t="shared" si="10"/>
        <v>50</v>
      </c>
      <c r="AL24" s="20">
        <f t="shared" si="10"/>
        <v>50</v>
      </c>
      <c r="AM24" s="20">
        <f t="shared" si="10"/>
        <v>50</v>
      </c>
      <c r="AN24" s="20">
        <f t="shared" si="10"/>
        <v>50</v>
      </c>
      <c r="AO24" s="20">
        <f t="shared" si="10"/>
        <v>50</v>
      </c>
      <c r="AP24" s="20">
        <f t="shared" si="10"/>
        <v>50</v>
      </c>
      <c r="AQ24" s="20">
        <f t="shared" si="10"/>
        <v>50</v>
      </c>
      <c r="AR24" s="20">
        <f t="shared" si="10"/>
        <v>50</v>
      </c>
      <c r="AS24" s="20">
        <f t="shared" si="10"/>
        <v>50</v>
      </c>
      <c r="AT24" s="20">
        <f t="shared" si="10"/>
        <v>50</v>
      </c>
      <c r="AU24" s="20">
        <f t="shared" si="10"/>
        <v>50</v>
      </c>
      <c r="AV24" s="20">
        <f t="shared" si="10"/>
        <v>50</v>
      </c>
      <c r="AW24" s="20">
        <f t="shared" si="10"/>
        <v>50</v>
      </c>
      <c r="AX24" s="20">
        <f t="shared" si="10"/>
        <v>50</v>
      </c>
      <c r="AY24" s="20">
        <f t="shared" si="10"/>
        <v>50</v>
      </c>
      <c r="AZ24" s="20">
        <f t="shared" si="10"/>
        <v>50</v>
      </c>
      <c r="BA24" s="20">
        <f t="shared" si="10"/>
        <v>50</v>
      </c>
      <c r="BB24" s="20">
        <f t="shared" si="10"/>
        <v>50</v>
      </c>
      <c r="BC24" s="20">
        <f t="shared" si="10"/>
        <v>50</v>
      </c>
      <c r="BD24" s="20">
        <f t="shared" si="10"/>
        <v>50</v>
      </c>
      <c r="BE24" s="20">
        <f t="shared" si="10"/>
        <v>50</v>
      </c>
      <c r="BF24" s="20">
        <f t="shared" si="10"/>
        <v>50</v>
      </c>
      <c r="BG24" s="20">
        <f t="shared" si="10"/>
        <v>50</v>
      </c>
      <c r="BH24" s="20">
        <f t="shared" si="10"/>
        <v>50</v>
      </c>
    </row>
    <row r="25" spans="1:61" x14ac:dyDescent="0.25">
      <c r="A25" t="s">
        <v>347</v>
      </c>
      <c r="B25" s="20">
        <f ca="1">(B24/(1+EXP(-Manley!$B$13*((Manley!$B$14+Manley!$B$18*(Manley!$B$16*B23)-Manley!$B$19*Manley!$B$17)-Manley!$B$12))))*1000</f>
        <v>37459.225303654341</v>
      </c>
      <c r="C25" s="20">
        <f ca="1">(C24/(1+EXP(-Manley!$B$13*((Manley!$B$14+Manley!$B$18*(Manley!$B$16*C23)-Manley!$B$19*Manley!$B$17)-Manley!$B$12))))*1000+B17</f>
        <v>126060.62847329299</v>
      </c>
      <c r="D25" s="20">
        <f ca="1">(D24/(1+EXP(-Manley!$B$13*((Manley!$B$14+Manley!$B$18*(Manley!$B$16*D23)-Manley!$B$19*Manley!$B$17)-Manley!$B$12))))*1000+C25</f>
        <v>163089.08162763156</v>
      </c>
      <c r="E25" s="20">
        <f ca="1">(E24/(1+EXP(-Manley!$B$13*((Manley!$B$14+Manley!$B$18*(Manley!$B$16*E23)-Manley!$B$19*Manley!$B$17)-Manley!$B$12))))*1000+D25</f>
        <v>200688.1926119063</v>
      </c>
      <c r="F25" s="20">
        <f ca="1">(F24/(1+EXP(-Manley!$B$13*((Manley!$B$14+Manley!$B$18*(Manley!$B$16*F23)-Manley!$B$19*Manley!$B$17)-Manley!$B$12))))*1000+E25</f>
        <v>238642.53314688828</v>
      </c>
      <c r="G25" s="20">
        <f ca="1">(G24/(1+EXP(-Manley!$B$13*((Manley!$B$14+Manley!$B$18*(Manley!$B$16*G23)-Manley!$B$19*Manley!$B$17)-Manley!$B$12))))*1000+F25</f>
        <v>276723.13112712739</v>
      </c>
      <c r="H25" s="20">
        <f ca="1">(H24/(1+EXP(-Manley!$B$13*((Manley!$B$14+Manley!$B$18*(Manley!$B$16*H23)-Manley!$B$19*Manley!$B$17)-Manley!$B$12))))*1000+G25</f>
        <v>314677.7716056027</v>
      </c>
      <c r="I25" s="350">
        <f ca="1">(I24/(1+EXP(-Manley!$B$13*((Manley!$B$14+Manley!$B$18*(Manley!$B$16*I23)-Manley!$B$19*Manley!$B$17)-Manley!$B$12))))*1000+H25</f>
        <v>352217.21623422561</v>
      </c>
      <c r="J25" s="20">
        <f ca="1">(J24/(1+EXP(-Manley!$B$13*((Manley!$B$14+Manley!$B$18*(Manley!$B$16*J23)-Manley!$B$19*Manley!$B$17)-Manley!$B$12))))*1000+I25</f>
        <v>388996.59533770627</v>
      </c>
      <c r="K25" s="20">
        <f ca="1">(K24/(1+EXP(-Manley!$B$13*((Manley!$B$14+Manley!$B$18*(Manley!$B$16*K23)-Manley!$B$19*Manley!$B$17)-Manley!$B$12))))*1000+J25</f>
        <v>424591.7187840484</v>
      </c>
      <c r="L25" s="20">
        <f ca="1">(L24/(1+EXP(-Manley!$B$13*((Manley!$B$14+Manley!$B$18*(Manley!$B$16*L23)-Manley!$B$19*Manley!$B$17)-Manley!$B$12))))*1000+K25</f>
        <v>458972.8463399756</v>
      </c>
      <c r="M25" s="20">
        <f ca="1">(M24/(1+EXP(-Manley!$B$13*((Manley!$B$14+Manley!$B$18*(Manley!$B$16*M23)-Manley!$B$19*Manley!$B$17)-Manley!$B$12))))*1000+L25</f>
        <v>492117.86701740307</v>
      </c>
      <c r="N25" s="20">
        <f ca="1">(N24/(1+EXP(-Manley!$B$13*((Manley!$B$14+Manley!$B$18*(Manley!$B$16*N23)-Manley!$B$19*Manley!$B$17)-Manley!$B$12))))*1000+M25</f>
        <v>524012.48526342463</v>
      </c>
      <c r="O25" s="20">
        <f ca="1">(O24/(1+EXP(-Manley!$B$13*((Manley!$B$14+Manley!$B$18*(Manley!$B$16*O23)-Manley!$B$19*Manley!$B$17)-Manley!$B$12))))*1000+N25</f>
        <v>554650.2065098302</v>
      </c>
      <c r="P25" s="20">
        <f ca="1">(P24/(1+EXP(-Manley!$B$13*((Manley!$B$14+Manley!$B$18*(Manley!$B$16*P23)-Manley!$B$19*Manley!$B$17)-Manley!$B$12))))*1000+O25</f>
        <v>584057.16529001994</v>
      </c>
      <c r="Q25" s="20">
        <f ca="1">(Q24/(1+EXP(-Manley!$B$13*((Manley!$B$14+Manley!$B$18*(Manley!$B$16*Q23)-Manley!$B$19*Manley!$B$17)-Manley!$B$12))))*1000+P25</f>
        <v>612277.33985449979</v>
      </c>
      <c r="R25" s="20">
        <f ca="1">(R24/(1+EXP(-Manley!$B$13*((Manley!$B$14+Manley!$B$18*(Manley!$B$16*R23)-Manley!$B$19*Manley!$B$17)-Manley!$B$12))))*1000+Q25</f>
        <v>639364.0803062676</v>
      </c>
      <c r="S25" s="20">
        <f ca="1">(S24/(1+EXP(-Manley!$B$13*((Manley!$B$14+Manley!$B$18*(Manley!$B$16*S23)-Manley!$B$19*Manley!$B$17)-Manley!$B$12))))*1000+R25</f>
        <v>665378.76570935</v>
      </c>
      <c r="T25" s="20">
        <f ca="1">(T24/(1+EXP(-Manley!$B$13*((Manley!$B$14+Manley!$B$18*(Manley!$B$16*T23)-Manley!$B$19*Manley!$B$17)-Manley!$B$12))))*1000+S25</f>
        <v>690389.48524919664</v>
      </c>
      <c r="U25" s="20">
        <f ca="1">(U24/(1+EXP(-Manley!$B$13*((Manley!$B$14+Manley!$B$18*(Manley!$B$16*U23)-Manley!$B$19*Manley!$B$17)-Manley!$B$12))))*1000+T25</f>
        <v>714469.81417583628</v>
      </c>
      <c r="V25" s="20">
        <f ca="1">(V24/(1+EXP(-Manley!$B$13*((Manley!$B$14+Manley!$B$18*(Manley!$B$16*V23)-Manley!$B$19*Manley!$B$17)-Manley!$B$12))))*1000+U25</f>
        <v>737697.73920991877</v>
      </c>
      <c r="W25" s="20">
        <f ca="1">(W24/(1+EXP(-Manley!$B$13*((Manley!$B$14+Manley!$B$18*(Manley!$B$16*W23)-Manley!$B$19*Manley!$B$17)-Manley!$B$12))))*1000+V25</f>
        <v>760154.7721372135</v>
      </c>
      <c r="X25" s="20">
        <f ca="1">(X24/(1+EXP(-Manley!$B$13*((Manley!$B$14+Manley!$B$18*(Manley!$B$16*X23)-Manley!$B$19*Manley!$B$17)-Manley!$B$12))))*1000+W25</f>
        <v>781925.27604121261</v>
      </c>
      <c r="Y25" s="20">
        <f ca="1">(Y24/(1+EXP(-Manley!$B$13*((Manley!$B$14+Manley!$B$18*(Manley!$B$16*Y23)-Manley!$B$19*Manley!$B$17)-Manley!$B$12))))*1000+X25</f>
        <v>803096.01695529488</v>
      </c>
      <c r="Z25" s="20">
        <f ca="1">(Z24/(1+EXP(-Manley!$B$13*((Manley!$B$14+Manley!$B$18*(Manley!$B$16*Z23)-Manley!$B$19*Manley!$B$17)-Manley!$B$12))))*1000+Y25</f>
        <v>823755.94499213772</v>
      </c>
      <c r="AA25" s="20">
        <f ca="1">(AA24/(1+EXP(-Manley!$B$13*((Manley!$B$14+Manley!$B$18*(Manley!$B$16*AA23)-Manley!$B$19*Manley!$B$17)-Manley!$B$12))))*1000+Z25</f>
        <v>843996.20308800286</v>
      </c>
      <c r="AB25" s="20">
        <f ca="1">(AB24/(1+EXP(-Manley!$B$13*((Manley!$B$14+Manley!$B$18*(Manley!$B$16*AB23)-Manley!$B$19*Manley!$B$17)-Manley!$B$12))))*1000+AA25</f>
        <v>863910.35788473184</v>
      </c>
      <c r="AC25" s="20">
        <f ca="1">(AC24/(1+EXP(-Manley!$B$13*((Manley!$B$14+Manley!$B$18*(Manley!$B$16*AC23)-Manley!$B$19*Manley!$B$17)-Manley!$B$12))))*1000+AB25</f>
        <v>883594.84519572568</v>
      </c>
      <c r="AD25" s="20">
        <f ca="1">(AD24/(1+EXP(-Manley!$B$13*((Manley!$B$14+Manley!$B$18*(Manley!$B$16*AD23)-Manley!$B$19*Manley!$B$17)-Manley!$B$12))))*1000+AC25</f>
        <v>903149.6209652297</v>
      </c>
      <c r="AE25" s="20">
        <f ca="1">(AE24/(1+EXP(-Manley!$B$13*((Manley!$B$14+Manley!$B$18*(Manley!$B$16*AE23)-Manley!$B$19*Manley!$B$17)-Manley!$B$12))))*1000+AD25</f>
        <v>922575.40801494685</v>
      </c>
      <c r="AF25" s="20">
        <f ca="1">(AF24/(1+EXP(-Manley!$B$13*((Manley!$B$14+Manley!$B$18*(Manley!$B$16*AF23)-Manley!$B$19*Manley!$B$17)-Manley!$B$12))))*1000+AE25</f>
        <v>941872.93132864113</v>
      </c>
      <c r="AG25" s="20">
        <f ca="1">(AG24/(1+EXP(-Manley!$B$13*((Manley!$B$14+Manley!$B$18*(Manley!$B$16*AG23)-Manley!$B$19*Manley!$B$17)-Manley!$B$12))))*1000+AF25</f>
        <v>961042.91788757127</v>
      </c>
      <c r="AH25" s="20">
        <f ca="1">(AH24/(1+EXP(-Manley!$B$13*((Manley!$B$14+Manley!$B$18*(Manley!$B$16*AH23)-Manley!$B$19*Manley!$B$17)-Manley!$B$12))))*1000+AG25</f>
        <v>980086.09650845919</v>
      </c>
      <c r="AI25" s="20">
        <f ca="1">(AI24/(1+EXP(-Manley!$B$13*((Manley!$B$14+Manley!$B$18*(Manley!$B$16*AI23)-Manley!$B$19*Manley!$B$17)-Manley!$B$12))))*1000+AH25</f>
        <v>999003.19768401398</v>
      </c>
      <c r="AJ25" s="20">
        <f ca="1">(AJ24/(1+EXP(-Manley!$B$13*((Manley!$B$14+Manley!$B$18*(Manley!$B$16*AJ23)-Manley!$B$19*Manley!$B$17)-Manley!$B$12))))*1000+AI25</f>
        <v>1017794.9534260271</v>
      </c>
      <c r="AK25" s="20">
        <f ca="1">(AK24/(1+EXP(-Manley!$B$13*((Manley!$B$14+Manley!$B$18*(Manley!$B$16*AK23)-Manley!$B$19*Manley!$B$17)-Manley!$B$12))))*1000+AJ25</f>
        <v>1036462.097111054</v>
      </c>
      <c r="AL25" s="20">
        <f ca="1">(AL24/(1+EXP(-Manley!$B$13*((Manley!$B$14+Manley!$B$18*(Manley!$B$16*AL23)-Manley!$B$19*Manley!$B$17)-Manley!$B$12))))*1000+AK25</f>
        <v>1055005.3633286958</v>
      </c>
      <c r="AM25" s="20">
        <f ca="1">(AM24/(1+EXP(-Manley!$B$13*((Manley!$B$14+Manley!$B$18*(Manley!$B$16*AM23)-Manley!$B$19*Manley!$B$17)-Manley!$B$12))))*1000+AL25</f>
        <v>1073425.4877324896</v>
      </c>
      <c r="AN25" s="20">
        <f ca="1">(AN24/(1+EXP(-Manley!$B$13*((Manley!$B$14+Manley!$B$18*(Manley!$B$16*AN23)-Manley!$B$19*Manley!$B$17)-Manley!$B$12))))*1000+AM25</f>
        <v>1091723.2068934184</v>
      </c>
      <c r="AO25" s="20">
        <f ca="1">(AO24/(1+EXP(-Manley!$B$13*((Manley!$B$14+Manley!$B$18*(Manley!$B$16*AO23)-Manley!$B$19*Manley!$B$17)-Manley!$B$12))))*1000+AN25</f>
        <v>1109899.2581560444</v>
      </c>
      <c r="AP25" s="20">
        <f ca="1">(AP24/(1+EXP(-Manley!$B$13*((Manley!$B$14+Manley!$B$18*(Manley!$B$16*AP23)-Manley!$B$19*Manley!$B$17)-Manley!$B$12))))*1000+AO25</f>
        <v>1127954.3794972729</v>
      </c>
      <c r="AQ25" s="20">
        <f ca="1">(AQ24/(1+EXP(-Manley!$B$13*((Manley!$B$14+Manley!$B$18*(Manley!$B$16*AQ23)-Manley!$B$19*Manley!$B$17)-Manley!$B$12))))*1000+AP25</f>
        <v>1145889.3093877477</v>
      </c>
      <c r="AR25" s="20">
        <f ca="1">(AR24/(1+EXP(-Manley!$B$13*((Manley!$B$14+Manley!$B$18*(Manley!$B$16*AR23)-Manley!$B$19*Manley!$B$17)-Manley!$B$12))))*1000+AQ25</f>
        <v>1163704.7866558798</v>
      </c>
      <c r="AS25" s="20">
        <f ca="1">(AS24/(1+EXP(-Manley!$B$13*((Manley!$B$14+Manley!$B$18*(Manley!$B$16*AS23)-Manley!$B$19*Manley!$B$17)-Manley!$B$12))))*1000+AR25</f>
        <v>1181401.5503545085</v>
      </c>
      <c r="AT25" s="20">
        <f ca="1">(AT24/(1+EXP(-Manley!$B$13*((Manley!$B$14+Manley!$B$18*(Manley!$B$16*AT23)-Manley!$B$19*Manley!$B$17)-Manley!$B$12))))*1000+AS25</f>
        <v>1198980.3396301905</v>
      </c>
      <c r="AU25" s="20">
        <f ca="1">(AU24/(1+EXP(-Manley!$B$13*((Manley!$B$14+Manley!$B$18*(Manley!$B$16*AU23)-Manley!$B$19*Manley!$B$17)-Manley!$B$12))))*1000+AT25</f>
        <v>1216441.8935951171</v>
      </c>
      <c r="AV25" s="20">
        <f ca="1">(AV24/(1+EXP(-Manley!$B$13*((Manley!$B$14+Manley!$B$18*(Manley!$B$16*AV23)-Manley!$B$19*Manley!$B$17)-Manley!$B$12))))*1000+AU25</f>
        <v>1233786.9512016489</v>
      </c>
      <c r="AW25" s="20">
        <f ca="1">(AW24/(1+EXP(-Manley!$B$13*((Manley!$B$14+Manley!$B$18*(Manley!$B$16*AW23)-Manley!$B$19*Manley!$B$17)-Manley!$B$12))))*1000+AV25</f>
        <v>1251016.2511194637</v>
      </c>
      <c r="AX25" s="20">
        <f ca="1">(AX24/(1+EXP(-Manley!$B$13*((Manley!$B$14+Manley!$B$18*(Manley!$B$16*AX23)-Manley!$B$19*Manley!$B$17)-Manley!$B$12))))*1000+AW25</f>
        <v>1268130.5316153076</v>
      </c>
      <c r="AY25" s="20">
        <f ca="1">(AY24/(1+EXP(-Manley!$B$13*((Manley!$B$14+Manley!$B$18*(Manley!$B$16*AY23)-Manley!$B$19*Manley!$B$17)-Manley!$B$12))))*1000+AX25</f>
        <v>1285130.53043534</v>
      </c>
      <c r="AZ25" s="20">
        <f ca="1">(AZ24/(1+EXP(-Manley!$B$13*((Manley!$B$14+Manley!$B$18*(Manley!$B$16*AZ23)-Manley!$B$19*Manley!$B$17)-Manley!$B$12))))*1000+AY25</f>
        <v>1302016.9846900601</v>
      </c>
      <c r="BA25" s="20">
        <f ca="1">(BA24/(1+EXP(-Manley!$B$13*((Manley!$B$14+Manley!$B$18*(Manley!$B$16*BA23)-Manley!$B$19*Manley!$B$17)-Manley!$B$12))))*1000+AZ25</f>
        <v>1318790.630741802</v>
      </c>
      <c r="BB25" s="20">
        <f ca="1">(BB24/(1+EXP(-Manley!$B$13*((Manley!$B$14+Manley!$B$18*(Manley!$B$16*BB23)-Manley!$B$19*Manley!$B$17)-Manley!$B$12))))*1000+BA25</f>
        <v>1335452.204094786</v>
      </c>
      <c r="BC25" s="20">
        <f ca="1">(BC24/(1+EXP(-Manley!$B$13*((Manley!$B$14+Manley!$B$18*(Manley!$B$16*BC23)-Manley!$B$19*Manley!$B$17)-Manley!$B$12))))*1000+BB25</f>
        <v>1352002.4392877077</v>
      </c>
      <c r="BD25" s="20">
        <f ca="1">(BD24/(1+EXP(-Manley!$B$13*((Manley!$B$14+Manley!$B$18*(Manley!$B$16*BD23)-Manley!$B$19*Manley!$B$17)-Manley!$B$12))))*1000+BC25</f>
        <v>1368442.069788852</v>
      </c>
      <c r="BE25" s="20">
        <f ca="1">(BE24/(1+EXP(-Manley!$B$13*((Manley!$B$14+Manley!$B$18*(Manley!$B$16*BE23)-Manley!$B$19*Manley!$B$17)-Manley!$B$12))))*1000+BD25</f>
        <v>1384771.8278937116</v>
      </c>
      <c r="BF25" s="20">
        <f ca="1">(BF24/(1+EXP(-Manley!$B$13*((Manley!$B$14+Manley!$B$18*(Manley!$B$16*BF23)-Manley!$B$19*Manley!$B$17)-Manley!$B$12))))*1000+BE25</f>
        <v>1400992.4446250938</v>
      </c>
      <c r="BG25" s="20">
        <f ca="1">(BG24/(1+EXP(-Manley!$B$13*((Manley!$B$14+Manley!$B$18*(Manley!$B$16*BG23)-Manley!$B$19*Manley!$B$17)-Manley!$B$12))))*1000+BF25</f>
        <v>1417104.6496356931</v>
      </c>
      <c r="BH25" s="20">
        <f ca="1">(BH24/(1+EXP(-Manley!$B$13*((Manley!$B$14+Manley!$B$18*(Manley!$B$16*BH23)-Manley!$B$19*Manley!$B$17)-Manley!$B$12))))*1000+BG25</f>
        <v>1433109.1711131132</v>
      </c>
    </row>
    <row r="26" spans="1:61" x14ac:dyDescent="0.25">
      <c r="A26" t="s">
        <v>348</v>
      </c>
      <c r="B26" s="20">
        <v>1000000</v>
      </c>
      <c r="C26" s="20"/>
    </row>
    <row r="27" spans="1:61" x14ac:dyDescent="0.25">
      <c r="A27" t="s">
        <v>349</v>
      </c>
      <c r="B27" s="37">
        <f t="shared" ref="B27:AG27" ca="1" si="11">MIN(1, $B$26/$AD$25)</f>
        <v>1</v>
      </c>
      <c r="C27" s="37">
        <f t="shared" ca="1" si="11"/>
        <v>1</v>
      </c>
      <c r="D27" s="37">
        <f t="shared" ca="1" si="11"/>
        <v>1</v>
      </c>
      <c r="E27" s="37">
        <f t="shared" ca="1" si="11"/>
        <v>1</v>
      </c>
      <c r="F27" s="37">
        <f t="shared" ca="1" si="11"/>
        <v>1</v>
      </c>
      <c r="G27" s="37">
        <f t="shared" ca="1" si="11"/>
        <v>1</v>
      </c>
      <c r="H27" s="37">
        <f t="shared" ca="1" si="11"/>
        <v>1</v>
      </c>
      <c r="I27" s="37">
        <f t="shared" ca="1" si="11"/>
        <v>1</v>
      </c>
      <c r="J27" s="37">
        <f t="shared" ca="1" si="11"/>
        <v>1</v>
      </c>
      <c r="K27" s="37">
        <f t="shared" ca="1" si="11"/>
        <v>1</v>
      </c>
      <c r="L27" s="37">
        <f t="shared" ca="1" si="11"/>
        <v>1</v>
      </c>
      <c r="M27" s="37">
        <f t="shared" ca="1" si="11"/>
        <v>1</v>
      </c>
      <c r="N27" s="37">
        <f t="shared" ca="1" si="11"/>
        <v>1</v>
      </c>
      <c r="O27" s="37">
        <f t="shared" ca="1" si="11"/>
        <v>1</v>
      </c>
      <c r="P27" s="37">
        <f t="shared" ca="1" si="11"/>
        <v>1</v>
      </c>
      <c r="Q27" s="37">
        <f t="shared" ca="1" si="11"/>
        <v>1</v>
      </c>
      <c r="R27" s="37">
        <f ca="1">MIN(1, $B$26/$AD$25)</f>
        <v>1</v>
      </c>
      <c r="S27" s="37">
        <f t="shared" ca="1" si="11"/>
        <v>1</v>
      </c>
      <c r="T27" s="37">
        <f t="shared" ca="1" si="11"/>
        <v>1</v>
      </c>
      <c r="U27" s="37">
        <f t="shared" ca="1" si="11"/>
        <v>1</v>
      </c>
      <c r="V27" s="37">
        <f t="shared" ca="1" si="11"/>
        <v>1</v>
      </c>
      <c r="W27" s="37">
        <f t="shared" ca="1" si="11"/>
        <v>1</v>
      </c>
      <c r="X27" s="37">
        <f t="shared" ca="1" si="11"/>
        <v>1</v>
      </c>
      <c r="Y27" s="37">
        <f t="shared" ca="1" si="11"/>
        <v>1</v>
      </c>
      <c r="Z27" s="37">
        <f t="shared" ca="1" si="11"/>
        <v>1</v>
      </c>
      <c r="AA27" s="37">
        <f t="shared" ca="1" si="11"/>
        <v>1</v>
      </c>
      <c r="AB27" s="37">
        <f t="shared" ca="1" si="11"/>
        <v>1</v>
      </c>
      <c r="AC27" s="37">
        <f t="shared" ca="1" si="11"/>
        <v>1</v>
      </c>
      <c r="AD27" s="37">
        <f t="shared" ca="1" si="11"/>
        <v>1</v>
      </c>
      <c r="AE27" s="37">
        <f t="shared" ca="1" si="11"/>
        <v>1</v>
      </c>
      <c r="AF27" s="37">
        <f t="shared" ca="1" si="11"/>
        <v>1</v>
      </c>
      <c r="AG27" s="37">
        <f t="shared" ca="1" si="11"/>
        <v>1</v>
      </c>
      <c r="AH27" s="37">
        <f t="shared" ref="AH27:BH27" ca="1" si="12">MIN(1, $B$26/$AD$25)</f>
        <v>1</v>
      </c>
      <c r="AI27" s="37">
        <f t="shared" ca="1" si="12"/>
        <v>1</v>
      </c>
      <c r="AJ27" s="37">
        <f t="shared" ca="1" si="12"/>
        <v>1</v>
      </c>
      <c r="AK27" s="37">
        <f t="shared" ca="1" si="12"/>
        <v>1</v>
      </c>
      <c r="AL27" s="37">
        <f t="shared" ca="1" si="12"/>
        <v>1</v>
      </c>
      <c r="AM27" s="37">
        <f t="shared" ca="1" si="12"/>
        <v>1</v>
      </c>
      <c r="AN27" s="37">
        <f t="shared" ca="1" si="12"/>
        <v>1</v>
      </c>
      <c r="AO27" s="37">
        <f t="shared" ca="1" si="12"/>
        <v>1</v>
      </c>
      <c r="AP27" s="37">
        <f t="shared" ca="1" si="12"/>
        <v>1</v>
      </c>
      <c r="AQ27" s="37">
        <f t="shared" ca="1" si="12"/>
        <v>1</v>
      </c>
      <c r="AR27" s="37">
        <f t="shared" ca="1" si="12"/>
        <v>1</v>
      </c>
      <c r="AS27" s="37">
        <f t="shared" ca="1" si="12"/>
        <v>1</v>
      </c>
      <c r="AT27" s="37">
        <f t="shared" ca="1" si="12"/>
        <v>1</v>
      </c>
      <c r="AU27" s="37">
        <f t="shared" ca="1" si="12"/>
        <v>1</v>
      </c>
      <c r="AV27" s="37">
        <f t="shared" ca="1" si="12"/>
        <v>1</v>
      </c>
      <c r="AW27" s="37">
        <f t="shared" ca="1" si="12"/>
        <v>1</v>
      </c>
      <c r="AX27" s="37">
        <f t="shared" ca="1" si="12"/>
        <v>1</v>
      </c>
      <c r="AY27" s="37">
        <f t="shared" ca="1" si="12"/>
        <v>1</v>
      </c>
      <c r="AZ27" s="37">
        <f t="shared" ca="1" si="12"/>
        <v>1</v>
      </c>
      <c r="BA27" s="37">
        <f t="shared" ca="1" si="12"/>
        <v>1</v>
      </c>
      <c r="BB27" s="37">
        <f t="shared" ca="1" si="12"/>
        <v>1</v>
      </c>
      <c r="BC27" s="37">
        <f t="shared" ca="1" si="12"/>
        <v>1</v>
      </c>
      <c r="BD27" s="37">
        <f t="shared" ca="1" si="12"/>
        <v>1</v>
      </c>
      <c r="BE27" s="37">
        <f t="shared" ca="1" si="12"/>
        <v>1</v>
      </c>
      <c r="BF27" s="37">
        <f t="shared" ca="1" si="12"/>
        <v>1</v>
      </c>
      <c r="BG27" s="37">
        <f t="shared" ca="1" si="12"/>
        <v>1</v>
      </c>
      <c r="BH27" s="37">
        <f t="shared" ca="1" si="12"/>
        <v>1</v>
      </c>
    </row>
    <row r="28" spans="1:61" x14ac:dyDescent="0.25">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row>
    <row r="29" spans="1:61" x14ac:dyDescent="0.25">
      <c r="A29" t="s">
        <v>135</v>
      </c>
    </row>
    <row r="30" spans="1:61" x14ac:dyDescent="0.25">
      <c r="A30" s="20" t="str">
        <f>A5</f>
        <v>Production Exotic Pine</v>
      </c>
      <c r="B30" s="20">
        <f>B5/1000</f>
        <v>69.936095865964361</v>
      </c>
      <c r="C30" s="20">
        <f t="shared" ref="C30:AH30" si="13">C5/1000+B30</f>
        <v>128.30638086596437</v>
      </c>
      <c r="D30" s="20">
        <f t="shared" si="13"/>
        <v>172.90638086596437</v>
      </c>
      <c r="E30" s="20">
        <f t="shared" si="13"/>
        <v>221.20638086596438</v>
      </c>
      <c r="F30" s="20">
        <f t="shared" si="13"/>
        <v>239.20638086596438</v>
      </c>
      <c r="G30" s="20">
        <f>G5/1000+F30</f>
        <v>257.20638086596438</v>
      </c>
      <c r="H30" s="20">
        <f>H5/1000+G30</f>
        <v>275.20638086596438</v>
      </c>
      <c r="I30" s="20">
        <f t="shared" si="13"/>
        <v>293.20638086596438</v>
      </c>
      <c r="J30" s="20">
        <f t="shared" si="13"/>
        <v>311.20638086596438</v>
      </c>
      <c r="K30" s="20">
        <f t="shared" si="13"/>
        <v>329.20638086596438</v>
      </c>
      <c r="L30" s="20">
        <f t="shared" si="13"/>
        <v>347.20638086596438</v>
      </c>
      <c r="M30" s="20">
        <f t="shared" si="13"/>
        <v>365.20638086596438</v>
      </c>
      <c r="N30" s="20">
        <f t="shared" si="13"/>
        <v>383.20638086596438</v>
      </c>
      <c r="O30" s="20">
        <f t="shared" si="13"/>
        <v>401.20638086596438</v>
      </c>
      <c r="P30" s="20">
        <f t="shared" si="13"/>
        <v>419.20638086596438</v>
      </c>
      <c r="Q30" s="20">
        <f t="shared" si="13"/>
        <v>437.20638086596438</v>
      </c>
      <c r="R30" s="20">
        <f t="shared" si="13"/>
        <v>455.20638086596438</v>
      </c>
      <c r="S30" s="20">
        <f t="shared" si="13"/>
        <v>473.20638086596438</v>
      </c>
      <c r="T30" s="20">
        <f t="shared" si="13"/>
        <v>491.20638086596438</v>
      </c>
      <c r="U30" s="20">
        <f t="shared" si="13"/>
        <v>509.20638086596438</v>
      </c>
      <c r="V30" s="20">
        <f t="shared" si="13"/>
        <v>527.20638086596432</v>
      </c>
      <c r="W30" s="20">
        <f t="shared" si="13"/>
        <v>545.20638086596432</v>
      </c>
      <c r="X30" s="20">
        <f t="shared" si="13"/>
        <v>563.20638086596432</v>
      </c>
      <c r="Y30" s="20">
        <f t="shared" si="13"/>
        <v>581.20638086596432</v>
      </c>
      <c r="Z30" s="20">
        <f t="shared" si="13"/>
        <v>599.20638086596432</v>
      </c>
      <c r="AA30" s="20">
        <f t="shared" si="13"/>
        <v>617.20638086596432</v>
      </c>
      <c r="AB30" s="20">
        <f t="shared" si="13"/>
        <v>635.20638086596432</v>
      </c>
      <c r="AC30" s="20">
        <f t="shared" si="13"/>
        <v>653.20638086596432</v>
      </c>
      <c r="AD30" s="20">
        <f t="shared" si="13"/>
        <v>671.20638086596432</v>
      </c>
      <c r="AE30" s="20">
        <f t="shared" si="13"/>
        <v>689.20638086596432</v>
      </c>
      <c r="AF30" s="20">
        <f t="shared" si="13"/>
        <v>707.20638086596432</v>
      </c>
      <c r="AG30" s="20">
        <f t="shared" si="13"/>
        <v>725.20638086596432</v>
      </c>
      <c r="AH30" s="20">
        <f t="shared" si="13"/>
        <v>743.20638086596432</v>
      </c>
      <c r="AI30" s="20">
        <f t="shared" ref="AI30:BH30" si="14">AI5/1000+AH30</f>
        <v>761.20638086596432</v>
      </c>
      <c r="AJ30" s="20">
        <f t="shared" si="14"/>
        <v>779.20638086596432</v>
      </c>
      <c r="AK30" s="20">
        <f t="shared" si="14"/>
        <v>797.20638086596432</v>
      </c>
      <c r="AL30" s="20">
        <f t="shared" si="14"/>
        <v>815.20638086596432</v>
      </c>
      <c r="AM30" s="20">
        <f t="shared" si="14"/>
        <v>833.20638086596432</v>
      </c>
      <c r="AN30" s="20">
        <f t="shared" si="14"/>
        <v>851.20638086596432</v>
      </c>
      <c r="AO30" s="20">
        <f t="shared" si="14"/>
        <v>869.20638086596432</v>
      </c>
      <c r="AP30" s="20">
        <f t="shared" si="14"/>
        <v>887.20638086596432</v>
      </c>
      <c r="AQ30" s="20">
        <f t="shared" si="14"/>
        <v>905.20638086596432</v>
      </c>
      <c r="AR30" s="20">
        <f t="shared" si="14"/>
        <v>923.20638086596432</v>
      </c>
      <c r="AS30" s="20">
        <f t="shared" si="14"/>
        <v>941.20638086596432</v>
      </c>
      <c r="AT30" s="20">
        <f t="shared" si="14"/>
        <v>959.20638086596432</v>
      </c>
      <c r="AU30" s="20">
        <f t="shared" si="14"/>
        <v>977.20638086596432</v>
      </c>
      <c r="AV30" s="20">
        <f t="shared" si="14"/>
        <v>995.20638086596432</v>
      </c>
      <c r="AW30" s="20">
        <f t="shared" si="14"/>
        <v>1013.2063808659643</v>
      </c>
      <c r="AX30" s="20">
        <f t="shared" si="14"/>
        <v>1031.2063808659643</v>
      </c>
      <c r="AY30" s="20">
        <f t="shared" si="14"/>
        <v>1049.2063808659643</v>
      </c>
      <c r="AZ30" s="20">
        <f t="shared" si="14"/>
        <v>1067.2063808659643</v>
      </c>
      <c r="BA30" s="20">
        <f t="shared" si="14"/>
        <v>1085.2063808659643</v>
      </c>
      <c r="BB30" s="20">
        <f t="shared" si="14"/>
        <v>1103.2063808659643</v>
      </c>
      <c r="BC30" s="20">
        <f t="shared" si="14"/>
        <v>1121.2063808659643</v>
      </c>
      <c r="BD30" s="20">
        <f t="shared" si="14"/>
        <v>1139.2063808659643</v>
      </c>
      <c r="BE30" s="20">
        <f t="shared" si="14"/>
        <v>1157.2063808659643</v>
      </c>
      <c r="BF30" s="20">
        <f t="shared" si="14"/>
        <v>1175.2063808659643</v>
      </c>
      <c r="BG30" s="20">
        <f t="shared" si="14"/>
        <v>1193.2063808659643</v>
      </c>
      <c r="BH30" s="20">
        <f t="shared" si="14"/>
        <v>1211.2063808659643</v>
      </c>
    </row>
    <row r="31" spans="1:61" x14ac:dyDescent="0.25">
      <c r="A31" t="str">
        <f>A3</f>
        <v>Permanent Exotic Pine</v>
      </c>
      <c r="B31" s="20">
        <f>B3/1000</f>
        <v>12.7286473197634</v>
      </c>
      <c r="C31" s="20">
        <f t="shared" ref="C31:AH31" si="15">C3/1000+B31</f>
        <v>22.897947319763404</v>
      </c>
      <c r="D31" s="20">
        <f t="shared" si="15"/>
        <v>37.397947319763404</v>
      </c>
      <c r="E31" s="20">
        <f t="shared" si="15"/>
        <v>49.697947319763401</v>
      </c>
      <c r="F31" s="20">
        <f t="shared" si="15"/>
        <v>58.897947319763404</v>
      </c>
      <c r="G31" s="20">
        <f t="shared" si="15"/>
        <v>68.097947319763406</v>
      </c>
      <c r="H31" s="20">
        <f t="shared" si="15"/>
        <v>77.297947319763409</v>
      </c>
      <c r="I31" s="20">
        <f t="shared" si="15"/>
        <v>86.497947319763412</v>
      </c>
      <c r="J31" s="20">
        <f t="shared" si="15"/>
        <v>95.697947319763415</v>
      </c>
      <c r="K31" s="20">
        <f t="shared" si="15"/>
        <v>104.89794731976342</v>
      </c>
      <c r="L31" s="20">
        <f t="shared" si="15"/>
        <v>114.09794731976342</v>
      </c>
      <c r="M31" s="20">
        <f t="shared" si="15"/>
        <v>123.29794731976342</v>
      </c>
      <c r="N31" s="20">
        <f t="shared" si="15"/>
        <v>132.49794731976343</v>
      </c>
      <c r="O31" s="20">
        <f t="shared" si="15"/>
        <v>141.69794731976341</v>
      </c>
      <c r="P31" s="20">
        <f t="shared" si="15"/>
        <v>150.8979473197634</v>
      </c>
      <c r="Q31" s="20">
        <f t="shared" si="15"/>
        <v>160.09794731976339</v>
      </c>
      <c r="R31" s="20">
        <f t="shared" si="15"/>
        <v>169.29794731976338</v>
      </c>
      <c r="S31" s="20">
        <f t="shared" si="15"/>
        <v>178.49794731976337</v>
      </c>
      <c r="T31" s="20">
        <f t="shared" si="15"/>
        <v>187.69794731976336</v>
      </c>
      <c r="U31" s="20">
        <f t="shared" si="15"/>
        <v>196.89794731976335</v>
      </c>
      <c r="V31" s="20">
        <f t="shared" si="15"/>
        <v>206.09794731976334</v>
      </c>
      <c r="W31" s="20">
        <f t="shared" si="15"/>
        <v>215.29794731976332</v>
      </c>
      <c r="X31" s="20">
        <f t="shared" si="15"/>
        <v>224.49794731976331</v>
      </c>
      <c r="Y31" s="20">
        <f t="shared" si="15"/>
        <v>233.6979473197633</v>
      </c>
      <c r="Z31" s="20">
        <f t="shared" si="15"/>
        <v>242.89794731976329</v>
      </c>
      <c r="AA31" s="20">
        <f t="shared" si="15"/>
        <v>252.09794731976328</v>
      </c>
      <c r="AB31" s="20">
        <f t="shared" si="15"/>
        <v>261.2979473197633</v>
      </c>
      <c r="AC31" s="20">
        <f t="shared" si="15"/>
        <v>270.49794731976328</v>
      </c>
      <c r="AD31" s="20">
        <f t="shared" si="15"/>
        <v>279.69794731976327</v>
      </c>
      <c r="AE31" s="20">
        <f t="shared" si="15"/>
        <v>288.89794731976326</v>
      </c>
      <c r="AF31" s="20">
        <f t="shared" si="15"/>
        <v>298.09794731976325</v>
      </c>
      <c r="AG31" s="20">
        <f t="shared" si="15"/>
        <v>307.29794731976324</v>
      </c>
      <c r="AH31" s="20">
        <f t="shared" si="15"/>
        <v>316.49794731976323</v>
      </c>
      <c r="AI31" s="20">
        <f t="shared" ref="AI31:BH31" si="16">AI3/1000+AH31</f>
        <v>325.69794731976322</v>
      </c>
      <c r="AJ31" s="20">
        <f t="shared" si="16"/>
        <v>334.8979473197632</v>
      </c>
      <c r="AK31" s="20">
        <f t="shared" si="16"/>
        <v>344.09794731976319</v>
      </c>
      <c r="AL31" s="20">
        <f t="shared" si="16"/>
        <v>353.29794731976318</v>
      </c>
      <c r="AM31" s="20">
        <f t="shared" si="16"/>
        <v>362.49794731976317</v>
      </c>
      <c r="AN31" s="20">
        <f t="shared" si="16"/>
        <v>371.69794731976316</v>
      </c>
      <c r="AO31" s="20">
        <f t="shared" si="16"/>
        <v>380.89794731976315</v>
      </c>
      <c r="AP31" s="20">
        <f t="shared" si="16"/>
        <v>390.09794731976314</v>
      </c>
      <c r="AQ31" s="20">
        <f t="shared" si="16"/>
        <v>399.29794731976313</v>
      </c>
      <c r="AR31" s="20">
        <f t="shared" si="16"/>
        <v>408.49794731976311</v>
      </c>
      <c r="AS31" s="20">
        <f t="shared" si="16"/>
        <v>417.6979473197631</v>
      </c>
      <c r="AT31" s="20">
        <f t="shared" si="16"/>
        <v>426.89794731976309</v>
      </c>
      <c r="AU31" s="20">
        <f t="shared" si="16"/>
        <v>436.09794731976308</v>
      </c>
      <c r="AV31" s="20">
        <f t="shared" si="16"/>
        <v>445.29794731976307</v>
      </c>
      <c r="AW31" s="20">
        <f t="shared" si="16"/>
        <v>454.49794731976306</v>
      </c>
      <c r="AX31" s="20">
        <f t="shared" si="16"/>
        <v>463.69794731976305</v>
      </c>
      <c r="AY31" s="20">
        <f t="shared" si="16"/>
        <v>472.89794731976303</v>
      </c>
      <c r="AZ31" s="20">
        <f t="shared" si="16"/>
        <v>482.09794731976302</v>
      </c>
      <c r="BA31" s="20">
        <f t="shared" si="16"/>
        <v>491.29794731976301</v>
      </c>
      <c r="BB31" s="20">
        <f t="shared" si="16"/>
        <v>500.497947319763</v>
      </c>
      <c r="BC31" s="20">
        <f t="shared" si="16"/>
        <v>509.69794731976299</v>
      </c>
      <c r="BD31" s="20">
        <f t="shared" si="16"/>
        <v>518.89794731976303</v>
      </c>
      <c r="BE31" s="20">
        <f t="shared" si="16"/>
        <v>528.09794731976308</v>
      </c>
      <c r="BF31" s="20">
        <f t="shared" si="16"/>
        <v>537.29794731976313</v>
      </c>
      <c r="BG31" s="20">
        <f t="shared" si="16"/>
        <v>546.49794731976317</v>
      </c>
      <c r="BH31" s="20">
        <f t="shared" si="16"/>
        <v>555.69794731976322</v>
      </c>
    </row>
    <row r="32" spans="1:61" x14ac:dyDescent="0.25">
      <c r="A32" s="20" t="str">
        <f>A4</f>
        <v xml:space="preserve">P89 Natural Forest </v>
      </c>
      <c r="B32" s="20">
        <f>B4/1000</f>
        <v>6.874162039348624</v>
      </c>
      <c r="C32" s="20">
        <f t="shared" ref="C32:AH32" si="17">C4/1000+B32</f>
        <v>14.660246706015291</v>
      </c>
      <c r="D32" s="20">
        <f t="shared" si="17"/>
        <v>18.160246706015293</v>
      </c>
      <c r="E32" s="20">
        <f t="shared" si="17"/>
        <v>20.360246706015293</v>
      </c>
      <c r="F32" s="20">
        <f t="shared" si="17"/>
        <v>20.760246706015291</v>
      </c>
      <c r="G32" s="20">
        <f t="shared" si="17"/>
        <v>20.96024670601529</v>
      </c>
      <c r="H32" s="20">
        <f t="shared" si="17"/>
        <v>21.060246706015292</v>
      </c>
      <c r="I32" s="20">
        <f t="shared" si="17"/>
        <v>21.160246706015293</v>
      </c>
      <c r="J32" s="20">
        <f t="shared" si="17"/>
        <v>21.260246706015295</v>
      </c>
      <c r="K32" s="20">
        <f t="shared" si="17"/>
        <v>21.360246706015296</v>
      </c>
      <c r="L32" s="20">
        <f t="shared" si="17"/>
        <v>21.460246706015297</v>
      </c>
      <c r="M32" s="20">
        <f t="shared" si="17"/>
        <v>21.560246706015299</v>
      </c>
      <c r="N32" s="20">
        <f t="shared" si="17"/>
        <v>21.6602467060153</v>
      </c>
      <c r="O32" s="20">
        <f t="shared" si="17"/>
        <v>21.760246706015302</v>
      </c>
      <c r="P32" s="20">
        <f t="shared" si="17"/>
        <v>21.860246706015303</v>
      </c>
      <c r="Q32" s="20">
        <f t="shared" si="17"/>
        <v>21.960246706015305</v>
      </c>
      <c r="R32" s="20">
        <f t="shared" si="17"/>
        <v>22.060246706015306</v>
      </c>
      <c r="S32" s="20">
        <f t="shared" si="17"/>
        <v>22.160246706015307</v>
      </c>
      <c r="T32" s="20">
        <f t="shared" si="17"/>
        <v>22.260246706015309</v>
      </c>
      <c r="U32" s="20">
        <f t="shared" si="17"/>
        <v>22.36024670601531</v>
      </c>
      <c r="V32" s="20">
        <f t="shared" si="17"/>
        <v>22.460246706015312</v>
      </c>
      <c r="W32" s="20">
        <f t="shared" si="17"/>
        <v>22.560246706015313</v>
      </c>
      <c r="X32" s="20">
        <f t="shared" si="17"/>
        <v>22.660246706015315</v>
      </c>
      <c r="Y32" s="20">
        <f t="shared" si="17"/>
        <v>22.760246706015316</v>
      </c>
      <c r="Z32" s="20">
        <f t="shared" si="17"/>
        <v>22.860246706015317</v>
      </c>
      <c r="AA32" s="20">
        <f t="shared" si="17"/>
        <v>22.960246706015319</v>
      </c>
      <c r="AB32" s="20">
        <f t="shared" si="17"/>
        <v>23.06024670601532</v>
      </c>
      <c r="AC32" s="20">
        <f t="shared" si="17"/>
        <v>23.160246706015322</v>
      </c>
      <c r="AD32" s="20">
        <f t="shared" si="17"/>
        <v>23.260246706015323</v>
      </c>
      <c r="AE32" s="20">
        <f t="shared" si="17"/>
        <v>23.360246706015324</v>
      </c>
      <c r="AF32" s="20">
        <f t="shared" si="17"/>
        <v>23.460246706015326</v>
      </c>
      <c r="AG32" s="20">
        <f t="shared" si="17"/>
        <v>23.560246706015327</v>
      </c>
      <c r="AH32" s="20">
        <f t="shared" si="17"/>
        <v>23.660246706015329</v>
      </c>
      <c r="AI32" s="20">
        <f t="shared" ref="AI32:BH32" si="18">AI4/1000+AH32</f>
        <v>23.76024670601533</v>
      </c>
      <c r="AJ32" s="20">
        <f t="shared" si="18"/>
        <v>23.860246706015332</v>
      </c>
      <c r="AK32" s="20">
        <f t="shared" si="18"/>
        <v>23.960246706015333</v>
      </c>
      <c r="AL32" s="20">
        <f t="shared" si="18"/>
        <v>24.060246706015334</v>
      </c>
      <c r="AM32" s="20">
        <f t="shared" si="18"/>
        <v>24.160246706015336</v>
      </c>
      <c r="AN32" s="20">
        <f t="shared" si="18"/>
        <v>24.260246706015337</v>
      </c>
      <c r="AO32" s="20">
        <f t="shared" si="18"/>
        <v>24.360246706015339</v>
      </c>
      <c r="AP32" s="20">
        <f t="shared" si="18"/>
        <v>24.46024670601534</v>
      </c>
      <c r="AQ32" s="20">
        <f t="shared" si="18"/>
        <v>24.560246706015342</v>
      </c>
      <c r="AR32" s="20">
        <f t="shared" si="18"/>
        <v>24.660246706015343</v>
      </c>
      <c r="AS32" s="20">
        <f t="shared" si="18"/>
        <v>24.760246706015344</v>
      </c>
      <c r="AT32" s="20">
        <f t="shared" si="18"/>
        <v>24.860246706015346</v>
      </c>
      <c r="AU32" s="20">
        <f t="shared" si="18"/>
        <v>24.960246706015347</v>
      </c>
      <c r="AV32" s="20">
        <f t="shared" si="18"/>
        <v>25.060246706015349</v>
      </c>
      <c r="AW32" s="20">
        <f t="shared" si="18"/>
        <v>25.16024670601535</v>
      </c>
      <c r="AX32" s="20">
        <f t="shared" si="18"/>
        <v>25.260246706015351</v>
      </c>
      <c r="AY32" s="20">
        <f t="shared" si="18"/>
        <v>25.360246706015353</v>
      </c>
      <c r="AZ32" s="20">
        <f t="shared" si="18"/>
        <v>25.460246706015354</v>
      </c>
      <c r="BA32" s="20">
        <f t="shared" si="18"/>
        <v>25.560246706015356</v>
      </c>
      <c r="BB32" s="20">
        <f t="shared" si="18"/>
        <v>25.660246706015357</v>
      </c>
      <c r="BC32" s="20">
        <f t="shared" si="18"/>
        <v>25.760246706015359</v>
      </c>
      <c r="BD32" s="20">
        <f t="shared" si="18"/>
        <v>25.86024670601536</v>
      </c>
      <c r="BE32" s="20">
        <f t="shared" si="18"/>
        <v>25.960246706015361</v>
      </c>
      <c r="BF32" s="20">
        <f t="shared" si="18"/>
        <v>26.060246706015363</v>
      </c>
      <c r="BG32" s="20">
        <f t="shared" si="18"/>
        <v>26.160246706015364</v>
      </c>
      <c r="BH32" s="20">
        <f t="shared" si="18"/>
        <v>26.260246706015366</v>
      </c>
    </row>
    <row r="33" spans="1:60"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row>
    <row r="34" spans="1:60" x14ac:dyDescent="0.25">
      <c r="A34" t="s">
        <v>350</v>
      </c>
      <c r="B34" s="20">
        <f>B17/1000</f>
        <v>89.538905225076391</v>
      </c>
      <c r="C34" s="20">
        <f>C17/1000+B34</f>
        <v>165.86457489174308</v>
      </c>
      <c r="D34" s="20">
        <f>D17/1000+C34</f>
        <v>228.46457489174307</v>
      </c>
      <c r="E34" s="20">
        <f>E17/1000+D34</f>
        <v>291.26457489174305</v>
      </c>
      <c r="F34" s="20">
        <f ca="1">F17/1000+E34</f>
        <v>329.21891542672506</v>
      </c>
      <c r="G34" s="20">
        <f t="shared" ref="G34:AH34" ca="1" si="19">G17/1000+F34</f>
        <v>367.29951340696414</v>
      </c>
      <c r="H34" s="20">
        <f t="shared" ca="1" si="19"/>
        <v>405.25415388543945</v>
      </c>
      <c r="I34" s="20">
        <f t="shared" ca="1" si="19"/>
        <v>442.79359851406235</v>
      </c>
      <c r="J34" s="20">
        <f t="shared" ca="1" si="19"/>
        <v>479.57297761754302</v>
      </c>
      <c r="K34" s="20">
        <f t="shared" ca="1" si="19"/>
        <v>515.16810106388516</v>
      </c>
      <c r="L34" s="20">
        <f t="shared" ca="1" si="19"/>
        <v>549.54922861981231</v>
      </c>
      <c r="M34" s="20">
        <f t="shared" ca="1" si="19"/>
        <v>582.69424929723982</v>
      </c>
      <c r="N34" s="20">
        <f t="shared" ca="1" si="19"/>
        <v>614.58886754326136</v>
      </c>
      <c r="O34" s="20">
        <f t="shared" ca="1" si="19"/>
        <v>645.22658878966695</v>
      </c>
      <c r="P34" s="20">
        <f t="shared" ca="1" si="19"/>
        <v>674.63354756985666</v>
      </c>
      <c r="Q34" s="20">
        <f t="shared" ca="1" si="19"/>
        <v>702.85372213433652</v>
      </c>
      <c r="R34" s="20">
        <f t="shared" ca="1" si="19"/>
        <v>729.94046258610433</v>
      </c>
      <c r="S34" s="20">
        <f t="shared" ca="1" si="19"/>
        <v>755.95514798918668</v>
      </c>
      <c r="T34" s="20">
        <f t="shared" ca="1" si="19"/>
        <v>780.96586752903329</v>
      </c>
      <c r="U34" s="20">
        <f t="shared" ca="1" si="19"/>
        <v>805.04619645567288</v>
      </c>
      <c r="V34" s="20">
        <f t="shared" ca="1" si="19"/>
        <v>828.27412148975543</v>
      </c>
      <c r="W34" s="20">
        <f t="shared" ca="1" si="19"/>
        <v>850.73115441705011</v>
      </c>
      <c r="X34" s="20">
        <f t="shared" ca="1" si="19"/>
        <v>872.50165832104926</v>
      </c>
      <c r="Y34" s="20">
        <f t="shared" ca="1" si="19"/>
        <v>893.67239923513148</v>
      </c>
      <c r="Z34" s="20">
        <f t="shared" ca="1" si="19"/>
        <v>914.33232727197435</v>
      </c>
      <c r="AA34" s="20">
        <f t="shared" ca="1" si="19"/>
        <v>934.57258536783945</v>
      </c>
      <c r="AB34" s="20">
        <f t="shared" ca="1" si="19"/>
        <v>954.48674016456846</v>
      </c>
      <c r="AC34" s="20">
        <f t="shared" ca="1" si="19"/>
        <v>974.17122747556232</v>
      </c>
      <c r="AD34" s="20">
        <f ca="1">AD17/1000+AC34</f>
        <v>993.72600324506629</v>
      </c>
      <c r="AE34" s="20">
        <f t="shared" ca="1" si="19"/>
        <v>1013.1517902947835</v>
      </c>
      <c r="AF34" s="20">
        <f t="shared" ca="1" si="19"/>
        <v>1032.4493136084777</v>
      </c>
      <c r="AG34" s="20">
        <f t="shared" ca="1" si="19"/>
        <v>1051.6193001674078</v>
      </c>
      <c r="AH34" s="20">
        <f t="shared" ca="1" si="19"/>
        <v>1070.6624787882956</v>
      </c>
      <c r="AI34" s="20">
        <f t="shared" ref="AI34:BH34" ca="1" si="20">AI17/1000+AH34</f>
        <v>1089.5795799638504</v>
      </c>
      <c r="AJ34" s="20">
        <f t="shared" ca="1" si="20"/>
        <v>1108.3713357058634</v>
      </c>
      <c r="AK34" s="20">
        <f t="shared" ca="1" si="20"/>
        <v>1127.0384793908904</v>
      </c>
      <c r="AL34" s="20">
        <f t="shared" ca="1" si="20"/>
        <v>1145.5817456085322</v>
      </c>
      <c r="AM34" s="20">
        <f t="shared" ca="1" si="20"/>
        <v>1164.001870012326</v>
      </c>
      <c r="AN34" s="20">
        <f t="shared" ca="1" si="20"/>
        <v>1182.2995891732548</v>
      </c>
      <c r="AO34" s="20">
        <f t="shared" ca="1" si="20"/>
        <v>1200.4756404358809</v>
      </c>
      <c r="AP34" s="20">
        <f t="shared" ca="1" si="20"/>
        <v>1218.5307617771093</v>
      </c>
      <c r="AQ34" s="20">
        <f t="shared" ca="1" si="20"/>
        <v>1236.465691667584</v>
      </c>
      <c r="AR34" s="20">
        <f t="shared" ca="1" si="20"/>
        <v>1254.2811689357161</v>
      </c>
      <c r="AS34" s="20">
        <f t="shared" ca="1" si="20"/>
        <v>1271.9779326343448</v>
      </c>
      <c r="AT34" s="20">
        <f t="shared" ca="1" si="20"/>
        <v>1289.5567219100269</v>
      </c>
      <c r="AU34" s="20">
        <f t="shared" ca="1" si="20"/>
        <v>1307.0182758749536</v>
      </c>
      <c r="AV34" s="20">
        <f t="shared" ca="1" si="20"/>
        <v>1324.3633334814854</v>
      </c>
      <c r="AW34" s="20">
        <f t="shared" ca="1" si="20"/>
        <v>1341.5926333993002</v>
      </c>
      <c r="AX34" s="20">
        <f t="shared" ca="1" si="20"/>
        <v>1358.706913895144</v>
      </c>
      <c r="AY34" s="20">
        <f t="shared" ca="1" si="20"/>
        <v>1375.7069127151765</v>
      </c>
      <c r="AZ34" s="20">
        <f t="shared" ca="1" si="20"/>
        <v>1392.5933669698966</v>
      </c>
      <c r="BA34" s="20">
        <f t="shared" ca="1" si="20"/>
        <v>1409.3670130216385</v>
      </c>
      <c r="BB34" s="20">
        <f t="shared" ca="1" si="20"/>
        <v>1426.0285863746224</v>
      </c>
      <c r="BC34" s="20">
        <f t="shared" ca="1" si="20"/>
        <v>1442.5788215675441</v>
      </c>
      <c r="BD34" s="20">
        <f t="shared" ca="1" si="20"/>
        <v>1459.0184520686885</v>
      </c>
      <c r="BE34" s="20">
        <f t="shared" ca="1" si="20"/>
        <v>1475.3482101735481</v>
      </c>
      <c r="BF34" s="20">
        <f t="shared" ca="1" si="20"/>
        <v>1491.5688269049303</v>
      </c>
      <c r="BG34" s="20">
        <f t="shared" ca="1" si="20"/>
        <v>1507.6810319155295</v>
      </c>
      <c r="BH34" s="20">
        <f t="shared" ca="1" si="20"/>
        <v>1523.6855533929497</v>
      </c>
    </row>
    <row r="35" spans="1:60"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row>
    <row r="36" spans="1:60" x14ac:dyDescent="0.25">
      <c r="A36" t="s">
        <v>351</v>
      </c>
    </row>
    <row r="37" spans="1:60" x14ac:dyDescent="0.25">
      <c r="A37" s="20" t="str">
        <f>A10</f>
        <v>Production Exotic Pine</v>
      </c>
      <c r="B37" s="20">
        <f>B7/1000</f>
        <v>89.538743185727768</v>
      </c>
      <c r="C37" s="20">
        <f>C7/1000+B37</f>
        <v>167.12207718572779</v>
      </c>
      <c r="D37" s="20">
        <f t="shared" ref="D37:BH37" si="21">D7/1000+C37</f>
        <v>229.72207718572778</v>
      </c>
      <c r="E37" s="20">
        <f t="shared" si="21"/>
        <v>302.52207718572777</v>
      </c>
      <c r="F37" s="20">
        <f t="shared" si="21"/>
        <v>336.42207718572774</v>
      </c>
      <c r="G37" s="20">
        <f t="shared" si="21"/>
        <v>370.02207718572777</v>
      </c>
      <c r="H37" s="20">
        <f t="shared" si="21"/>
        <v>403.47207718572776</v>
      </c>
      <c r="I37" s="20">
        <f t="shared" si="21"/>
        <v>436.92207718572774</v>
      </c>
      <c r="J37" s="20">
        <f t="shared" si="21"/>
        <v>470.37207718572773</v>
      </c>
      <c r="K37" s="20">
        <f t="shared" si="21"/>
        <v>503.82207718572772</v>
      </c>
      <c r="L37" s="20">
        <f t="shared" si="21"/>
        <v>537.27207718572777</v>
      </c>
      <c r="M37" s="20">
        <f t="shared" si="21"/>
        <v>570.72207718572781</v>
      </c>
      <c r="N37" s="20">
        <f t="shared" si="21"/>
        <v>604.17207718572786</v>
      </c>
      <c r="O37" s="20">
        <f t="shared" si="21"/>
        <v>637.6220771857279</v>
      </c>
      <c r="P37" s="20">
        <f t="shared" si="21"/>
        <v>671.07207718572795</v>
      </c>
      <c r="Q37" s="20">
        <f t="shared" si="21"/>
        <v>704.52207718572799</v>
      </c>
      <c r="R37" s="20">
        <f t="shared" si="21"/>
        <v>737.97207718572804</v>
      </c>
      <c r="S37" s="20">
        <f t="shared" si="21"/>
        <v>771.42207718572809</v>
      </c>
      <c r="T37" s="20">
        <f t="shared" si="21"/>
        <v>804.87207718572813</v>
      </c>
      <c r="U37" s="20">
        <f t="shared" si="21"/>
        <v>838.32207718572818</v>
      </c>
      <c r="V37" s="20">
        <f t="shared" si="21"/>
        <v>871.77207718572822</v>
      </c>
      <c r="W37" s="20">
        <f t="shared" si="21"/>
        <v>905.22207718572827</v>
      </c>
      <c r="X37" s="20">
        <f t="shared" si="21"/>
        <v>938.67207718572831</v>
      </c>
      <c r="Y37" s="20">
        <f t="shared" si="21"/>
        <v>972.12207718572836</v>
      </c>
      <c r="Z37" s="20">
        <f t="shared" si="21"/>
        <v>1005.5720771857284</v>
      </c>
      <c r="AA37" s="20">
        <f t="shared" si="21"/>
        <v>1039.0220771857284</v>
      </c>
      <c r="AB37" s="20">
        <f t="shared" si="21"/>
        <v>1072.4720771857285</v>
      </c>
      <c r="AC37" s="20">
        <f t="shared" si="21"/>
        <v>1105.9220771857285</v>
      </c>
      <c r="AD37" s="20">
        <f t="shared" si="21"/>
        <v>1139.3720771857286</v>
      </c>
      <c r="AE37" s="20">
        <f t="shared" si="21"/>
        <v>1172.8220771857286</v>
      </c>
      <c r="AF37" s="20">
        <f t="shared" si="21"/>
        <v>1206.2720771857287</v>
      </c>
      <c r="AG37" s="20">
        <f t="shared" si="21"/>
        <v>1239.7220771857287</v>
      </c>
      <c r="AH37" s="20">
        <f t="shared" si="21"/>
        <v>1273.1720771857288</v>
      </c>
      <c r="AI37" s="20">
        <f t="shared" si="21"/>
        <v>1306.6220771857288</v>
      </c>
      <c r="AJ37" s="20">
        <f t="shared" si="21"/>
        <v>1340.0720771857289</v>
      </c>
      <c r="AK37" s="20">
        <f t="shared" si="21"/>
        <v>1373.5220771857289</v>
      </c>
      <c r="AL37" s="20">
        <f t="shared" si="21"/>
        <v>1406.9720771857289</v>
      </c>
      <c r="AM37" s="20">
        <f t="shared" si="21"/>
        <v>1440.422077185729</v>
      </c>
      <c r="AN37" s="20">
        <f t="shared" si="21"/>
        <v>1473.872077185729</v>
      </c>
      <c r="AO37" s="20">
        <f t="shared" si="21"/>
        <v>1507.3220771857291</v>
      </c>
      <c r="AP37" s="20">
        <f t="shared" si="21"/>
        <v>1540.7720771857291</v>
      </c>
      <c r="AQ37" s="20">
        <f t="shared" si="21"/>
        <v>1574.2220771857292</v>
      </c>
      <c r="AR37" s="20">
        <f t="shared" si="21"/>
        <v>1607.6720771857292</v>
      </c>
      <c r="AS37" s="20">
        <f t="shared" si="21"/>
        <v>1641.1220771857293</v>
      </c>
      <c r="AT37" s="20">
        <f t="shared" si="21"/>
        <v>1674.5720771857293</v>
      </c>
      <c r="AU37" s="20">
        <f t="shared" si="21"/>
        <v>1708.0220771857294</v>
      </c>
      <c r="AV37" s="20">
        <f t="shared" si="21"/>
        <v>1741.4720771857294</v>
      </c>
      <c r="AW37" s="20">
        <f t="shared" si="21"/>
        <v>1774.9220771857294</v>
      </c>
      <c r="AX37" s="20">
        <f t="shared" si="21"/>
        <v>1808.3720771857295</v>
      </c>
      <c r="AY37" s="20">
        <f t="shared" si="21"/>
        <v>1841.8220771857295</v>
      </c>
      <c r="AZ37" s="20">
        <f t="shared" si="21"/>
        <v>1875.2720771857296</v>
      </c>
      <c r="BA37" s="20">
        <f t="shared" si="21"/>
        <v>1908.7220771857296</v>
      </c>
      <c r="BB37" s="20">
        <f t="shared" si="21"/>
        <v>1942.1720771857297</v>
      </c>
      <c r="BC37" s="20">
        <f t="shared" si="21"/>
        <v>1975.6220771857297</v>
      </c>
      <c r="BD37" s="20">
        <f t="shared" si="21"/>
        <v>2009.0720771857298</v>
      </c>
      <c r="BE37" s="20">
        <f t="shared" si="21"/>
        <v>2042.5220771857298</v>
      </c>
      <c r="BF37" s="20">
        <f t="shared" si="21"/>
        <v>2075.9720771857296</v>
      </c>
      <c r="BG37" s="20">
        <f t="shared" si="21"/>
        <v>2109.4220771857294</v>
      </c>
      <c r="BH37" s="20">
        <f t="shared" si="21"/>
        <v>2142.8720771857293</v>
      </c>
    </row>
    <row r="38" spans="1:60" x14ac:dyDescent="0.25">
      <c r="A38" t="str">
        <f>A8</f>
        <v>Permanent Exotic Pine</v>
      </c>
      <c r="B38" s="20">
        <f>B8/1000</f>
        <v>12.7286473197634</v>
      </c>
      <c r="C38" s="20">
        <f>C8/1000+B38</f>
        <v>22.897947319763404</v>
      </c>
      <c r="D38" s="20">
        <f t="shared" ref="D38:BH38" si="22">D8/1000+C38</f>
        <v>28.997947319763405</v>
      </c>
      <c r="E38" s="20">
        <f t="shared" si="22"/>
        <v>35.197947319763408</v>
      </c>
      <c r="F38" s="20">
        <f t="shared" si="22"/>
        <v>48.997947319763412</v>
      </c>
      <c r="G38" s="20">
        <f t="shared" si="22"/>
        <v>62.797947319763409</v>
      </c>
      <c r="H38" s="20">
        <f t="shared" si="22"/>
        <v>76.597947319763406</v>
      </c>
      <c r="I38" s="20">
        <f t="shared" si="22"/>
        <v>90.397947319763404</v>
      </c>
      <c r="J38" s="20">
        <f t="shared" si="22"/>
        <v>104.1979473197634</v>
      </c>
      <c r="K38" s="20">
        <f t="shared" si="22"/>
        <v>117.9979473197634</v>
      </c>
      <c r="L38" s="20">
        <f t="shared" si="22"/>
        <v>131.79794731976341</v>
      </c>
      <c r="M38" s="20">
        <f t="shared" si="22"/>
        <v>145.59794731976342</v>
      </c>
      <c r="N38" s="20">
        <f t="shared" si="22"/>
        <v>159.39794731976343</v>
      </c>
      <c r="O38" s="20">
        <f t="shared" si="22"/>
        <v>173.19794731976344</v>
      </c>
      <c r="P38" s="20">
        <f t="shared" si="22"/>
        <v>186.99794731976345</v>
      </c>
      <c r="Q38" s="20">
        <f t="shared" si="22"/>
        <v>200.79794731976347</v>
      </c>
      <c r="R38" s="20">
        <f t="shared" si="22"/>
        <v>214.59794731976348</v>
      </c>
      <c r="S38" s="20">
        <f t="shared" si="22"/>
        <v>228.39794731976349</v>
      </c>
      <c r="T38" s="20">
        <f t="shared" si="22"/>
        <v>242.1979473197635</v>
      </c>
      <c r="U38" s="20">
        <f t="shared" si="22"/>
        <v>255.99794731976351</v>
      </c>
      <c r="V38" s="20">
        <f t="shared" si="22"/>
        <v>269.79794731976352</v>
      </c>
      <c r="W38" s="20">
        <f t="shared" si="22"/>
        <v>283.59794731976353</v>
      </c>
      <c r="X38" s="20">
        <f t="shared" si="22"/>
        <v>297.39794731976355</v>
      </c>
      <c r="Y38" s="20">
        <f t="shared" si="22"/>
        <v>311.19794731976356</v>
      </c>
      <c r="Z38" s="20">
        <f t="shared" si="22"/>
        <v>324.99794731976357</v>
      </c>
      <c r="AA38" s="20">
        <f t="shared" si="22"/>
        <v>338.79794731976358</v>
      </c>
      <c r="AB38" s="20">
        <f t="shared" si="22"/>
        <v>352.59794731976359</v>
      </c>
      <c r="AC38" s="20">
        <f t="shared" si="22"/>
        <v>366.3979473197636</v>
      </c>
      <c r="AD38" s="20">
        <f t="shared" si="22"/>
        <v>380.19794731976361</v>
      </c>
      <c r="AE38" s="20">
        <f t="shared" si="22"/>
        <v>393.99794731976363</v>
      </c>
      <c r="AF38" s="20">
        <f t="shared" si="22"/>
        <v>407.79794731976364</v>
      </c>
      <c r="AG38" s="20">
        <f t="shared" si="22"/>
        <v>421.59794731976365</v>
      </c>
      <c r="AH38" s="20">
        <f t="shared" si="22"/>
        <v>435.39794731976366</v>
      </c>
      <c r="AI38" s="20">
        <f t="shared" si="22"/>
        <v>449.19794731976367</v>
      </c>
      <c r="AJ38" s="20">
        <f t="shared" si="22"/>
        <v>462.99794731976368</v>
      </c>
      <c r="AK38" s="20">
        <f t="shared" si="22"/>
        <v>476.79794731976369</v>
      </c>
      <c r="AL38" s="20">
        <f t="shared" si="22"/>
        <v>490.5979473197637</v>
      </c>
      <c r="AM38" s="20">
        <f t="shared" si="22"/>
        <v>504.39794731976372</v>
      </c>
      <c r="AN38" s="20">
        <f t="shared" si="22"/>
        <v>518.19794731976367</v>
      </c>
      <c r="AO38" s="20">
        <f t="shared" si="22"/>
        <v>531.99794731976363</v>
      </c>
      <c r="AP38" s="20">
        <f t="shared" si="22"/>
        <v>545.79794731976358</v>
      </c>
      <c r="AQ38" s="20">
        <f t="shared" si="22"/>
        <v>559.59794731976353</v>
      </c>
      <c r="AR38" s="20">
        <f t="shared" si="22"/>
        <v>573.39794731976349</v>
      </c>
      <c r="AS38" s="20">
        <f t="shared" si="22"/>
        <v>587.19794731976344</v>
      </c>
      <c r="AT38" s="20">
        <f t="shared" si="22"/>
        <v>600.9979473197634</v>
      </c>
      <c r="AU38" s="20">
        <f t="shared" si="22"/>
        <v>614.79794731976335</v>
      </c>
      <c r="AV38" s="20">
        <f t="shared" si="22"/>
        <v>628.59794731976331</v>
      </c>
      <c r="AW38" s="20">
        <f t="shared" si="22"/>
        <v>642.39794731976326</v>
      </c>
      <c r="AX38" s="20">
        <f t="shared" si="22"/>
        <v>656.19794731976322</v>
      </c>
      <c r="AY38" s="20">
        <f t="shared" si="22"/>
        <v>669.99794731976317</v>
      </c>
      <c r="AZ38" s="20">
        <f t="shared" si="22"/>
        <v>683.79794731976313</v>
      </c>
      <c r="BA38" s="20">
        <f t="shared" si="22"/>
        <v>697.59794731976308</v>
      </c>
      <c r="BB38" s="20">
        <f t="shared" si="22"/>
        <v>711.39794731976303</v>
      </c>
      <c r="BC38" s="20">
        <f t="shared" si="22"/>
        <v>725.19794731976299</v>
      </c>
      <c r="BD38" s="20">
        <f t="shared" si="22"/>
        <v>738.99794731976294</v>
      </c>
      <c r="BE38" s="20">
        <f t="shared" si="22"/>
        <v>752.7979473197629</v>
      </c>
      <c r="BF38" s="20">
        <f t="shared" si="22"/>
        <v>766.59794731976285</v>
      </c>
      <c r="BG38" s="20">
        <f t="shared" si="22"/>
        <v>780.39794731976281</v>
      </c>
      <c r="BH38" s="20">
        <f t="shared" si="22"/>
        <v>794.19794731976276</v>
      </c>
    </row>
    <row r="39" spans="1:60" x14ac:dyDescent="0.25">
      <c r="A39" s="20" t="str">
        <f>A9</f>
        <v xml:space="preserve">P89 Natural Forest </v>
      </c>
      <c r="B39" s="20">
        <f>B9/1000</f>
        <v>6.8739999999999997</v>
      </c>
      <c r="C39" s="20">
        <f>C9/1000+B39</f>
        <v>15.917749000000001</v>
      </c>
      <c r="D39" s="20">
        <f t="shared" ref="D39:BH39" si="23">D9/1000+C39</f>
        <v>19.417749000000001</v>
      </c>
      <c r="E39" s="20">
        <f t="shared" si="23"/>
        <v>21.617749</v>
      </c>
      <c r="F39" s="20">
        <f t="shared" si="23"/>
        <v>22.217749000000001</v>
      </c>
      <c r="G39" s="20">
        <f t="shared" si="23"/>
        <v>22.517749000000002</v>
      </c>
      <c r="H39" s="20">
        <f t="shared" si="23"/>
        <v>22.667749000000001</v>
      </c>
      <c r="I39" s="20">
        <f t="shared" si="23"/>
        <v>22.817748999999999</v>
      </c>
      <c r="J39" s="20">
        <f t="shared" si="23"/>
        <v>22.967748999999998</v>
      </c>
      <c r="K39" s="20">
        <f t="shared" si="23"/>
        <v>23.117748999999996</v>
      </c>
      <c r="L39" s="20">
        <f t="shared" si="23"/>
        <v>23.267748999999995</v>
      </c>
      <c r="M39" s="20">
        <f t="shared" si="23"/>
        <v>23.417748999999993</v>
      </c>
      <c r="N39" s="20">
        <f t="shared" si="23"/>
        <v>23.567748999999992</v>
      </c>
      <c r="O39" s="20">
        <f t="shared" si="23"/>
        <v>23.717748999999991</v>
      </c>
      <c r="P39" s="20">
        <f t="shared" si="23"/>
        <v>23.867748999999989</v>
      </c>
      <c r="Q39" s="20">
        <f t="shared" si="23"/>
        <v>24.017748999999988</v>
      </c>
      <c r="R39" s="20">
        <f t="shared" si="23"/>
        <v>24.167748999999986</v>
      </c>
      <c r="S39" s="20">
        <f t="shared" si="23"/>
        <v>24.317748999999985</v>
      </c>
      <c r="T39" s="20">
        <f t="shared" si="23"/>
        <v>24.467748999999984</v>
      </c>
      <c r="U39" s="20">
        <f t="shared" si="23"/>
        <v>24.617748999999982</v>
      </c>
      <c r="V39" s="20">
        <f t="shared" si="23"/>
        <v>24.767748999999981</v>
      </c>
      <c r="W39" s="20">
        <f t="shared" si="23"/>
        <v>24.917748999999979</v>
      </c>
      <c r="X39" s="20">
        <f t="shared" si="23"/>
        <v>25.067748999999978</v>
      </c>
      <c r="Y39" s="20">
        <f t="shared" si="23"/>
        <v>25.217748999999976</v>
      </c>
      <c r="Z39" s="20">
        <f t="shared" si="23"/>
        <v>25.367748999999975</v>
      </c>
      <c r="AA39" s="20">
        <f t="shared" si="23"/>
        <v>25.517748999999974</v>
      </c>
      <c r="AB39" s="20">
        <f t="shared" si="23"/>
        <v>25.667748999999972</v>
      </c>
      <c r="AC39" s="20">
        <f t="shared" si="23"/>
        <v>25.817748999999971</v>
      </c>
      <c r="AD39" s="20">
        <f t="shared" si="23"/>
        <v>25.967748999999969</v>
      </c>
      <c r="AE39" s="20">
        <f t="shared" si="23"/>
        <v>26.117748999999968</v>
      </c>
      <c r="AF39" s="20">
        <f t="shared" si="23"/>
        <v>26.267748999999966</v>
      </c>
      <c r="AG39" s="20">
        <f t="shared" si="23"/>
        <v>26.417748999999965</v>
      </c>
      <c r="AH39" s="20">
        <f t="shared" si="23"/>
        <v>26.567748999999964</v>
      </c>
      <c r="AI39" s="20">
        <f t="shared" si="23"/>
        <v>26.717748999999962</v>
      </c>
      <c r="AJ39" s="20">
        <f t="shared" si="23"/>
        <v>26.867748999999961</v>
      </c>
      <c r="AK39" s="20">
        <f t="shared" si="23"/>
        <v>27.017748999999959</v>
      </c>
      <c r="AL39" s="20">
        <f t="shared" si="23"/>
        <v>27.167748999999958</v>
      </c>
      <c r="AM39" s="20">
        <f t="shared" si="23"/>
        <v>27.317748999999957</v>
      </c>
      <c r="AN39" s="20">
        <f t="shared" si="23"/>
        <v>27.467748999999955</v>
      </c>
      <c r="AO39" s="20">
        <f t="shared" si="23"/>
        <v>27.617748999999954</v>
      </c>
      <c r="AP39" s="20">
        <f t="shared" si="23"/>
        <v>27.767748999999952</v>
      </c>
      <c r="AQ39" s="20">
        <f t="shared" si="23"/>
        <v>27.917748999999951</v>
      </c>
      <c r="AR39" s="20">
        <f t="shared" si="23"/>
        <v>28.067748999999949</v>
      </c>
      <c r="AS39" s="20">
        <f t="shared" si="23"/>
        <v>28.217748999999948</v>
      </c>
      <c r="AT39" s="20">
        <f t="shared" si="23"/>
        <v>28.367748999999947</v>
      </c>
      <c r="AU39" s="20">
        <f t="shared" si="23"/>
        <v>28.517748999999945</v>
      </c>
      <c r="AV39" s="20">
        <f t="shared" si="23"/>
        <v>28.667748999999944</v>
      </c>
      <c r="AW39" s="20">
        <f t="shared" si="23"/>
        <v>28.817748999999942</v>
      </c>
      <c r="AX39" s="20">
        <f t="shared" si="23"/>
        <v>28.967748999999941</v>
      </c>
      <c r="AY39" s="20">
        <f t="shared" si="23"/>
        <v>29.117748999999939</v>
      </c>
      <c r="AZ39" s="20">
        <f t="shared" si="23"/>
        <v>29.267748999999938</v>
      </c>
      <c r="BA39" s="20">
        <f t="shared" si="23"/>
        <v>29.417748999999937</v>
      </c>
      <c r="BB39" s="20">
        <f t="shared" si="23"/>
        <v>29.567748999999935</v>
      </c>
      <c r="BC39" s="20">
        <f t="shared" si="23"/>
        <v>29.717748999999934</v>
      </c>
      <c r="BD39" s="20">
        <f t="shared" si="23"/>
        <v>29.867748999999932</v>
      </c>
      <c r="BE39" s="20">
        <f t="shared" si="23"/>
        <v>30.017748999999931</v>
      </c>
      <c r="BF39" s="20">
        <f t="shared" si="23"/>
        <v>30.16774899999993</v>
      </c>
      <c r="BG39" s="20">
        <f t="shared" si="23"/>
        <v>30.317748999999928</v>
      </c>
      <c r="BH39" s="20">
        <f t="shared" si="23"/>
        <v>30.467748999999927</v>
      </c>
    </row>
    <row r="40" spans="1:60" x14ac:dyDescent="0.25">
      <c r="F40" s="20">
        <f ca="1">F20+F18</f>
        <v>37404.277628677897</v>
      </c>
      <c r="G40" s="20">
        <f ca="1">G20+G18</f>
        <v>37802.637411040283</v>
      </c>
      <c r="H40" s="20">
        <f t="shared" ref="H40:AD40" ca="1" si="24">H20+H18</f>
        <v>37815.612491374668</v>
      </c>
      <c r="I40" s="20">
        <f t="shared" ca="1" si="24"/>
        <v>37401.937505441136</v>
      </c>
      <c r="J40" s="20">
        <f t="shared" ca="1" si="24"/>
        <v>36644.656103101617</v>
      </c>
      <c r="K40" s="20">
        <f t="shared" ca="1" si="24"/>
        <v>35464.738378773109</v>
      </c>
      <c r="L40" s="20">
        <f t="shared" ca="1" si="24"/>
        <v>34255.189359751646</v>
      </c>
      <c r="M40" s="20">
        <f ca="1">M20+M18</f>
        <v>33023.610345275723</v>
      </c>
      <c r="N40" s="20">
        <f t="shared" ca="1" si="24"/>
        <v>31777.788142556281</v>
      </c>
      <c r="O40" s="20">
        <f t="shared" ca="1" si="24"/>
        <v>30525.495161253893</v>
      </c>
      <c r="P40" s="20">
        <f t="shared" ca="1" si="24"/>
        <v>29299.240982460109</v>
      </c>
      <c r="Q40" s="20">
        <f t="shared" ca="1" si="24"/>
        <v>28116.803961679558</v>
      </c>
      <c r="R40" s="20">
        <f t="shared" ca="1" si="24"/>
        <v>26987.521622274151</v>
      </c>
      <c r="S40" s="20">
        <f t="shared" ca="1" si="24"/>
        <v>25919.393515159023</v>
      </c>
      <c r="T40" s="20">
        <f t="shared" ca="1" si="24"/>
        <v>24919.105182557825</v>
      </c>
      <c r="U40" s="20">
        <f t="shared" ca="1" si="24"/>
        <v>23992.122593575019</v>
      </c>
      <c r="V40" s="20">
        <f t="shared" ca="1" si="24"/>
        <v>23142.841059598675</v>
      </c>
      <c r="W40" s="20">
        <f t="shared" ca="1" si="24"/>
        <v>22374.772733421851</v>
      </c>
      <c r="X40" s="20">
        <f t="shared" ca="1" si="24"/>
        <v>21690.758468453325</v>
      </c>
      <c r="Y40" s="20">
        <f t="shared" ca="1" si="24"/>
        <v>21093.192412565488</v>
      </c>
      <c r="Z40" s="20">
        <f t="shared" ca="1" si="24"/>
        <v>20584.250644766496</v>
      </c>
      <c r="AA40" s="20">
        <f t="shared" ca="1" si="24"/>
        <v>20166.117956319846</v>
      </c>
      <c r="AB40" s="20">
        <f t="shared" ca="1" si="24"/>
        <v>19841.209174762938</v>
      </c>
      <c r="AC40" s="20">
        <f t="shared" ca="1" si="24"/>
        <v>19612.382961869316</v>
      </c>
      <c r="AD40" s="20">
        <f t="shared" ca="1" si="24"/>
        <v>19483.146554231113</v>
      </c>
    </row>
    <row r="41" spans="1:60" x14ac:dyDescent="0.25">
      <c r="F41" s="20"/>
      <c r="J41" s="20"/>
      <c r="AD41" s="20">
        <f ca="1">AVERAGE(K40:AD40)</f>
        <v>25613.484060565264</v>
      </c>
    </row>
    <row r="43" spans="1:60" x14ac:dyDescent="0.25">
      <c r="B43" s="20">
        <f t="shared" ref="B43:D43" si="25">B2-B17</f>
        <v>0</v>
      </c>
      <c r="C43" s="20">
        <f t="shared" si="25"/>
        <v>0</v>
      </c>
      <c r="D43" s="20">
        <f t="shared" si="25"/>
        <v>0</v>
      </c>
      <c r="E43" s="20">
        <f>E2-E17</f>
        <v>0</v>
      </c>
    </row>
    <row r="68" spans="1:6" x14ac:dyDescent="0.25">
      <c r="F68" s="23"/>
    </row>
    <row r="69" spans="1:6" x14ac:dyDescent="0.25">
      <c r="F69" s="23"/>
    </row>
    <row r="70" spans="1:6" x14ac:dyDescent="0.25">
      <c r="F70" s="23"/>
    </row>
    <row r="76" spans="1:6" x14ac:dyDescent="0.25">
      <c r="A76" s="282"/>
      <c r="B76" s="283"/>
      <c r="C76" s="283"/>
      <c r="D76" s="283"/>
      <c r="E76" s="283"/>
      <c r="F76" s="283"/>
    </row>
    <row r="77" spans="1:6" x14ac:dyDescent="0.25">
      <c r="A77" s="282"/>
      <c r="D77" s="282"/>
      <c r="E77" s="282"/>
      <c r="F77" s="282"/>
    </row>
    <row r="78" spans="1:6" x14ac:dyDescent="0.25">
      <c r="A78" s="282"/>
      <c r="B78" s="244"/>
      <c r="C78" s="244"/>
      <c r="D78" s="244"/>
      <c r="E78" s="244"/>
      <c r="F78" s="244"/>
    </row>
    <row r="79" spans="1:6" x14ac:dyDescent="0.25">
      <c r="A79" s="282"/>
      <c r="B79" s="244"/>
      <c r="C79" s="244"/>
      <c r="D79" s="244"/>
      <c r="E79" s="244"/>
      <c r="F79" s="244"/>
    </row>
    <row r="80" spans="1:6" x14ac:dyDescent="0.25">
      <c r="A80" s="283"/>
      <c r="B80" s="244"/>
      <c r="C80" s="244"/>
      <c r="D80" s="244"/>
      <c r="E80" s="244"/>
      <c r="F80" s="244"/>
    </row>
    <row r="81" spans="1:6" x14ac:dyDescent="0.25">
      <c r="A81" s="282"/>
      <c r="B81" s="244"/>
      <c r="C81" s="244"/>
      <c r="D81" s="244"/>
      <c r="E81" s="244"/>
      <c r="F81" s="244"/>
    </row>
    <row r="82" spans="1:6" x14ac:dyDescent="0.25">
      <c r="A82" s="283"/>
      <c r="B82" s="244"/>
      <c r="C82" s="244"/>
      <c r="D82" s="244"/>
      <c r="E82" s="244"/>
      <c r="F82" s="244"/>
    </row>
    <row r="84" spans="1:6" x14ac:dyDescent="0.25">
      <c r="D84" s="119"/>
      <c r="E84" s="119"/>
      <c r="F84" s="119"/>
    </row>
  </sheetData>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717A4-EAE3-41D1-97AD-2C9E906C19F5}">
  <sheetPr codeName="Sheet17">
    <tabColor rgb="FF00B050"/>
  </sheetPr>
  <dimension ref="A1:CF197"/>
  <sheetViews>
    <sheetView topLeftCell="A6" zoomScale="70" zoomScaleNormal="70" workbookViewId="0">
      <selection activeCell="C74" sqref="C74"/>
    </sheetView>
  </sheetViews>
  <sheetFormatPr defaultColWidth="9.140625" defaultRowHeight="15" x14ac:dyDescent="0.25"/>
  <cols>
    <col min="1" max="1" width="57.5703125" style="19" bestFit="1" customWidth="1"/>
    <col min="2" max="28" width="10.28515625" bestFit="1" customWidth="1"/>
    <col min="29" max="60" width="9.28515625" bestFit="1" customWidth="1"/>
    <col min="61" max="61" width="8.42578125" customWidth="1"/>
    <col min="62" max="62" width="66.42578125" style="19" bestFit="1" customWidth="1"/>
    <col min="63" max="63" width="18.28515625" style="19" bestFit="1" customWidth="1"/>
    <col min="64" max="65" width="22.42578125" style="19" bestFit="1" customWidth="1"/>
    <col min="66" max="66" width="7.85546875" style="19" bestFit="1" customWidth="1"/>
  </cols>
  <sheetData>
    <row r="1" spans="1:84" ht="18.75" x14ac:dyDescent="0.3">
      <c r="A1" s="76" t="s">
        <v>352</v>
      </c>
    </row>
    <row r="2" spans="1:84" s="40" customFormat="1" x14ac:dyDescent="0.25">
      <c r="A2" s="75"/>
      <c r="B2" s="74"/>
      <c r="C2" s="74"/>
      <c r="D2" s="74"/>
      <c r="E2" s="74"/>
      <c r="F2" s="74"/>
      <c r="G2" s="74"/>
      <c r="H2" s="74"/>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3"/>
      <c r="BK2" s="19"/>
      <c r="BL2" s="19"/>
      <c r="BM2" s="19"/>
      <c r="BN2" s="19"/>
    </row>
    <row r="3" spans="1:84" s="19" customFormat="1" x14ac:dyDescent="0.25">
      <c r="A3" s="72" t="s">
        <v>353</v>
      </c>
      <c r="B3" s="66">
        <v>2022</v>
      </c>
      <c r="C3" s="66">
        <v>2023</v>
      </c>
      <c r="D3" s="66">
        <v>2024</v>
      </c>
      <c r="E3" s="66">
        <v>2025</v>
      </c>
      <c r="F3" s="66">
        <v>2026</v>
      </c>
      <c r="G3" s="66">
        <v>2027</v>
      </c>
      <c r="H3" s="66">
        <v>2028</v>
      </c>
      <c r="I3" s="66">
        <v>2029</v>
      </c>
      <c r="J3" s="66">
        <v>2030</v>
      </c>
      <c r="K3" s="66">
        <v>2031</v>
      </c>
      <c r="L3" s="66">
        <v>2032</v>
      </c>
      <c r="M3" s="66">
        <v>2033</v>
      </c>
      <c r="N3" s="66">
        <v>2034</v>
      </c>
      <c r="O3" s="66">
        <v>2035</v>
      </c>
      <c r="P3" s="66">
        <v>2036</v>
      </c>
      <c r="Q3" s="66">
        <v>2037</v>
      </c>
      <c r="R3" s="66">
        <v>2038</v>
      </c>
      <c r="S3" s="66">
        <v>2039</v>
      </c>
      <c r="T3" s="66">
        <v>2040</v>
      </c>
      <c r="U3" s="66">
        <v>2041</v>
      </c>
      <c r="V3" s="66">
        <v>2042</v>
      </c>
      <c r="W3" s="66">
        <v>2043</v>
      </c>
      <c r="X3" s="66">
        <v>2044</v>
      </c>
      <c r="Y3" s="66">
        <v>2045</v>
      </c>
      <c r="Z3" s="66">
        <v>2046</v>
      </c>
      <c r="AA3" s="66">
        <v>2047</v>
      </c>
      <c r="AB3" s="66">
        <v>2048</v>
      </c>
      <c r="AC3" s="66">
        <v>2049</v>
      </c>
      <c r="AD3" s="66">
        <v>2050</v>
      </c>
      <c r="AE3" s="66">
        <v>2051</v>
      </c>
      <c r="AF3" s="66">
        <v>2052</v>
      </c>
      <c r="AG3" s="66">
        <v>2053</v>
      </c>
      <c r="AH3" s="66">
        <v>2054</v>
      </c>
      <c r="AI3" s="66">
        <v>2055</v>
      </c>
      <c r="AJ3" s="66">
        <v>2056</v>
      </c>
      <c r="AK3" s="66">
        <v>2057</v>
      </c>
      <c r="AL3" s="66">
        <v>2058</v>
      </c>
      <c r="AM3" s="66">
        <v>2059</v>
      </c>
      <c r="AN3" s="66">
        <v>2060</v>
      </c>
      <c r="AO3" s="66">
        <v>2061</v>
      </c>
      <c r="AP3" s="66">
        <v>2062</v>
      </c>
      <c r="AQ3" s="66">
        <v>2063</v>
      </c>
      <c r="AR3" s="66">
        <v>2064</v>
      </c>
      <c r="AS3" s="66">
        <v>2065</v>
      </c>
      <c r="AT3" s="66">
        <v>2066</v>
      </c>
      <c r="AU3" s="66">
        <v>2067</v>
      </c>
      <c r="AV3" s="66">
        <v>2068</v>
      </c>
      <c r="AW3" s="66">
        <v>2069</v>
      </c>
      <c r="AX3" s="66">
        <v>2070</v>
      </c>
      <c r="AY3" s="66">
        <v>2071</v>
      </c>
      <c r="AZ3" s="66">
        <v>2072</v>
      </c>
      <c r="BA3" s="66">
        <v>2073</v>
      </c>
      <c r="BB3" s="66">
        <v>2074</v>
      </c>
      <c r="BC3" s="66">
        <v>2075</v>
      </c>
      <c r="BD3" s="66">
        <v>2076</v>
      </c>
      <c r="BE3" s="66">
        <v>2077</v>
      </c>
      <c r="BF3" s="66">
        <v>2078</v>
      </c>
      <c r="BG3" s="66">
        <v>2079</v>
      </c>
      <c r="BH3" s="66">
        <v>2080</v>
      </c>
      <c r="BI3" s="69"/>
    </row>
    <row r="4" spans="1:84" s="19" customFormat="1" x14ac:dyDescent="0.25">
      <c r="A4" s="61" t="str">
        <f>Afforestation!A2</f>
        <v>Total Planting</v>
      </c>
      <c r="B4" s="70">
        <f t="shared" ref="B4:AG4" si="0">SUM(B5:B7)</f>
        <v>89538.905225076393</v>
      </c>
      <c r="C4" s="70">
        <f t="shared" si="0"/>
        <v>76325.669666666668</v>
      </c>
      <c r="D4" s="70">
        <f t="shared" si="0"/>
        <v>62600</v>
      </c>
      <c r="E4" s="70">
        <f t="shared" ca="1" si="0"/>
        <v>39252.830783683901</v>
      </c>
      <c r="F4" s="70">
        <f t="shared" si="0"/>
        <v>27600</v>
      </c>
      <c r="G4" s="70">
        <f t="shared" si="0"/>
        <v>27400</v>
      </c>
      <c r="H4" s="70">
        <f t="shared" si="0"/>
        <v>27300</v>
      </c>
      <c r="I4" s="70">
        <f t="shared" si="0"/>
        <v>27300</v>
      </c>
      <c r="J4" s="70">
        <f t="shared" si="0"/>
        <v>27300</v>
      </c>
      <c r="K4" s="70">
        <f t="shared" si="0"/>
        <v>27300</v>
      </c>
      <c r="L4" s="70">
        <f t="shared" si="0"/>
        <v>27300</v>
      </c>
      <c r="M4" s="70">
        <f t="shared" si="0"/>
        <v>27300</v>
      </c>
      <c r="N4" s="70">
        <f t="shared" si="0"/>
        <v>27300</v>
      </c>
      <c r="O4" s="70">
        <f t="shared" si="0"/>
        <v>27300</v>
      </c>
      <c r="P4" s="70">
        <f t="shared" si="0"/>
        <v>27300</v>
      </c>
      <c r="Q4" s="70">
        <f t="shared" si="0"/>
        <v>27300</v>
      </c>
      <c r="R4" s="70">
        <f t="shared" si="0"/>
        <v>27300</v>
      </c>
      <c r="S4" s="70">
        <f t="shared" si="0"/>
        <v>27300</v>
      </c>
      <c r="T4" s="70">
        <f t="shared" si="0"/>
        <v>27300</v>
      </c>
      <c r="U4" s="70">
        <f t="shared" si="0"/>
        <v>27300</v>
      </c>
      <c r="V4" s="70">
        <f t="shared" si="0"/>
        <v>27300</v>
      </c>
      <c r="W4" s="70">
        <f t="shared" si="0"/>
        <v>27300</v>
      </c>
      <c r="X4" s="70">
        <f t="shared" si="0"/>
        <v>27300</v>
      </c>
      <c r="Y4" s="70">
        <f t="shared" si="0"/>
        <v>27300</v>
      </c>
      <c r="Z4" s="70">
        <f t="shared" si="0"/>
        <v>27300</v>
      </c>
      <c r="AA4" s="70">
        <f t="shared" si="0"/>
        <v>27300</v>
      </c>
      <c r="AB4" s="70">
        <f t="shared" si="0"/>
        <v>27300</v>
      </c>
      <c r="AC4" s="70">
        <f t="shared" si="0"/>
        <v>27300</v>
      </c>
      <c r="AD4" s="70">
        <f t="shared" si="0"/>
        <v>27300</v>
      </c>
      <c r="AE4" s="70">
        <f t="shared" si="0"/>
        <v>27300</v>
      </c>
      <c r="AF4" s="70">
        <f t="shared" si="0"/>
        <v>27300</v>
      </c>
      <c r="AG4" s="70">
        <f t="shared" si="0"/>
        <v>27300</v>
      </c>
      <c r="AH4" s="70">
        <f t="shared" ref="AH4:BH4" si="1">SUM(AH5:AH7)</f>
        <v>27300</v>
      </c>
      <c r="AI4" s="70">
        <f t="shared" si="1"/>
        <v>27300</v>
      </c>
      <c r="AJ4" s="70">
        <f t="shared" si="1"/>
        <v>27300</v>
      </c>
      <c r="AK4" s="70">
        <f t="shared" si="1"/>
        <v>27300</v>
      </c>
      <c r="AL4" s="70">
        <f t="shared" si="1"/>
        <v>27300</v>
      </c>
      <c r="AM4" s="70">
        <f t="shared" si="1"/>
        <v>27300</v>
      </c>
      <c r="AN4" s="70">
        <f t="shared" si="1"/>
        <v>27300</v>
      </c>
      <c r="AO4" s="70">
        <f t="shared" si="1"/>
        <v>27300</v>
      </c>
      <c r="AP4" s="70">
        <f t="shared" si="1"/>
        <v>27300</v>
      </c>
      <c r="AQ4" s="70">
        <f t="shared" si="1"/>
        <v>27300</v>
      </c>
      <c r="AR4" s="70">
        <f t="shared" si="1"/>
        <v>27300</v>
      </c>
      <c r="AS4" s="70">
        <f t="shared" si="1"/>
        <v>27300</v>
      </c>
      <c r="AT4" s="70">
        <f t="shared" si="1"/>
        <v>27300</v>
      </c>
      <c r="AU4" s="70">
        <f t="shared" si="1"/>
        <v>27300</v>
      </c>
      <c r="AV4" s="70">
        <f t="shared" si="1"/>
        <v>27300</v>
      </c>
      <c r="AW4" s="70">
        <f t="shared" si="1"/>
        <v>27300</v>
      </c>
      <c r="AX4" s="70">
        <f t="shared" si="1"/>
        <v>27300</v>
      </c>
      <c r="AY4" s="70">
        <f t="shared" si="1"/>
        <v>27300</v>
      </c>
      <c r="AZ4" s="70">
        <f t="shared" si="1"/>
        <v>27300</v>
      </c>
      <c r="BA4" s="70">
        <f t="shared" si="1"/>
        <v>27300</v>
      </c>
      <c r="BB4" s="70">
        <f t="shared" si="1"/>
        <v>27300</v>
      </c>
      <c r="BC4" s="70">
        <f t="shared" si="1"/>
        <v>27300</v>
      </c>
      <c r="BD4" s="70">
        <f t="shared" si="1"/>
        <v>27300</v>
      </c>
      <c r="BE4" s="70">
        <f t="shared" si="1"/>
        <v>27300</v>
      </c>
      <c r="BF4" s="70">
        <f t="shared" si="1"/>
        <v>27300</v>
      </c>
      <c r="BG4" s="70">
        <f t="shared" si="1"/>
        <v>27300</v>
      </c>
      <c r="BH4" s="70">
        <f t="shared" si="1"/>
        <v>27300</v>
      </c>
      <c r="BI4" s="69"/>
      <c r="BJ4" s="42"/>
      <c r="BK4" s="42"/>
      <c r="BL4" s="42"/>
      <c r="BM4" s="42"/>
      <c r="BN4" s="42"/>
    </row>
    <row r="5" spans="1:84" s="19" customFormat="1" x14ac:dyDescent="0.25">
      <c r="A5" s="61" t="str">
        <f>Afforestation!A3</f>
        <v>Permanent Exotic Pine</v>
      </c>
      <c r="B5" s="85">
        <f>IF(Model!$B$6="MPI Central",Afforestation!B3,IF(Model!$B$6="MPI Lower",Afforestation!B13,IF(Model!$B$6="MPI Upper",Afforestation!B8,Afforestation!B18)))</f>
        <v>12728.6473197634</v>
      </c>
      <c r="C5" s="85">
        <f>IF(Model!$B$6="MPI Central",Afforestation!C3,IF(Model!$B$6="MPI Lower",Afforestation!C13,IF(Model!$B$6="MPI Upper",Afforestation!C8,Afforestation!C18)))</f>
        <v>10169.300000000001</v>
      </c>
      <c r="D5" s="85">
        <f>IF(Model!$B$6="MPI Central",Afforestation!D3,IF(Model!$B$6="MPI Lower",Afforestation!D13,IF(Model!$B$6="MPI Upper",Afforestation!D8,Afforestation!D18)))</f>
        <v>14500</v>
      </c>
      <c r="E5" s="85">
        <f>IF(Model!$B$6="MPI Central",Afforestation!E3,IF(Model!$B$6="MPI Lower",Afforestation!E13,IF(Model!$B$6="MPI Upper",Afforestation!E8,Afforestation!E18)))</f>
        <v>12300</v>
      </c>
      <c r="F5" s="85">
        <f>IF(Model!$B$6="MPI Central",Afforestation!F3,IF(Model!$B$6="MPI Lower",Afforestation!F13,IF(Model!$B$6="MPI Upper",Afforestation!F8,Afforestation!F18)))</f>
        <v>9200</v>
      </c>
      <c r="G5" s="85">
        <f>IF(Model!$B$6="MPI Central",Afforestation!G3,IF(Model!$B$6="MPI Lower",Afforestation!G13,IF(Model!$B$6="MPI Upper",Afforestation!G8,Afforestation!G18)))</f>
        <v>9200</v>
      </c>
      <c r="H5" s="85">
        <f>IF(Model!$B$6="MPI Central",Afforestation!H3,IF(Model!$B$6="MPI Lower",Afforestation!H13,IF(Model!$B$6="MPI Upper",Afforestation!H8,Afforestation!H18)))</f>
        <v>9200</v>
      </c>
      <c r="I5" s="85">
        <f>IF(Model!$B$6="MPI Central",Afforestation!I3,IF(Model!$B$6="MPI Lower",Afforestation!I13,IF(Model!$B$6="MPI Upper",Afforestation!I8,Afforestation!I18)))</f>
        <v>9200</v>
      </c>
      <c r="J5" s="85">
        <f>IF(Model!$B$6="MPI Central",Afforestation!J3,IF(Model!$B$6="MPI Lower",Afforestation!J13,IF(Model!$B$6="MPI Upper",Afforestation!J8,Afforestation!J18)))</f>
        <v>9200</v>
      </c>
      <c r="K5" s="85">
        <f>IF(Model!$B$6="MPI Central",Afforestation!K3,IF(Model!$B$6="MPI Lower",Afforestation!K13,IF(Model!$B$6="MPI Upper",Afforestation!K8,Afforestation!K18)))</f>
        <v>9200</v>
      </c>
      <c r="L5" s="85">
        <f>IF(Model!$B$6="MPI Central",Afforestation!L3,IF(Model!$B$6="MPI Lower",Afforestation!L13,IF(Model!$B$6="MPI Upper",Afforestation!L8,Afforestation!L18)))</f>
        <v>9200</v>
      </c>
      <c r="M5" s="85">
        <f>IF(Model!$B$6="MPI Central",Afforestation!M3,IF(Model!$B$6="MPI Lower",Afforestation!M13,IF(Model!$B$6="MPI Upper",Afforestation!M8,Afforestation!M18)))</f>
        <v>9200</v>
      </c>
      <c r="N5" s="85">
        <f>IF(Model!$B$6="MPI Central",Afforestation!N3,IF(Model!$B$6="MPI Lower",Afforestation!N13,IF(Model!$B$6="MPI Upper",Afforestation!N8,Afforestation!N18)))</f>
        <v>9200</v>
      </c>
      <c r="O5" s="85">
        <f>IF(Model!$B$6="MPI Central",Afforestation!O3,IF(Model!$B$6="MPI Lower",Afforestation!O13,IF(Model!$B$6="MPI Upper",Afforestation!O8,Afforestation!O18)))</f>
        <v>9200</v>
      </c>
      <c r="P5" s="85">
        <f>IF(Model!$B$6="MPI Central",Afforestation!P3,IF(Model!$B$6="MPI Lower",Afforestation!P13,IF(Model!$B$6="MPI Upper",Afforestation!P8,Afforestation!P18)))</f>
        <v>9200</v>
      </c>
      <c r="Q5" s="85">
        <f>IF(Model!$B$6="MPI Central",Afforestation!Q3,IF(Model!$B$6="MPI Lower",Afforestation!Q13,IF(Model!$B$6="MPI Upper",Afforestation!Q8,Afforestation!Q18)))</f>
        <v>9200</v>
      </c>
      <c r="R5" s="85">
        <f>IF(Model!$B$6="MPI Central",Afforestation!R3,IF(Model!$B$6="MPI Lower",Afforestation!R13,IF(Model!$B$6="MPI Upper",Afforestation!R8,Afforestation!R18)))</f>
        <v>9200</v>
      </c>
      <c r="S5" s="85">
        <f>IF(Model!$B$6="MPI Central",Afforestation!S3,IF(Model!$B$6="MPI Lower",Afforestation!S13,IF(Model!$B$6="MPI Upper",Afforestation!S8,Afforestation!S18)))</f>
        <v>9200</v>
      </c>
      <c r="T5" s="85">
        <f>IF(Model!$B$6="MPI Central",Afforestation!T3,IF(Model!$B$6="MPI Lower",Afforestation!T13,IF(Model!$B$6="MPI Upper",Afforestation!T8,Afforestation!T18)))</f>
        <v>9200</v>
      </c>
      <c r="U5" s="85">
        <f>IF(Model!$B$6="MPI Central",Afforestation!U3,IF(Model!$B$6="MPI Lower",Afforestation!U13,IF(Model!$B$6="MPI Upper",Afforestation!U8,Afforestation!U18)))</f>
        <v>9200</v>
      </c>
      <c r="V5" s="85">
        <f>IF(Model!$B$6="MPI Central",Afforestation!V3,IF(Model!$B$6="MPI Lower",Afforestation!V13,IF(Model!$B$6="MPI Upper",Afforestation!V8,Afforestation!V18)))</f>
        <v>9200</v>
      </c>
      <c r="W5" s="85">
        <f>IF(Model!$B$6="MPI Central",Afforestation!W3,IF(Model!$B$6="MPI Lower",Afforestation!W13,IF(Model!$B$6="MPI Upper",Afforestation!W8,Afforestation!W18)))</f>
        <v>9200</v>
      </c>
      <c r="X5" s="85">
        <f>IF(Model!$B$6="MPI Central",Afforestation!X3,IF(Model!$B$6="MPI Lower",Afforestation!X13,IF(Model!$B$6="MPI Upper",Afforestation!X8,Afforestation!X18)))</f>
        <v>9200</v>
      </c>
      <c r="Y5" s="85">
        <f>IF(Model!$B$6="MPI Central",Afforestation!Y3,IF(Model!$B$6="MPI Lower",Afforestation!Y13,IF(Model!$B$6="MPI Upper",Afforestation!Y8,Afforestation!Y18)))</f>
        <v>9200</v>
      </c>
      <c r="Z5" s="85">
        <f>IF(Model!$B$6="MPI Central",Afforestation!Z3,IF(Model!$B$6="MPI Lower",Afforestation!Z13,IF(Model!$B$6="MPI Upper",Afforestation!Z8,Afforestation!Z18)))</f>
        <v>9200</v>
      </c>
      <c r="AA5" s="85">
        <f>IF(Model!$B$6="MPI Central",Afforestation!AA3,IF(Model!$B$6="MPI Lower",Afforestation!AA13,IF(Model!$B$6="MPI Upper",Afforestation!AA8,Afforestation!AA18)))</f>
        <v>9200</v>
      </c>
      <c r="AB5" s="85">
        <f>IF(Model!$B$6="MPI Central",Afforestation!AB3,IF(Model!$B$6="MPI Lower",Afforestation!AB13,IF(Model!$B$6="MPI Upper",Afforestation!AB8,Afforestation!AB18)))</f>
        <v>9200</v>
      </c>
      <c r="AC5" s="85">
        <f>IF(Model!$B$6="MPI Central",Afforestation!AC3,IF(Model!$B$6="MPI Lower",Afforestation!AC13,IF(Model!$B$6="MPI Upper",Afforestation!AC8,Afforestation!AC18)))</f>
        <v>9200</v>
      </c>
      <c r="AD5" s="85">
        <f>IF(Model!$B$6="MPI Central",Afforestation!AD3,IF(Model!$B$6="MPI Lower",Afforestation!AD13,IF(Model!$B$6="MPI Upper",Afforestation!AD8,Afforestation!AD18)))</f>
        <v>9200</v>
      </c>
      <c r="AE5" s="85">
        <f>IF(Model!$B$6="MPI Central",Afforestation!AE3,IF(Model!$B$6="MPI Lower",Afforestation!AE13,IF(Model!$B$6="MPI Upper",Afforestation!AE8,Afforestation!AE18)))</f>
        <v>9200</v>
      </c>
      <c r="AF5" s="85">
        <f>IF(Model!$B$6="MPI Central",Afforestation!AF3,IF(Model!$B$6="MPI Lower",Afforestation!AF13,IF(Model!$B$6="MPI Upper",Afforestation!AF8,Afforestation!AF18)))</f>
        <v>9200</v>
      </c>
      <c r="AG5" s="85">
        <f>IF(Model!$B$6="MPI Central",Afforestation!AG3,IF(Model!$B$6="MPI Lower",Afforestation!AG13,IF(Model!$B$6="MPI Upper",Afforestation!AG8,Afforestation!AG18)))</f>
        <v>9200</v>
      </c>
      <c r="AH5" s="85">
        <f>IF(Model!$B$6="MPI Central",Afforestation!AH3,IF(Model!$B$6="MPI Lower",Afforestation!AH13,IF(Model!$B$6="MPI Upper",Afforestation!AH8,Afforestation!AH18)))</f>
        <v>9200</v>
      </c>
      <c r="AI5" s="85">
        <f>IF(Model!$B$6="MPI Central",Afforestation!AI3,IF(Model!$B$6="MPI Lower",Afforestation!AI13,IF(Model!$B$6="MPI Upper",Afforestation!AI8,Afforestation!AI18)))</f>
        <v>9200</v>
      </c>
      <c r="AJ5" s="85">
        <f>IF(Model!$B$6="MPI Central",Afforestation!AJ3,IF(Model!$B$6="MPI Lower",Afforestation!AJ13,IF(Model!$B$6="MPI Upper",Afforestation!AJ8,Afforestation!AJ18)))</f>
        <v>9200</v>
      </c>
      <c r="AK5" s="85">
        <f>IF(Model!$B$6="MPI Central",Afforestation!AK3,IF(Model!$B$6="MPI Lower",Afforestation!AK13,IF(Model!$B$6="MPI Upper",Afforestation!AK8,Afforestation!AK18)))</f>
        <v>9200</v>
      </c>
      <c r="AL5" s="85">
        <f>IF(Model!$B$6="MPI Central",Afforestation!AL3,IF(Model!$B$6="MPI Lower",Afforestation!AL13,IF(Model!$B$6="MPI Upper",Afforestation!AL8,Afforestation!AL18)))</f>
        <v>9200</v>
      </c>
      <c r="AM5" s="85">
        <f>IF(Model!$B$6="MPI Central",Afforestation!AM3,IF(Model!$B$6="MPI Lower",Afforestation!AM13,IF(Model!$B$6="MPI Upper",Afforestation!AM8,Afforestation!AM18)))</f>
        <v>9200</v>
      </c>
      <c r="AN5" s="85">
        <f>IF(Model!$B$6="MPI Central",Afforestation!AN3,IF(Model!$B$6="MPI Lower",Afforestation!AN13,IF(Model!$B$6="MPI Upper",Afforestation!AN8,Afforestation!AN18)))</f>
        <v>9200</v>
      </c>
      <c r="AO5" s="85">
        <f>IF(Model!$B$6="MPI Central",Afforestation!AO3,IF(Model!$B$6="MPI Lower",Afforestation!AO13,IF(Model!$B$6="MPI Upper",Afforestation!AO8,Afforestation!AO18)))</f>
        <v>9200</v>
      </c>
      <c r="AP5" s="85">
        <f>IF(Model!$B$6="MPI Central",Afforestation!AP3,IF(Model!$B$6="MPI Lower",Afforestation!AP13,IF(Model!$B$6="MPI Upper",Afforestation!AP8,Afforestation!AP18)))</f>
        <v>9200</v>
      </c>
      <c r="AQ5" s="85">
        <f>IF(Model!$B$6="MPI Central",Afforestation!AQ3,IF(Model!$B$6="MPI Lower",Afforestation!AQ13,IF(Model!$B$6="MPI Upper",Afforestation!AQ8,Afforestation!AQ18)))</f>
        <v>9200</v>
      </c>
      <c r="AR5" s="85">
        <f>IF(Model!$B$6="MPI Central",Afforestation!AR3,IF(Model!$B$6="MPI Lower",Afforestation!AR13,IF(Model!$B$6="MPI Upper",Afforestation!AR8,Afforestation!AR18)))</f>
        <v>9200</v>
      </c>
      <c r="AS5" s="85">
        <f>IF(Model!$B$6="MPI Central",Afforestation!AS3,IF(Model!$B$6="MPI Lower",Afforestation!AS13,IF(Model!$B$6="MPI Upper",Afforestation!AS8,Afforestation!AS18)))</f>
        <v>9200</v>
      </c>
      <c r="AT5" s="85">
        <f>IF(Model!$B$6="MPI Central",Afforestation!AT3,IF(Model!$B$6="MPI Lower",Afforestation!AT13,IF(Model!$B$6="MPI Upper",Afforestation!AT8,Afforestation!AT18)))</f>
        <v>9200</v>
      </c>
      <c r="AU5" s="85">
        <f>IF(Model!$B$6="MPI Central",Afforestation!AU3,IF(Model!$B$6="MPI Lower",Afforestation!AU13,IF(Model!$B$6="MPI Upper",Afforestation!AU8,Afforestation!AU18)))</f>
        <v>9200</v>
      </c>
      <c r="AV5" s="85">
        <f>IF(Model!$B$6="MPI Central",Afforestation!AV3,IF(Model!$B$6="MPI Lower",Afforestation!AV13,IF(Model!$B$6="MPI Upper",Afforestation!AV8,Afforestation!AV18)))</f>
        <v>9200</v>
      </c>
      <c r="AW5" s="85">
        <f>IF(Model!$B$6="MPI Central",Afforestation!AW3,IF(Model!$B$6="MPI Lower",Afforestation!AW13,IF(Model!$B$6="MPI Upper",Afforestation!AW8,Afforestation!AW18)))</f>
        <v>9200</v>
      </c>
      <c r="AX5" s="85">
        <f>IF(Model!$B$6="MPI Central",Afforestation!AX3,IF(Model!$B$6="MPI Lower",Afforestation!AX13,IF(Model!$B$6="MPI Upper",Afforestation!AX8,Afforestation!AX18)))</f>
        <v>9200</v>
      </c>
      <c r="AY5" s="85">
        <f>IF(Model!$B$6="MPI Central",Afforestation!AY3,IF(Model!$B$6="MPI Lower",Afforestation!AY13,IF(Model!$B$6="MPI Upper",Afforestation!AY8,Afforestation!AY18)))</f>
        <v>9200</v>
      </c>
      <c r="AZ5" s="85">
        <f>IF(Model!$B$6="MPI Central",Afforestation!AZ3,IF(Model!$B$6="MPI Lower",Afforestation!AZ13,IF(Model!$B$6="MPI Upper",Afforestation!AZ8,Afforestation!AZ18)))</f>
        <v>9200</v>
      </c>
      <c r="BA5" s="85">
        <f>IF(Model!$B$6="MPI Central",Afforestation!BA3,IF(Model!$B$6="MPI Lower",Afforestation!BA13,IF(Model!$B$6="MPI Upper",Afforestation!BA8,Afforestation!BA18)))</f>
        <v>9200</v>
      </c>
      <c r="BB5" s="85">
        <f>IF(Model!$B$6="MPI Central",Afforestation!BB3,IF(Model!$B$6="MPI Lower",Afforestation!BB13,IF(Model!$B$6="MPI Upper",Afforestation!BB8,Afforestation!BB18)))</f>
        <v>9200</v>
      </c>
      <c r="BC5" s="85">
        <f>IF(Model!$B$6="MPI Central",Afforestation!BC3,IF(Model!$B$6="MPI Lower",Afforestation!BC13,IF(Model!$B$6="MPI Upper",Afforestation!BC8,Afforestation!BC18)))</f>
        <v>9200</v>
      </c>
      <c r="BD5" s="85">
        <f>IF(Model!$B$6="MPI Central",Afforestation!BD3,IF(Model!$B$6="MPI Lower",Afforestation!BD13,IF(Model!$B$6="MPI Upper",Afforestation!BD8,Afforestation!BD18)))</f>
        <v>9200</v>
      </c>
      <c r="BE5" s="85">
        <f>IF(Model!$B$6="MPI Central",Afforestation!BE3,IF(Model!$B$6="MPI Lower",Afforestation!BE13,IF(Model!$B$6="MPI Upper",Afforestation!BE8,Afforestation!BE18)))</f>
        <v>9200</v>
      </c>
      <c r="BF5" s="85">
        <f>IF(Model!$B$6="MPI Central",Afforestation!BF3,IF(Model!$B$6="MPI Lower",Afforestation!BF13,IF(Model!$B$6="MPI Upper",Afforestation!BF8,Afforestation!BF18)))</f>
        <v>9200</v>
      </c>
      <c r="BG5" s="85">
        <f>IF(Model!$B$6="MPI Central",Afforestation!BG3,IF(Model!$B$6="MPI Lower",Afforestation!BG13,IF(Model!$B$6="MPI Upper",Afforestation!BG8,Afforestation!BG18)))</f>
        <v>9200</v>
      </c>
      <c r="BH5" s="85">
        <f>IF(Model!$B$6="MPI Central",Afforestation!BH3,IF(Model!$B$6="MPI Lower",Afforestation!BH13,IF(Model!$B$6="MPI Upper",Afforestation!BH8,Afforestation!BH18)))</f>
        <v>9200</v>
      </c>
      <c r="BI5" s="69"/>
    </row>
    <row r="6" spans="1:84" s="19" customFormat="1" x14ac:dyDescent="0.25">
      <c r="A6" s="61" t="str">
        <f>Afforestation!A4</f>
        <v xml:space="preserve">P89 Natural Forest </v>
      </c>
      <c r="B6" s="85">
        <f>IF(Model!$B$6="MPI Central",Afforestation!B4,IF(Model!$B$6="MPI Lower",Afforestation!B14,IF(Model!$B$6="MPI Upper",Afforestation!B9,Afforestation!B19)))</f>
        <v>6874.1620393486237</v>
      </c>
      <c r="C6" s="85">
        <f>IF(Model!$B$6="MPI Central",Afforestation!C4,IF(Model!$B$6="MPI Lower",Afforestation!C14,IF(Model!$B$6="MPI Upper",Afforestation!C9,Afforestation!C19)))</f>
        <v>7786.0846666666675</v>
      </c>
      <c r="D6" s="85">
        <f>IF(Model!$B$6="MPI Central",Afforestation!D4,IF(Model!$B$6="MPI Lower",Afforestation!D14,IF(Model!$B$6="MPI Upper",Afforestation!D9,Afforestation!D19)))</f>
        <v>3500</v>
      </c>
      <c r="E6" s="85">
        <f>IF(Model!$B$6="MPI Central",Afforestation!E4,IF(Model!$B$6="MPI Lower",Afforestation!E14,IF(Model!$B$6="MPI Upper",Afforestation!E9,Afforestation!E19)))</f>
        <v>2200</v>
      </c>
      <c r="F6" s="85">
        <f>IF(Model!$B$6="MPI Central",Afforestation!F4,IF(Model!$B$6="MPI Lower",Afforestation!F14,IF(Model!$B$6="MPI Upper",Afforestation!F9,Afforestation!F19)))</f>
        <v>400</v>
      </c>
      <c r="G6" s="85">
        <f>IF(Model!$B$6="MPI Central",Afforestation!G4,IF(Model!$B$6="MPI Lower",Afforestation!G14,IF(Model!$B$6="MPI Upper",Afforestation!G9,Afforestation!G19)))</f>
        <v>200</v>
      </c>
      <c r="H6" s="85">
        <f>IF(Model!$B$6="MPI Central",Afforestation!H4,IF(Model!$B$6="MPI Lower",Afforestation!H14,IF(Model!$B$6="MPI Upper",Afforestation!H9,Afforestation!H19)))</f>
        <v>100</v>
      </c>
      <c r="I6" s="85">
        <f>IF(Model!$B$6="MPI Central",Afforestation!I4,IF(Model!$B$6="MPI Lower",Afforestation!I14,IF(Model!$B$6="MPI Upper",Afforestation!I9,Afforestation!I19)))</f>
        <v>100</v>
      </c>
      <c r="J6" s="85">
        <f>IF(Model!$B$6="MPI Central",Afforestation!J4,IF(Model!$B$6="MPI Lower",Afforestation!J14,IF(Model!$B$6="MPI Upper",Afforestation!J9,Afforestation!J19)))</f>
        <v>100</v>
      </c>
      <c r="K6" s="85">
        <f>IF(Model!$B$6="MPI Central",Afforestation!K4,IF(Model!$B$6="MPI Lower",Afforestation!K14,IF(Model!$B$6="MPI Upper",Afforestation!K9,Afforestation!K19)))</f>
        <v>100</v>
      </c>
      <c r="L6" s="85">
        <f>IF(Model!$B$6="MPI Central",Afforestation!L4,IF(Model!$B$6="MPI Lower",Afforestation!L14,IF(Model!$B$6="MPI Upper",Afforestation!L9,Afforestation!L19)))</f>
        <v>100</v>
      </c>
      <c r="M6" s="85">
        <f>IF(Model!$B$6="MPI Central",Afforestation!M4,IF(Model!$B$6="MPI Lower",Afforestation!M14,IF(Model!$B$6="MPI Upper",Afforestation!M9,Afforestation!M19)))</f>
        <v>100</v>
      </c>
      <c r="N6" s="85">
        <f>IF(Model!$B$6="MPI Central",Afforestation!N4,IF(Model!$B$6="MPI Lower",Afforestation!N14,IF(Model!$B$6="MPI Upper",Afforestation!N9,Afforestation!N19)))</f>
        <v>100</v>
      </c>
      <c r="O6" s="85">
        <f>IF(Model!$B$6="MPI Central",Afforestation!O4,IF(Model!$B$6="MPI Lower",Afforestation!O14,IF(Model!$B$6="MPI Upper",Afforestation!O9,Afforestation!O19)))</f>
        <v>100</v>
      </c>
      <c r="P6" s="85">
        <f>IF(Model!$B$6="MPI Central",Afforestation!P4,IF(Model!$B$6="MPI Lower",Afforestation!P14,IF(Model!$B$6="MPI Upper",Afforestation!P9,Afforestation!P19)))</f>
        <v>100</v>
      </c>
      <c r="Q6" s="85">
        <f>IF(Model!$B$6="MPI Central",Afforestation!Q4,IF(Model!$B$6="MPI Lower",Afforestation!Q14,IF(Model!$B$6="MPI Upper",Afforestation!Q9,Afforestation!Q19)))</f>
        <v>100</v>
      </c>
      <c r="R6" s="85">
        <f>IF(Model!$B$6="MPI Central",Afforestation!R4,IF(Model!$B$6="MPI Lower",Afforestation!R14,IF(Model!$B$6="MPI Upper",Afforestation!R9,Afforestation!R19)))</f>
        <v>100</v>
      </c>
      <c r="S6" s="85">
        <f>IF(Model!$B$6="MPI Central",Afforestation!S4,IF(Model!$B$6="MPI Lower",Afforestation!S14,IF(Model!$B$6="MPI Upper",Afforestation!S9,Afforestation!S19)))</f>
        <v>100</v>
      </c>
      <c r="T6" s="85">
        <f>IF(Model!$B$6="MPI Central",Afforestation!T4,IF(Model!$B$6="MPI Lower",Afforestation!T14,IF(Model!$B$6="MPI Upper",Afforestation!T9,Afforestation!T19)))</f>
        <v>100</v>
      </c>
      <c r="U6" s="85">
        <f>IF(Model!$B$6="MPI Central",Afforestation!U4,IF(Model!$B$6="MPI Lower",Afforestation!U14,IF(Model!$B$6="MPI Upper",Afforestation!U9,Afforestation!U19)))</f>
        <v>100</v>
      </c>
      <c r="V6" s="85">
        <f>IF(Model!$B$6="MPI Central",Afforestation!V4,IF(Model!$B$6="MPI Lower",Afforestation!V14,IF(Model!$B$6="MPI Upper",Afforestation!V9,Afforestation!V19)))</f>
        <v>100</v>
      </c>
      <c r="W6" s="85">
        <f>IF(Model!$B$6="MPI Central",Afforestation!W4,IF(Model!$B$6="MPI Lower",Afforestation!W14,IF(Model!$B$6="MPI Upper",Afforestation!W9,Afforestation!W19)))</f>
        <v>100</v>
      </c>
      <c r="X6" s="85">
        <f>IF(Model!$B$6="MPI Central",Afforestation!X4,IF(Model!$B$6="MPI Lower",Afforestation!X14,IF(Model!$B$6="MPI Upper",Afforestation!X9,Afforestation!X19)))</f>
        <v>100</v>
      </c>
      <c r="Y6" s="85">
        <f>IF(Model!$B$6="MPI Central",Afforestation!Y4,IF(Model!$B$6="MPI Lower",Afforestation!Y14,IF(Model!$B$6="MPI Upper",Afforestation!Y9,Afforestation!Y19)))</f>
        <v>100</v>
      </c>
      <c r="Z6" s="85">
        <f>IF(Model!$B$6="MPI Central",Afforestation!Z4,IF(Model!$B$6="MPI Lower",Afforestation!Z14,IF(Model!$B$6="MPI Upper",Afforestation!Z9,Afforestation!Z19)))</f>
        <v>100</v>
      </c>
      <c r="AA6" s="85">
        <f>IF(Model!$B$6="MPI Central",Afforestation!AA4,IF(Model!$B$6="MPI Lower",Afforestation!AA14,IF(Model!$B$6="MPI Upper",Afforestation!AA9,Afforestation!AA19)))</f>
        <v>100</v>
      </c>
      <c r="AB6" s="85">
        <f>IF(Model!$B$6="MPI Central",Afforestation!AB4,IF(Model!$B$6="MPI Lower",Afforestation!AB14,IF(Model!$B$6="MPI Upper",Afforestation!AB9,Afforestation!AB19)))</f>
        <v>100</v>
      </c>
      <c r="AC6" s="85">
        <f>IF(Model!$B$6="MPI Central",Afforestation!AC4,IF(Model!$B$6="MPI Lower",Afforestation!AC14,IF(Model!$B$6="MPI Upper",Afforestation!AC9,Afforestation!AC19)))</f>
        <v>100</v>
      </c>
      <c r="AD6" s="85">
        <f>IF(Model!$B$6="MPI Central",Afforestation!AD4,IF(Model!$B$6="MPI Lower",Afforestation!AD14,IF(Model!$B$6="MPI Upper",Afforestation!AD9,Afforestation!AD19)))</f>
        <v>100</v>
      </c>
      <c r="AE6" s="85">
        <f>IF(Model!$B$6="MPI Central",Afforestation!AE4,IF(Model!$B$6="MPI Lower",Afforestation!AE14,IF(Model!$B$6="MPI Upper",Afforestation!AE9,Afforestation!AE19)))</f>
        <v>100</v>
      </c>
      <c r="AF6" s="85">
        <f>IF(Model!$B$6="MPI Central",Afforestation!AF4,IF(Model!$B$6="MPI Lower",Afforestation!AF14,IF(Model!$B$6="MPI Upper",Afforestation!AF9,Afforestation!AF19)))</f>
        <v>100</v>
      </c>
      <c r="AG6" s="85">
        <f>IF(Model!$B$6="MPI Central",Afforestation!AG4,IF(Model!$B$6="MPI Lower",Afforestation!AG14,IF(Model!$B$6="MPI Upper",Afforestation!AG9,Afforestation!AG19)))</f>
        <v>100</v>
      </c>
      <c r="AH6" s="85">
        <f>IF(Model!$B$6="MPI Central",Afforestation!AH4,IF(Model!$B$6="MPI Lower",Afforestation!AH14,IF(Model!$B$6="MPI Upper",Afforestation!AH9,Afforestation!AH19)))</f>
        <v>100</v>
      </c>
      <c r="AI6" s="85">
        <f>IF(Model!$B$6="MPI Central",Afforestation!AI4,IF(Model!$B$6="MPI Lower",Afforestation!AI14,IF(Model!$B$6="MPI Upper",Afforestation!AI9,Afforestation!AI19)))</f>
        <v>100</v>
      </c>
      <c r="AJ6" s="85">
        <f>IF(Model!$B$6="MPI Central",Afforestation!AJ4,IF(Model!$B$6="MPI Lower",Afforestation!AJ14,IF(Model!$B$6="MPI Upper",Afforestation!AJ9,Afforestation!AJ19)))</f>
        <v>100</v>
      </c>
      <c r="AK6" s="85">
        <f>IF(Model!$B$6="MPI Central",Afforestation!AK4,IF(Model!$B$6="MPI Lower",Afforestation!AK14,IF(Model!$B$6="MPI Upper",Afforestation!AK9,Afforestation!AK19)))</f>
        <v>100</v>
      </c>
      <c r="AL6" s="85">
        <f>IF(Model!$B$6="MPI Central",Afforestation!AL4,IF(Model!$B$6="MPI Lower",Afforestation!AL14,IF(Model!$B$6="MPI Upper",Afforestation!AL9,Afforestation!AL19)))</f>
        <v>100</v>
      </c>
      <c r="AM6" s="85">
        <f>IF(Model!$B$6="MPI Central",Afforestation!AM4,IF(Model!$B$6="MPI Lower",Afforestation!AM14,IF(Model!$B$6="MPI Upper",Afforestation!AM9,Afforestation!AM19)))</f>
        <v>100</v>
      </c>
      <c r="AN6" s="85">
        <f>IF(Model!$B$6="MPI Central",Afforestation!AN4,IF(Model!$B$6="MPI Lower",Afforestation!AN14,IF(Model!$B$6="MPI Upper",Afforestation!AN9,Afforestation!AN19)))</f>
        <v>100</v>
      </c>
      <c r="AO6" s="85">
        <f>IF(Model!$B$6="MPI Central",Afforestation!AO4,IF(Model!$B$6="MPI Lower",Afforestation!AO14,IF(Model!$B$6="MPI Upper",Afforestation!AO9,Afforestation!AO19)))</f>
        <v>100</v>
      </c>
      <c r="AP6" s="85">
        <f>IF(Model!$B$6="MPI Central",Afforestation!AP4,IF(Model!$B$6="MPI Lower",Afforestation!AP14,IF(Model!$B$6="MPI Upper",Afforestation!AP9,Afforestation!AP19)))</f>
        <v>100</v>
      </c>
      <c r="AQ6" s="85">
        <f>IF(Model!$B$6="MPI Central",Afforestation!AQ4,IF(Model!$B$6="MPI Lower",Afforestation!AQ14,IF(Model!$B$6="MPI Upper",Afforestation!AQ9,Afforestation!AQ19)))</f>
        <v>100</v>
      </c>
      <c r="AR6" s="85">
        <f>IF(Model!$B$6="MPI Central",Afforestation!AR4,IF(Model!$B$6="MPI Lower",Afforestation!AR14,IF(Model!$B$6="MPI Upper",Afforestation!AR9,Afforestation!AR19)))</f>
        <v>100</v>
      </c>
      <c r="AS6" s="85">
        <f>IF(Model!$B$6="MPI Central",Afforestation!AS4,IF(Model!$B$6="MPI Lower",Afforestation!AS14,IF(Model!$B$6="MPI Upper",Afforestation!AS9,Afforestation!AS19)))</f>
        <v>100</v>
      </c>
      <c r="AT6" s="85">
        <f>IF(Model!$B$6="MPI Central",Afforestation!AT4,IF(Model!$B$6="MPI Lower",Afforestation!AT14,IF(Model!$B$6="MPI Upper",Afforestation!AT9,Afforestation!AT19)))</f>
        <v>100</v>
      </c>
      <c r="AU6" s="85">
        <f>IF(Model!$B$6="MPI Central",Afforestation!AU4,IF(Model!$B$6="MPI Lower",Afforestation!AU14,IF(Model!$B$6="MPI Upper",Afforestation!AU9,Afforestation!AU19)))</f>
        <v>100</v>
      </c>
      <c r="AV6" s="85">
        <f>IF(Model!$B$6="MPI Central",Afforestation!AV4,IF(Model!$B$6="MPI Lower",Afforestation!AV14,IF(Model!$B$6="MPI Upper",Afforestation!AV9,Afforestation!AV19)))</f>
        <v>100</v>
      </c>
      <c r="AW6" s="85">
        <f>IF(Model!$B$6="MPI Central",Afforestation!AW4,IF(Model!$B$6="MPI Lower",Afforestation!AW14,IF(Model!$B$6="MPI Upper",Afforestation!AW9,Afforestation!AW19)))</f>
        <v>100</v>
      </c>
      <c r="AX6" s="85">
        <f>IF(Model!$B$6="MPI Central",Afforestation!AX4,IF(Model!$B$6="MPI Lower",Afforestation!AX14,IF(Model!$B$6="MPI Upper",Afforestation!AX9,Afforestation!AX19)))</f>
        <v>100</v>
      </c>
      <c r="AY6" s="85">
        <f>IF(Model!$B$6="MPI Central",Afforestation!AY4,IF(Model!$B$6="MPI Lower",Afforestation!AY14,IF(Model!$B$6="MPI Upper",Afforestation!AY9,Afforestation!AY19)))</f>
        <v>100</v>
      </c>
      <c r="AZ6" s="85">
        <f>IF(Model!$B$6="MPI Central",Afforestation!AZ4,IF(Model!$B$6="MPI Lower",Afforestation!AZ14,IF(Model!$B$6="MPI Upper",Afforestation!AZ9,Afforestation!AZ19)))</f>
        <v>100</v>
      </c>
      <c r="BA6" s="85">
        <f>IF(Model!$B$6="MPI Central",Afforestation!BA4,IF(Model!$B$6="MPI Lower",Afforestation!BA14,IF(Model!$B$6="MPI Upper",Afforestation!BA9,Afforestation!BA19)))</f>
        <v>100</v>
      </c>
      <c r="BB6" s="85">
        <f>IF(Model!$B$6="MPI Central",Afforestation!BB4,IF(Model!$B$6="MPI Lower",Afforestation!BB14,IF(Model!$B$6="MPI Upper",Afforestation!BB9,Afforestation!BB19)))</f>
        <v>100</v>
      </c>
      <c r="BC6" s="85">
        <f>IF(Model!$B$6="MPI Central",Afforestation!BC4,IF(Model!$B$6="MPI Lower",Afforestation!BC14,IF(Model!$B$6="MPI Upper",Afforestation!BC9,Afforestation!BC19)))</f>
        <v>100</v>
      </c>
      <c r="BD6" s="85">
        <f>IF(Model!$B$6="MPI Central",Afforestation!BD4,IF(Model!$B$6="MPI Lower",Afforestation!BD14,IF(Model!$B$6="MPI Upper",Afforestation!BD9,Afforestation!BD19)))</f>
        <v>100</v>
      </c>
      <c r="BE6" s="85">
        <f>IF(Model!$B$6="MPI Central",Afforestation!BE4,IF(Model!$B$6="MPI Lower",Afforestation!BE14,IF(Model!$B$6="MPI Upper",Afforestation!BE9,Afforestation!BE19)))</f>
        <v>100</v>
      </c>
      <c r="BF6" s="85">
        <f>IF(Model!$B$6="MPI Central",Afforestation!BF4,IF(Model!$B$6="MPI Lower",Afforestation!BF14,IF(Model!$B$6="MPI Upper",Afforestation!BF9,Afforestation!BF19)))</f>
        <v>100</v>
      </c>
      <c r="BG6" s="85">
        <f>IF(Model!$B$6="MPI Central",Afforestation!BG4,IF(Model!$B$6="MPI Lower",Afforestation!BG14,IF(Model!$B$6="MPI Upper",Afforestation!BG9,Afforestation!BG19)))</f>
        <v>100</v>
      </c>
      <c r="BH6" s="85">
        <f>IF(Model!$B$6="MPI Central",Afforestation!BH4,IF(Model!$B$6="MPI Lower",Afforestation!BH14,IF(Model!$B$6="MPI Upper",Afforestation!BH9,Afforestation!BH19)))</f>
        <v>100</v>
      </c>
      <c r="BI6" s="69"/>
    </row>
    <row r="7" spans="1:84" s="19" customFormat="1" x14ac:dyDescent="0.25">
      <c r="A7" s="61" t="str">
        <f>Afforestation!A5</f>
        <v>Production Exotic Pine</v>
      </c>
      <c r="B7" s="85">
        <f>IF(Model!$B$6="MPI Central",Afforestation!B5,IF(Model!$B$6="MPI Lower",Afforestation!B15,IF(Model!$B$6="MPI Upper",Afforestation!B10,Afforestation!B20)))</f>
        <v>69936.095865964366</v>
      </c>
      <c r="C7" s="85">
        <f>IF(Model!$B$6="MPI Central",Afforestation!C5,IF(Model!$B$6="MPI Lower",Afforestation!C15,IF(Model!$B$6="MPI Upper",Afforestation!C10,Afforestation!C20)))</f>
        <v>58370.285000000003</v>
      </c>
      <c r="D7" s="85">
        <f>IF(Model!$B$6="MPI Central",Afforestation!D5,IF(Model!$B$6="MPI Lower",Afforestation!D15,IF(Model!$B$6="MPI Upper",Afforestation!D10,Afforestation!D20)))</f>
        <v>44600</v>
      </c>
      <c r="E7" s="85">
        <f ca="1">Afforestation!F20</f>
        <v>24752.830783683901</v>
      </c>
      <c r="F7" s="85">
        <f>IF(Model!$B$6="MPI Central",Afforestation!F5,IF(Model!$B$6="MPI Lower",Afforestation!F15,IF(Model!$B$6="MPI Upper",Afforestation!F10,Afforestation!F20)))</f>
        <v>18000</v>
      </c>
      <c r="G7" s="85">
        <f>IF(Model!$B$6="MPI Central",Afforestation!G5,IF(Model!$B$6="MPI Lower",Afforestation!G15,IF(Model!$B$6="MPI Upper",Afforestation!G10,Afforestation!G20)))</f>
        <v>18000</v>
      </c>
      <c r="H7" s="85">
        <f>IF(Model!$B$6="MPI Central",Afforestation!H5,IF(Model!$B$6="MPI Lower",Afforestation!H15,IF(Model!$B$6="MPI Upper",Afforestation!H10,Afforestation!H20)))</f>
        <v>18000</v>
      </c>
      <c r="I7" s="85">
        <f>IF(Model!$B$6="MPI Central",Afforestation!I5,IF(Model!$B$6="MPI Lower",Afforestation!I15,IF(Model!$B$6="MPI Upper",Afforestation!I10,Afforestation!I20)))</f>
        <v>18000</v>
      </c>
      <c r="J7" s="85">
        <f>IF(Model!$B$6="MPI Central",Afforestation!J5,IF(Model!$B$6="MPI Lower",Afforestation!J15,IF(Model!$B$6="MPI Upper",Afforestation!J10,Afforestation!J20)))</f>
        <v>18000</v>
      </c>
      <c r="K7" s="85">
        <f>IF(Model!$B$6="MPI Central",Afforestation!K5,IF(Model!$B$6="MPI Lower",Afforestation!K15,IF(Model!$B$6="MPI Upper",Afforestation!K10,Afforestation!K20)))</f>
        <v>18000</v>
      </c>
      <c r="L7" s="85">
        <f>IF(Model!$B$6="MPI Central",Afforestation!L5,IF(Model!$B$6="MPI Lower",Afforestation!L15,IF(Model!$B$6="MPI Upper",Afforestation!L10,Afforestation!L20)))</f>
        <v>18000</v>
      </c>
      <c r="M7" s="85">
        <f>IF(Model!$B$6="MPI Central",Afforestation!M5,IF(Model!$B$6="MPI Lower",Afforestation!M15,IF(Model!$B$6="MPI Upper",Afforestation!M10,Afforestation!M20)))</f>
        <v>18000</v>
      </c>
      <c r="N7" s="85">
        <f>IF(Model!$B$6="MPI Central",Afforestation!N5,IF(Model!$B$6="MPI Lower",Afforestation!N15,IF(Model!$B$6="MPI Upper",Afforestation!N10,Afforestation!N20)))</f>
        <v>18000</v>
      </c>
      <c r="O7" s="85">
        <f>IF(Model!$B$6="MPI Central",Afforestation!O5,IF(Model!$B$6="MPI Lower",Afforestation!O15,IF(Model!$B$6="MPI Upper",Afforestation!O10,Afforestation!O20)))</f>
        <v>18000</v>
      </c>
      <c r="P7" s="85">
        <f>IF(Model!$B$6="MPI Central",Afforestation!P5,IF(Model!$B$6="MPI Lower",Afforestation!P15,IF(Model!$B$6="MPI Upper",Afforestation!P10,Afforestation!P20)))</f>
        <v>18000</v>
      </c>
      <c r="Q7" s="85">
        <f>IF(Model!$B$6="MPI Central",Afforestation!Q5,IF(Model!$B$6="MPI Lower",Afforestation!Q15,IF(Model!$B$6="MPI Upper",Afforestation!Q10,Afforestation!Q20)))</f>
        <v>18000</v>
      </c>
      <c r="R7" s="85">
        <f>IF(Model!$B$6="MPI Central",Afforestation!R5,IF(Model!$B$6="MPI Lower",Afforestation!R15,IF(Model!$B$6="MPI Upper",Afforestation!R10,Afforestation!R20)))</f>
        <v>18000</v>
      </c>
      <c r="S7" s="85">
        <f>IF(Model!$B$6="MPI Central",Afforestation!S5,IF(Model!$B$6="MPI Lower",Afforestation!S15,IF(Model!$B$6="MPI Upper",Afforestation!S10,Afforestation!S20)))</f>
        <v>18000</v>
      </c>
      <c r="T7" s="85">
        <f>IF(Model!$B$6="MPI Central",Afforestation!T5,IF(Model!$B$6="MPI Lower",Afforestation!T15,IF(Model!$B$6="MPI Upper",Afforestation!T10,Afforestation!T20)))</f>
        <v>18000</v>
      </c>
      <c r="U7" s="85">
        <f>IF(Model!$B$6="MPI Central",Afforestation!U5,IF(Model!$B$6="MPI Lower",Afforestation!U15,IF(Model!$B$6="MPI Upper",Afforestation!U10,Afforestation!U20)))</f>
        <v>18000</v>
      </c>
      <c r="V7" s="85">
        <f>IF(Model!$B$6="MPI Central",Afforestation!V5,IF(Model!$B$6="MPI Lower",Afforestation!V15,IF(Model!$B$6="MPI Upper",Afforestation!V10,Afforestation!V20)))</f>
        <v>18000</v>
      </c>
      <c r="W7" s="85">
        <f>IF(Model!$B$6="MPI Central",Afforestation!W5,IF(Model!$B$6="MPI Lower",Afforestation!W15,IF(Model!$B$6="MPI Upper",Afforestation!W10,Afforestation!W20)))</f>
        <v>18000</v>
      </c>
      <c r="X7" s="85">
        <f>IF(Model!$B$6="MPI Central",Afforestation!X5,IF(Model!$B$6="MPI Lower",Afforestation!X15,IF(Model!$B$6="MPI Upper",Afforestation!X10,Afforestation!X20)))</f>
        <v>18000</v>
      </c>
      <c r="Y7" s="85">
        <f>IF(Model!$B$6="MPI Central",Afforestation!Y5,IF(Model!$B$6="MPI Lower",Afforestation!Y15,IF(Model!$B$6="MPI Upper",Afforestation!Y10,Afforestation!Y20)))</f>
        <v>18000</v>
      </c>
      <c r="Z7" s="85">
        <f>IF(Model!$B$6="MPI Central",Afforestation!Z5,IF(Model!$B$6="MPI Lower",Afforestation!Z15,IF(Model!$B$6="MPI Upper",Afforestation!Z10,Afforestation!Z20)))</f>
        <v>18000</v>
      </c>
      <c r="AA7" s="85">
        <f>IF(Model!$B$6="MPI Central",Afforestation!AA5,IF(Model!$B$6="MPI Lower",Afforestation!AA15,IF(Model!$B$6="MPI Upper",Afforestation!AA10,Afforestation!AA20)))</f>
        <v>18000</v>
      </c>
      <c r="AB7" s="85">
        <f>IF(Model!$B$6="MPI Central",Afforestation!AB5,IF(Model!$B$6="MPI Lower",Afforestation!AB15,IF(Model!$B$6="MPI Upper",Afforestation!AB10,Afforestation!AB20)))</f>
        <v>18000</v>
      </c>
      <c r="AC7" s="85">
        <f>IF(Model!$B$6="MPI Central",Afforestation!AC5,IF(Model!$B$6="MPI Lower",Afforestation!AC15,IF(Model!$B$6="MPI Upper",Afforestation!AC10,Afforestation!AC20)))</f>
        <v>18000</v>
      </c>
      <c r="AD7" s="85">
        <f>IF(Model!$B$6="MPI Central",Afforestation!AD5,IF(Model!$B$6="MPI Lower",Afforestation!AD15,IF(Model!$B$6="MPI Upper",Afforestation!AD10,Afforestation!AD20)))</f>
        <v>18000</v>
      </c>
      <c r="AE7" s="85">
        <f>IF(Model!$B$6="MPI Central",Afforestation!AE5,IF(Model!$B$6="MPI Lower",Afforestation!AE15,IF(Model!$B$6="MPI Upper",Afforestation!AE10,Afforestation!AE20)))</f>
        <v>18000</v>
      </c>
      <c r="AF7" s="85">
        <f>IF(Model!$B$6="MPI Central",Afforestation!AF5,IF(Model!$B$6="MPI Lower",Afforestation!AF15,IF(Model!$B$6="MPI Upper",Afforestation!AF10,Afforestation!AF20)))</f>
        <v>18000</v>
      </c>
      <c r="AG7" s="85">
        <f>IF(Model!$B$6="MPI Central",Afforestation!AG5,IF(Model!$B$6="MPI Lower",Afforestation!AG15,IF(Model!$B$6="MPI Upper",Afforestation!AG10,Afforestation!AG20)))</f>
        <v>18000</v>
      </c>
      <c r="AH7" s="85">
        <f>IF(Model!$B$6="MPI Central",Afforestation!AH5,IF(Model!$B$6="MPI Lower",Afforestation!AH15,IF(Model!$B$6="MPI Upper",Afforestation!AH10,Afforestation!AH20)))</f>
        <v>18000</v>
      </c>
      <c r="AI7" s="85">
        <f>IF(Model!$B$6="MPI Central",Afforestation!AI5,IF(Model!$B$6="MPI Lower",Afforestation!AI15,IF(Model!$B$6="MPI Upper",Afforestation!AI10,Afforestation!AI20)))</f>
        <v>18000</v>
      </c>
      <c r="AJ7" s="85">
        <f>IF(Model!$B$6="MPI Central",Afforestation!AJ5,IF(Model!$B$6="MPI Lower",Afforestation!AJ15,IF(Model!$B$6="MPI Upper",Afforestation!AJ10,Afforestation!AJ20)))</f>
        <v>18000</v>
      </c>
      <c r="AK7" s="85">
        <f>IF(Model!$B$6="MPI Central",Afforestation!AK5,IF(Model!$B$6="MPI Lower",Afforestation!AK15,IF(Model!$B$6="MPI Upper",Afforestation!AK10,Afforestation!AK20)))</f>
        <v>18000</v>
      </c>
      <c r="AL7" s="85">
        <f>IF(Model!$B$6="MPI Central",Afforestation!AL5,IF(Model!$B$6="MPI Lower",Afforestation!AL15,IF(Model!$B$6="MPI Upper",Afforestation!AL10,Afforestation!AL20)))</f>
        <v>18000</v>
      </c>
      <c r="AM7" s="85">
        <f>IF(Model!$B$6="MPI Central",Afforestation!AM5,IF(Model!$B$6="MPI Lower",Afforestation!AM15,IF(Model!$B$6="MPI Upper",Afforestation!AM10,Afforestation!AM20)))</f>
        <v>18000</v>
      </c>
      <c r="AN7" s="85">
        <f>IF(Model!$B$6="MPI Central",Afforestation!AN5,IF(Model!$B$6="MPI Lower",Afforestation!AN15,IF(Model!$B$6="MPI Upper",Afforestation!AN10,Afforestation!AN20)))</f>
        <v>18000</v>
      </c>
      <c r="AO7" s="85">
        <f>IF(Model!$B$6="MPI Central",Afforestation!AO5,IF(Model!$B$6="MPI Lower",Afforestation!AO15,IF(Model!$B$6="MPI Upper",Afforestation!AO10,Afforestation!AO20)))</f>
        <v>18000</v>
      </c>
      <c r="AP7" s="85">
        <f>IF(Model!$B$6="MPI Central",Afforestation!AP5,IF(Model!$B$6="MPI Lower",Afforestation!AP15,IF(Model!$B$6="MPI Upper",Afforestation!AP10,Afforestation!AP20)))</f>
        <v>18000</v>
      </c>
      <c r="AQ7" s="85">
        <f>IF(Model!$B$6="MPI Central",Afforestation!AQ5,IF(Model!$B$6="MPI Lower",Afforestation!AQ15,IF(Model!$B$6="MPI Upper",Afforestation!AQ10,Afforestation!AQ20)))</f>
        <v>18000</v>
      </c>
      <c r="AR7" s="85">
        <f>IF(Model!$B$6="MPI Central",Afforestation!AR5,IF(Model!$B$6="MPI Lower",Afforestation!AR15,IF(Model!$B$6="MPI Upper",Afforestation!AR10,Afforestation!AR20)))</f>
        <v>18000</v>
      </c>
      <c r="AS7" s="85">
        <f>IF(Model!$B$6="MPI Central",Afforestation!AS5,IF(Model!$B$6="MPI Lower",Afforestation!AS15,IF(Model!$B$6="MPI Upper",Afforestation!AS10,Afforestation!AS20)))</f>
        <v>18000</v>
      </c>
      <c r="AT7" s="85">
        <f>IF(Model!$B$6="MPI Central",Afforestation!AT5,IF(Model!$B$6="MPI Lower",Afforestation!AT15,IF(Model!$B$6="MPI Upper",Afforestation!AT10,Afforestation!AT20)))</f>
        <v>18000</v>
      </c>
      <c r="AU7" s="85">
        <f>IF(Model!$B$6="MPI Central",Afforestation!AU5,IF(Model!$B$6="MPI Lower",Afforestation!AU15,IF(Model!$B$6="MPI Upper",Afforestation!AU10,Afforestation!AU20)))</f>
        <v>18000</v>
      </c>
      <c r="AV7" s="85">
        <f>IF(Model!$B$6="MPI Central",Afforestation!AV5,IF(Model!$B$6="MPI Lower",Afforestation!AV15,IF(Model!$B$6="MPI Upper",Afforestation!AV10,Afforestation!AV20)))</f>
        <v>18000</v>
      </c>
      <c r="AW7" s="85">
        <f>IF(Model!$B$6="MPI Central",Afforestation!AW5,IF(Model!$B$6="MPI Lower",Afforestation!AW15,IF(Model!$B$6="MPI Upper",Afforestation!AW10,Afforestation!AW20)))</f>
        <v>18000</v>
      </c>
      <c r="AX7" s="85">
        <f>IF(Model!$B$6="MPI Central",Afforestation!AX5,IF(Model!$B$6="MPI Lower",Afforestation!AX15,IF(Model!$B$6="MPI Upper",Afforestation!AX10,Afforestation!AX20)))</f>
        <v>18000</v>
      </c>
      <c r="AY7" s="85">
        <f>IF(Model!$B$6="MPI Central",Afforestation!AY5,IF(Model!$B$6="MPI Lower",Afforestation!AY15,IF(Model!$B$6="MPI Upper",Afforestation!AY10,Afforestation!AY20)))</f>
        <v>18000</v>
      </c>
      <c r="AZ7" s="85">
        <f>IF(Model!$B$6="MPI Central",Afforestation!AZ5,IF(Model!$B$6="MPI Lower",Afforestation!AZ15,IF(Model!$B$6="MPI Upper",Afforestation!AZ10,Afforestation!AZ20)))</f>
        <v>18000</v>
      </c>
      <c r="BA7" s="85">
        <f>IF(Model!$B$6="MPI Central",Afforestation!BA5,IF(Model!$B$6="MPI Lower",Afforestation!BA15,IF(Model!$B$6="MPI Upper",Afforestation!BA10,Afforestation!BA20)))</f>
        <v>18000</v>
      </c>
      <c r="BB7" s="85">
        <f>IF(Model!$B$6="MPI Central",Afforestation!BB5,IF(Model!$B$6="MPI Lower",Afforestation!BB15,IF(Model!$B$6="MPI Upper",Afforestation!BB10,Afforestation!BB20)))</f>
        <v>18000</v>
      </c>
      <c r="BC7" s="85">
        <f>IF(Model!$B$6="MPI Central",Afforestation!BC5,IF(Model!$B$6="MPI Lower",Afforestation!BC15,IF(Model!$B$6="MPI Upper",Afforestation!BC10,Afforestation!BC20)))</f>
        <v>18000</v>
      </c>
      <c r="BD7" s="85">
        <f>IF(Model!$B$6="MPI Central",Afforestation!BD5,IF(Model!$B$6="MPI Lower",Afforestation!BD15,IF(Model!$B$6="MPI Upper",Afforestation!BD10,Afforestation!BD20)))</f>
        <v>18000</v>
      </c>
      <c r="BE7" s="85">
        <f>IF(Model!$B$6="MPI Central",Afforestation!BE5,IF(Model!$B$6="MPI Lower",Afforestation!BE15,IF(Model!$B$6="MPI Upper",Afforestation!BE10,Afforestation!BE20)))</f>
        <v>18000</v>
      </c>
      <c r="BF7" s="85">
        <f>IF(Model!$B$6="MPI Central",Afforestation!BF5,IF(Model!$B$6="MPI Lower",Afforestation!BF15,IF(Model!$B$6="MPI Upper",Afforestation!BF10,Afforestation!BF20)))</f>
        <v>18000</v>
      </c>
      <c r="BG7" s="85">
        <f>IF(Model!$B$6="MPI Central",Afforestation!BG5,IF(Model!$B$6="MPI Lower",Afforestation!BG15,IF(Model!$B$6="MPI Upper",Afforestation!BG10,Afforestation!BG20)))</f>
        <v>18000</v>
      </c>
      <c r="BH7" s="85">
        <f>IF(Model!$B$6="MPI Central",Afforestation!BH5,IF(Model!$B$6="MPI Lower",Afforestation!BH15,IF(Model!$B$6="MPI Upper",Afforestation!BH10,Afforestation!BH20)))</f>
        <v>18000</v>
      </c>
      <c r="BI7" s="69"/>
      <c r="BJ7" s="67" t="s">
        <v>354</v>
      </c>
      <c r="BK7" s="67"/>
      <c r="BL7" s="67"/>
    </row>
    <row r="8" spans="1:84" s="63" customFormat="1" x14ac:dyDescent="0.25">
      <c r="A8" s="19"/>
      <c r="B8" s="84"/>
      <c r="C8" s="84"/>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19"/>
      <c r="BK8" s="59"/>
      <c r="BL8" s="59"/>
      <c r="BM8" s="59"/>
      <c r="BN8" s="68"/>
      <c r="BO8"/>
      <c r="BP8"/>
      <c r="BQ8"/>
      <c r="BR8"/>
      <c r="BS8"/>
      <c r="BT8"/>
      <c r="BU8"/>
      <c r="BV8"/>
      <c r="BW8"/>
      <c r="BX8"/>
      <c r="BY8"/>
      <c r="BZ8"/>
      <c r="CA8"/>
      <c r="CB8"/>
      <c r="CC8"/>
      <c r="CD8"/>
      <c r="CE8"/>
      <c r="CF8"/>
    </row>
    <row r="9" spans="1:84" x14ac:dyDescent="0.25">
      <c r="A9" s="67" t="s">
        <v>355</v>
      </c>
      <c r="B9">
        <f t="shared" ref="B9:AG9" si="2">B3</f>
        <v>2022</v>
      </c>
      <c r="C9">
        <f t="shared" si="2"/>
        <v>2023</v>
      </c>
      <c r="D9">
        <f t="shared" si="2"/>
        <v>2024</v>
      </c>
      <c r="E9">
        <f t="shared" si="2"/>
        <v>2025</v>
      </c>
      <c r="F9">
        <f t="shared" si="2"/>
        <v>2026</v>
      </c>
      <c r="G9">
        <f t="shared" si="2"/>
        <v>2027</v>
      </c>
      <c r="H9">
        <f t="shared" si="2"/>
        <v>2028</v>
      </c>
      <c r="I9">
        <f t="shared" si="2"/>
        <v>2029</v>
      </c>
      <c r="J9">
        <f t="shared" si="2"/>
        <v>2030</v>
      </c>
      <c r="K9">
        <f t="shared" si="2"/>
        <v>2031</v>
      </c>
      <c r="L9">
        <f t="shared" si="2"/>
        <v>2032</v>
      </c>
      <c r="M9">
        <f t="shared" si="2"/>
        <v>2033</v>
      </c>
      <c r="N9">
        <f t="shared" si="2"/>
        <v>2034</v>
      </c>
      <c r="O9">
        <f t="shared" si="2"/>
        <v>2035</v>
      </c>
      <c r="P9">
        <f t="shared" si="2"/>
        <v>2036</v>
      </c>
      <c r="Q9">
        <f t="shared" si="2"/>
        <v>2037</v>
      </c>
      <c r="R9">
        <f t="shared" si="2"/>
        <v>2038</v>
      </c>
      <c r="S9">
        <f t="shared" si="2"/>
        <v>2039</v>
      </c>
      <c r="T9">
        <f t="shared" si="2"/>
        <v>2040</v>
      </c>
      <c r="U9">
        <f t="shared" si="2"/>
        <v>2041</v>
      </c>
      <c r="V9">
        <f t="shared" si="2"/>
        <v>2042</v>
      </c>
      <c r="W9">
        <f t="shared" si="2"/>
        <v>2043</v>
      </c>
      <c r="X9">
        <f t="shared" si="2"/>
        <v>2044</v>
      </c>
      <c r="Y9">
        <f t="shared" si="2"/>
        <v>2045</v>
      </c>
      <c r="Z9">
        <f t="shared" si="2"/>
        <v>2046</v>
      </c>
      <c r="AA9">
        <f t="shared" si="2"/>
        <v>2047</v>
      </c>
      <c r="AB9">
        <f t="shared" si="2"/>
        <v>2048</v>
      </c>
      <c r="AC9">
        <f t="shared" si="2"/>
        <v>2049</v>
      </c>
      <c r="AD9">
        <f t="shared" si="2"/>
        <v>2050</v>
      </c>
      <c r="AE9">
        <f t="shared" si="2"/>
        <v>2051</v>
      </c>
      <c r="AF9">
        <f t="shared" si="2"/>
        <v>2052</v>
      </c>
      <c r="AG9">
        <f t="shared" si="2"/>
        <v>2053</v>
      </c>
      <c r="AH9">
        <f t="shared" ref="AH9:BH9" si="3">AH3</f>
        <v>2054</v>
      </c>
      <c r="AI9">
        <f t="shared" si="3"/>
        <v>2055</v>
      </c>
      <c r="AJ9">
        <f t="shared" si="3"/>
        <v>2056</v>
      </c>
      <c r="AK9">
        <f t="shared" si="3"/>
        <v>2057</v>
      </c>
      <c r="AL9">
        <f t="shared" si="3"/>
        <v>2058</v>
      </c>
      <c r="AM9">
        <f t="shared" si="3"/>
        <v>2059</v>
      </c>
      <c r="AN9">
        <f t="shared" si="3"/>
        <v>2060</v>
      </c>
      <c r="AO9">
        <f t="shared" si="3"/>
        <v>2061</v>
      </c>
      <c r="AP9">
        <f t="shared" si="3"/>
        <v>2062</v>
      </c>
      <c r="AQ9">
        <f t="shared" si="3"/>
        <v>2063</v>
      </c>
      <c r="AR9">
        <f t="shared" si="3"/>
        <v>2064</v>
      </c>
      <c r="AS9">
        <f t="shared" si="3"/>
        <v>2065</v>
      </c>
      <c r="AT9">
        <f t="shared" si="3"/>
        <v>2066</v>
      </c>
      <c r="AU9">
        <f t="shared" si="3"/>
        <v>2067</v>
      </c>
      <c r="AV9">
        <f t="shared" si="3"/>
        <v>2068</v>
      </c>
      <c r="AW9">
        <f t="shared" si="3"/>
        <v>2069</v>
      </c>
      <c r="AX9">
        <f t="shared" si="3"/>
        <v>2070</v>
      </c>
      <c r="AY9">
        <f t="shared" si="3"/>
        <v>2071</v>
      </c>
      <c r="AZ9">
        <f t="shared" si="3"/>
        <v>2072</v>
      </c>
      <c r="BA9">
        <f t="shared" si="3"/>
        <v>2073</v>
      </c>
      <c r="BB9">
        <f t="shared" si="3"/>
        <v>2074</v>
      </c>
      <c r="BC9">
        <f t="shared" si="3"/>
        <v>2075</v>
      </c>
      <c r="BD9">
        <f t="shared" si="3"/>
        <v>2076</v>
      </c>
      <c r="BE9">
        <f t="shared" si="3"/>
        <v>2077</v>
      </c>
      <c r="BF9">
        <f t="shared" si="3"/>
        <v>2078</v>
      </c>
      <c r="BG9">
        <f t="shared" si="3"/>
        <v>2079</v>
      </c>
      <c r="BH9">
        <f t="shared" si="3"/>
        <v>2080</v>
      </c>
      <c r="BJ9" s="66" t="s">
        <v>246</v>
      </c>
      <c r="BK9" s="66" t="s">
        <v>355</v>
      </c>
      <c r="BL9" s="66" t="s">
        <v>356</v>
      </c>
      <c r="BM9" s="66" t="s">
        <v>357</v>
      </c>
      <c r="BN9" s="66" t="s">
        <v>121</v>
      </c>
    </row>
    <row r="10" spans="1:84" s="63" customFormat="1" x14ac:dyDescent="0.25">
      <c r="A10" s="61">
        <v>2022</v>
      </c>
      <c r="B10" s="62">
        <f>$B$6*Yield!M5</f>
        <v>-4.7497327438981822E-3</v>
      </c>
      <c r="C10" s="62"/>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23"/>
      <c r="BJ10" s="61">
        <v>2022</v>
      </c>
      <c r="BK10" s="284">
        <f>SUM(B10:BH10)</f>
        <v>-4.7497327438981822E-3</v>
      </c>
      <c r="BL10" s="284">
        <f t="shared" ref="BL10:BL41" si="4">BK71</f>
        <v>-6.361364183532503E-3</v>
      </c>
      <c r="BM10" s="284">
        <f t="shared" ref="BM10:BM41" si="5">BK132</f>
        <v>-3.4037108947434933E-2</v>
      </c>
      <c r="BN10" s="65">
        <f t="shared" ref="BN10:BN41" si="6">BK10+BL10+BM10</f>
        <v>-4.5148205874865621E-2</v>
      </c>
      <c r="BO10"/>
      <c r="BP10"/>
      <c r="BQ10"/>
      <c r="BR10"/>
      <c r="BS10"/>
      <c r="BT10"/>
      <c r="BU10"/>
      <c r="BV10"/>
      <c r="BW10"/>
      <c r="BX10"/>
      <c r="BY10"/>
      <c r="BZ10"/>
      <c r="CA10"/>
      <c r="CB10"/>
      <c r="CC10"/>
      <c r="CD10"/>
      <c r="CE10"/>
      <c r="CF10"/>
    </row>
    <row r="11" spans="1:84" s="63" customFormat="1" x14ac:dyDescent="0.25">
      <c r="A11" s="61">
        <v>2023</v>
      </c>
      <c r="B11" s="62">
        <f>$B$6*Yield!M6</f>
        <v>-5.6542757967630352E-3</v>
      </c>
      <c r="C11" s="62">
        <f>$C$6*Yield!M5</f>
        <v>-5.3798297270767461E-3</v>
      </c>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23"/>
      <c r="BJ11" s="61">
        <v>2023</v>
      </c>
      <c r="BK11" s="65">
        <f t="shared" ref="BK11:BK41" si="7">SUM(B11:BH11)</f>
        <v>-1.1034105523839781E-2</v>
      </c>
      <c r="BL11" s="65">
        <f t="shared" si="4"/>
        <v>-3.1424558925784635E-2</v>
      </c>
      <c r="BM11" s="60">
        <f t="shared" si="5"/>
        <v>-0.17342214902236472</v>
      </c>
      <c r="BN11" s="65">
        <f t="shared" si="6"/>
        <v>-0.21588081347198912</v>
      </c>
      <c r="BO11"/>
      <c r="BP11"/>
      <c r="BQ11"/>
      <c r="BR11"/>
      <c r="BS11"/>
      <c r="BT11"/>
      <c r="BU11"/>
      <c r="BV11"/>
      <c r="BW11"/>
      <c r="BX11"/>
      <c r="BY11"/>
      <c r="BZ11"/>
      <c r="CA11"/>
      <c r="CB11"/>
      <c r="CC11"/>
      <c r="CD11"/>
      <c r="CE11"/>
      <c r="CF11"/>
    </row>
    <row r="12" spans="1:84" s="63" customFormat="1" x14ac:dyDescent="0.25">
      <c r="A12" s="61">
        <v>2024</v>
      </c>
      <c r="B12" s="62">
        <f>$B$6*Yield!M7</f>
        <v>-1.0251779876053758E-2</v>
      </c>
      <c r="C12" s="62">
        <f>$C$6*Yield!M6</f>
        <v>-6.4043689733058393E-3</v>
      </c>
      <c r="D12" s="62">
        <f>$D$6*Yield!M5</f>
        <v>-2.4183405204132907E-3</v>
      </c>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23"/>
      <c r="BJ12" s="61">
        <v>2024</v>
      </c>
      <c r="BK12" s="65">
        <f t="shared" si="7"/>
        <v>-1.9074489369772889E-2</v>
      </c>
      <c r="BL12" s="65">
        <f t="shared" si="4"/>
        <v>-9.5936515043046428E-2</v>
      </c>
      <c r="BM12" s="60">
        <f t="shared" si="5"/>
        <v>-0.50510244836274132</v>
      </c>
      <c r="BN12" s="65">
        <f t="shared" si="6"/>
        <v>-0.62011345277556063</v>
      </c>
      <c r="BO12"/>
      <c r="BP12"/>
      <c r="BQ12"/>
      <c r="BR12"/>
      <c r="BS12"/>
      <c r="BT12"/>
      <c r="BU12"/>
      <c r="BV12"/>
      <c r="BW12"/>
      <c r="BX12"/>
      <c r="BY12"/>
      <c r="BZ12"/>
      <c r="CA12"/>
      <c r="CB12"/>
      <c r="CC12"/>
      <c r="CD12"/>
      <c r="CE12"/>
      <c r="CF12"/>
    </row>
    <row r="13" spans="1:84" s="63" customFormat="1" x14ac:dyDescent="0.25">
      <c r="A13" s="61">
        <v>2025</v>
      </c>
      <c r="B13" s="62">
        <f>$B$6*Yield!M8</f>
        <v>-1.570915741765724E-2</v>
      </c>
      <c r="C13" s="62">
        <f>$C$6*Yield!M7</f>
        <v>-1.1611775463260351E-2</v>
      </c>
      <c r="D13" s="62">
        <f>$D$6*Yield!M6</f>
        <v>-2.8788912998253769E-3</v>
      </c>
      <c r="E13" s="62">
        <f>$E$6*Yield!M5</f>
        <v>-1.5200997556883541E-3</v>
      </c>
      <c r="F13" s="62"/>
      <c r="G13" s="62"/>
      <c r="H13" s="62"/>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23"/>
      <c r="BJ13" s="61">
        <v>2025</v>
      </c>
      <c r="BK13" s="65">
        <f t="shared" si="7"/>
        <v>-3.1719923936431325E-2</v>
      </c>
      <c r="BL13" s="65">
        <f t="shared" si="4"/>
        <v>-0.32129478510850956</v>
      </c>
      <c r="BM13" s="60">
        <f t="shared" ca="1" si="5"/>
        <v>-1.6743530552396004</v>
      </c>
      <c r="BN13" s="65">
        <f t="shared" ca="1" si="6"/>
        <v>-2.0273677642845414</v>
      </c>
      <c r="BO13"/>
      <c r="BP13"/>
      <c r="BQ13"/>
      <c r="BR13"/>
      <c r="BS13"/>
      <c r="BT13"/>
      <c r="BU13"/>
      <c r="BV13"/>
      <c r="BW13"/>
      <c r="BX13"/>
      <c r="BY13"/>
      <c r="BZ13"/>
      <c r="CA13"/>
      <c r="CB13"/>
      <c r="CC13"/>
      <c r="CD13"/>
      <c r="CE13"/>
      <c r="CF13"/>
    </row>
    <row r="14" spans="1:84" s="63" customFormat="1" x14ac:dyDescent="0.25">
      <c r="A14" s="61">
        <v>2026</v>
      </c>
      <c r="B14" s="62">
        <f>$B$6*Yield!M9</f>
        <v>-2.2127894790188413E-2</v>
      </c>
      <c r="C14" s="62">
        <f>$C$6*Yield!M8</f>
        <v>-1.7793125765109837E-2</v>
      </c>
      <c r="D14" s="62">
        <f>$D$6*Yield!M7</f>
        <v>-5.219724143946447E-3</v>
      </c>
      <c r="E14" s="62">
        <f>$E$6*Yield!M6</f>
        <v>-1.809588817033094E-3</v>
      </c>
      <c r="F14" s="62">
        <f>$F$6*Yield!M5</f>
        <v>-2.7638177376151896E-4</v>
      </c>
      <c r="G14" s="62"/>
      <c r="H14" s="62"/>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23"/>
      <c r="BJ14" s="61">
        <v>2026</v>
      </c>
      <c r="BK14" s="65">
        <f t="shared" si="7"/>
        <v>-4.7226715290039314E-2</v>
      </c>
      <c r="BL14" s="65">
        <f t="shared" si="4"/>
        <v>-0.68708506701222216</v>
      </c>
      <c r="BM14" s="60">
        <f t="shared" ca="1" si="5"/>
        <v>-3.4958426488368306</v>
      </c>
      <c r="BN14" s="65">
        <f t="shared" ca="1" si="6"/>
        <v>-4.2301544311390922</v>
      </c>
      <c r="BO14"/>
      <c r="BP14"/>
      <c r="BQ14"/>
      <c r="BR14"/>
      <c r="BS14"/>
      <c r="BT14"/>
      <c r="BU14"/>
      <c r="BV14"/>
      <c r="BW14"/>
      <c r="BX14"/>
      <c r="BY14"/>
      <c r="BZ14"/>
      <c r="CA14"/>
      <c r="CB14"/>
      <c r="CC14"/>
      <c r="CD14"/>
      <c r="CE14"/>
      <c r="CF14"/>
    </row>
    <row r="15" spans="1:84" s="63" customFormat="1" x14ac:dyDescent="0.25">
      <c r="A15" s="61">
        <v>2027</v>
      </c>
      <c r="B15" s="62">
        <f>$B$6*Yield!M10</f>
        <v>-2.8655495763003296E-2</v>
      </c>
      <c r="C15" s="62">
        <f>$C$6*Yield!M9</f>
        <v>-2.5063369374374672E-2</v>
      </c>
      <c r="D15" s="62">
        <f>$D$6*Yield!M8</f>
        <v>-7.9983641129021572E-3</v>
      </c>
      <c r="E15" s="62">
        <f>$E$6*Yield!M7</f>
        <v>-3.2809694619091953E-3</v>
      </c>
      <c r="F15" s="62">
        <f>$F$6*Yield!M6</f>
        <v>-3.2901614855147164E-4</v>
      </c>
      <c r="G15" s="62">
        <f>$G$6*Yield!M5</f>
        <v>-1.3819088688075948E-4</v>
      </c>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23"/>
      <c r="BJ15" s="61">
        <v>2027</v>
      </c>
      <c r="BK15" s="65">
        <f t="shared" si="7"/>
        <v>-6.5465405747621566E-2</v>
      </c>
      <c r="BL15" s="65">
        <f t="shared" si="4"/>
        <v>-1.2084299719607188</v>
      </c>
      <c r="BM15" s="60">
        <f t="shared" ca="1" si="5"/>
        <v>-5.666582661390728</v>
      </c>
      <c r="BN15" s="65">
        <f t="shared" ca="1" si="6"/>
        <v>-6.9404780390990686</v>
      </c>
      <c r="BO15"/>
      <c r="BP15"/>
      <c r="BQ15"/>
      <c r="BR15"/>
      <c r="BS15"/>
      <c r="BT15"/>
      <c r="BU15"/>
      <c r="BV15"/>
      <c r="BW15"/>
      <c r="BX15"/>
      <c r="BY15"/>
      <c r="BZ15"/>
      <c r="CA15"/>
      <c r="CB15"/>
      <c r="CC15"/>
      <c r="CD15"/>
      <c r="CE15"/>
      <c r="CF15"/>
    </row>
    <row r="16" spans="1:84" s="63" customFormat="1" x14ac:dyDescent="0.25">
      <c r="A16" s="61">
        <v>2028</v>
      </c>
      <c r="B16" s="62">
        <f>$B$6*Yield!M11</f>
        <v>-3.5150601474927448E-2</v>
      </c>
      <c r="C16" s="62">
        <f>$C$6*Yield!M10</f>
        <v>-3.2456918370401593E-2</v>
      </c>
      <c r="D16" s="62">
        <f>$D$6*Yield!M9</f>
        <v>-1.1266483292412782E-2</v>
      </c>
      <c r="E16" s="62">
        <f>$E$6*Yield!M8</f>
        <v>-5.027543156681356E-3</v>
      </c>
      <c r="F16" s="62">
        <f>$F$6*Yield!M7</f>
        <v>-5.9653990216530827E-4</v>
      </c>
      <c r="G16" s="62">
        <f>$G$6*Yield!M6</f>
        <v>-1.6450807427573582E-4</v>
      </c>
      <c r="H16" s="62">
        <f>$H$6*Yield!M5</f>
        <v>-6.9095443440379741E-5</v>
      </c>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23"/>
      <c r="BJ16" s="61">
        <v>2028</v>
      </c>
      <c r="BK16" s="65">
        <f t="shared" si="7"/>
        <v>-8.4731689714304587E-2</v>
      </c>
      <c r="BL16" s="65">
        <f t="shared" si="4"/>
        <v>-1.7914237763078056</v>
      </c>
      <c r="BM16" s="60">
        <f t="shared" ca="1" si="5"/>
        <v>-7.6126641295053821</v>
      </c>
      <c r="BN16" s="65">
        <f t="shared" ca="1" si="6"/>
        <v>-9.4888195955274917</v>
      </c>
      <c r="BO16"/>
      <c r="BP16"/>
      <c r="BQ16"/>
      <c r="BR16"/>
      <c r="BS16"/>
      <c r="BT16"/>
      <c r="BU16"/>
      <c r="BV16"/>
      <c r="BW16"/>
      <c r="BX16"/>
      <c r="BY16"/>
      <c r="BZ16"/>
      <c r="CA16"/>
      <c r="CB16"/>
      <c r="CC16"/>
      <c r="CD16"/>
      <c r="CE16"/>
      <c r="CF16"/>
    </row>
    <row r="17" spans="1:84" s="63" customFormat="1" x14ac:dyDescent="0.25">
      <c r="A17" s="61">
        <v>2029</v>
      </c>
      <c r="B17" s="62">
        <f>$B$6*Yield!M12</f>
        <v>-4.1560766771231446E-2</v>
      </c>
      <c r="C17" s="62">
        <f>$C$6*Yield!M11</f>
        <v>-3.9813661301760214E-2</v>
      </c>
      <c r="D17" s="62">
        <f>$D$6*Yield!M10</f>
        <v>-1.4590030697038259E-2</v>
      </c>
      <c r="E17" s="62">
        <f>$E$6*Yield!M9</f>
        <v>-7.081789498088035E-3</v>
      </c>
      <c r="F17" s="62">
        <f>$F$6*Yield!M8</f>
        <v>-9.1409875576024661E-4</v>
      </c>
      <c r="G17" s="62">
        <f>$G$6*Yield!M7</f>
        <v>-2.9826995108265413E-4</v>
      </c>
      <c r="H17" s="62">
        <f>$H$6*Yield!M6</f>
        <v>-8.2254037137867911E-5</v>
      </c>
      <c r="I17" s="62">
        <f>$I$6*Yield!M5</f>
        <v>-6.9095443440379741E-5</v>
      </c>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23"/>
      <c r="BJ17" s="61">
        <v>2029</v>
      </c>
      <c r="BK17" s="65">
        <f t="shared" si="7"/>
        <v>-0.10440996645553911</v>
      </c>
      <c r="BL17" s="65">
        <f t="shared" si="4"/>
        <v>-2.3276376276476975</v>
      </c>
      <c r="BM17" s="60">
        <f t="shared" ca="1" si="5"/>
        <v>-8.8882539073640707</v>
      </c>
      <c r="BN17" s="65">
        <f t="shared" ca="1" si="6"/>
        <v>-11.320301501467307</v>
      </c>
      <c r="BO17"/>
      <c r="BP17"/>
      <c r="BQ17"/>
      <c r="BR17"/>
      <c r="BS17"/>
      <c r="BT17"/>
      <c r="BU17"/>
      <c r="BV17"/>
      <c r="BW17"/>
      <c r="BX17"/>
      <c r="BY17"/>
      <c r="BZ17"/>
      <c r="CA17"/>
      <c r="CB17"/>
      <c r="CC17"/>
      <c r="CD17"/>
      <c r="CE17"/>
      <c r="CF17"/>
    </row>
    <row r="18" spans="1:84" s="63" customFormat="1" x14ac:dyDescent="0.25">
      <c r="A18" s="61">
        <v>2030</v>
      </c>
      <c r="B18" s="62">
        <f>$B$6*Yield!M13</f>
        <v>-4.7778214092194286E-2</v>
      </c>
      <c r="C18" s="62">
        <f>$C$6*Yield!M12</f>
        <v>-4.7074195667790475E-2</v>
      </c>
      <c r="D18" s="62">
        <f>$D$6*Yield!M11</f>
        <v>-1.7897033043158199E-2</v>
      </c>
      <c r="E18" s="62">
        <f>$E$6*Yield!M10</f>
        <v>-9.1708764381383343E-3</v>
      </c>
      <c r="F18" s="62">
        <f>$F$6*Yield!M9</f>
        <v>-1.2875980905614609E-3</v>
      </c>
      <c r="G18" s="62">
        <f>$G$6*Yield!M8</f>
        <v>-4.570493778801233E-4</v>
      </c>
      <c r="H18" s="62">
        <f>$H$6*Yield!M7</f>
        <v>-1.4913497554132707E-4</v>
      </c>
      <c r="I18" s="62">
        <f>$I$6*Yield!M6</f>
        <v>-8.2254037137867911E-5</v>
      </c>
      <c r="J18" s="62">
        <f>$J$6*Yield!M5</f>
        <v>-6.9095443440379741E-5</v>
      </c>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23"/>
      <c r="BJ18" s="61">
        <v>2030</v>
      </c>
      <c r="BK18" s="65">
        <f t="shared" si="7"/>
        <v>-0.12396545116584246</v>
      </c>
      <c r="BL18" s="65">
        <f t="shared" si="4"/>
        <v>-2.7569740432543903</v>
      </c>
      <c r="BM18" s="60">
        <f ca="1">BK140</f>
        <v>-9.3878149969818629</v>
      </c>
      <c r="BN18" s="65">
        <f t="shared" ca="1" si="6"/>
        <v>-12.268754491402095</v>
      </c>
      <c r="BO18"/>
      <c r="BP18"/>
      <c r="BQ18"/>
      <c r="BR18"/>
      <c r="BS18"/>
      <c r="BT18"/>
      <c r="BU18"/>
      <c r="BV18"/>
      <c r="BW18"/>
      <c r="BX18"/>
      <c r="BY18"/>
      <c r="BZ18"/>
      <c r="CA18"/>
      <c r="CB18"/>
      <c r="CC18"/>
      <c r="CD18"/>
      <c r="CE18"/>
      <c r="CF18"/>
    </row>
    <row r="19" spans="1:84" s="63" customFormat="1" x14ac:dyDescent="0.25">
      <c r="A19" s="61">
        <v>2031</v>
      </c>
      <c r="B19" s="62">
        <f>$B$6*Yield!M14</f>
        <v>-5.4029539570663407E-2</v>
      </c>
      <c r="C19" s="62">
        <f>$C$6*Yield!M13</f>
        <v>-5.4116446195848093E-2</v>
      </c>
      <c r="D19" s="62">
        <f>$D$6*Yield!M12</f>
        <v>-2.116078772462188E-2</v>
      </c>
      <c r="E19" s="62">
        <f>$E$6*Yield!M11</f>
        <v>-1.1249563627128012E-2</v>
      </c>
      <c r="F19" s="62">
        <f>$F$6*Yield!M10</f>
        <v>-1.6674320796615152E-3</v>
      </c>
      <c r="G19" s="62">
        <f>$G$6*Yield!M9</f>
        <v>-6.4379904528073047E-4</v>
      </c>
      <c r="H19" s="62">
        <f>$H$6*Yield!M8</f>
        <v>-2.2852468894006165E-4</v>
      </c>
      <c r="I19" s="62">
        <f>$I$6*Yield!M7</f>
        <v>-1.4913497554132707E-4</v>
      </c>
      <c r="J19" s="62">
        <f>$J$6*Yield!M6</f>
        <v>-8.2254037137867911E-5</v>
      </c>
      <c r="K19" s="62">
        <f>$K$6*Yield!M5</f>
        <v>-6.9095443440379741E-5</v>
      </c>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23"/>
      <c r="BJ19" s="61">
        <v>2031</v>
      </c>
      <c r="BK19" s="65">
        <f t="shared" si="7"/>
        <v>-0.14339657738826328</v>
      </c>
      <c r="BL19" s="65">
        <f t="shared" si="4"/>
        <v>-3.1008085323230556</v>
      </c>
      <c r="BM19" s="60">
        <f t="shared" ca="1" si="5"/>
        <v>-9.5932372819962719</v>
      </c>
      <c r="BN19" s="65">
        <f t="shared" ca="1" si="6"/>
        <v>-12.83744239170759</v>
      </c>
      <c r="BO19"/>
      <c r="BP19"/>
      <c r="BQ19"/>
      <c r="BR19"/>
      <c r="BS19"/>
      <c r="BT19"/>
      <c r="BU19"/>
      <c r="BV19"/>
      <c r="BW19"/>
      <c r="BX19"/>
      <c r="BY19"/>
      <c r="BZ19"/>
      <c r="CA19"/>
      <c r="CB19"/>
      <c r="CC19"/>
      <c r="CD19"/>
      <c r="CE19"/>
      <c r="CF19"/>
    </row>
    <row r="20" spans="1:84" s="63" customFormat="1" x14ac:dyDescent="0.25">
      <c r="A20" s="61">
        <v>2032</v>
      </c>
      <c r="B20" s="62">
        <f>$B$6*Yield!M15</f>
        <v>-5.8916941396155158E-2</v>
      </c>
      <c r="C20" s="62">
        <f>$C$6*Yield!M14</f>
        <v>-6.1197069139508474E-2</v>
      </c>
      <c r="D20" s="62">
        <f>$D$6*Yield!M13</f>
        <v>-2.4326419477089554E-2</v>
      </c>
      <c r="E20" s="62">
        <f>$E$6*Yield!M12</f>
        <v>-1.3301066569762324E-2</v>
      </c>
      <c r="F20" s="62">
        <f>$F$6*Yield!M11</f>
        <v>-2.0453752049323657E-3</v>
      </c>
      <c r="G20" s="62">
        <f>$G$6*Yield!M10</f>
        <v>-8.3371603983075759E-4</v>
      </c>
      <c r="H20" s="62">
        <f>$H$6*Yield!M9</f>
        <v>-3.2189952264036523E-4</v>
      </c>
      <c r="I20" s="62">
        <f>$I$6*Yield!M8</f>
        <v>-2.2852468894006165E-4</v>
      </c>
      <c r="J20" s="62">
        <f>$J$6*Yield!M7</f>
        <v>-1.4913497554132707E-4</v>
      </c>
      <c r="K20" s="62">
        <f>$K$6*Yield!M6</f>
        <v>-8.2254037137867911E-5</v>
      </c>
      <c r="L20" s="62">
        <f>$L$6*Yield!M5</f>
        <v>-6.9095443440379741E-5</v>
      </c>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23"/>
      <c r="BJ20" s="61">
        <v>2032</v>
      </c>
      <c r="BK20" s="65">
        <f t="shared" si="7"/>
        <v>-0.16147149649497866</v>
      </c>
      <c r="BL20" s="65">
        <f t="shared" si="4"/>
        <v>-3.3647588170553799</v>
      </c>
      <c r="BM20" s="60">
        <f t="shared" ca="1" si="5"/>
        <v>-9.7072340794202834</v>
      </c>
      <c r="BN20" s="65">
        <f t="shared" ca="1" si="6"/>
        <v>-13.233464392970642</v>
      </c>
      <c r="BO20"/>
      <c r="BP20"/>
      <c r="BQ20"/>
      <c r="BR20"/>
      <c r="BS20"/>
      <c r="BT20"/>
      <c r="BU20"/>
      <c r="BV20"/>
      <c r="BW20"/>
      <c r="BX20"/>
      <c r="BY20"/>
      <c r="BZ20"/>
      <c r="CA20"/>
      <c r="CB20"/>
      <c r="CC20"/>
      <c r="CD20"/>
      <c r="CE20"/>
      <c r="CF20"/>
    </row>
    <row r="21" spans="1:84" s="63" customFormat="1" x14ac:dyDescent="0.25">
      <c r="A21" s="61">
        <v>2033</v>
      </c>
      <c r="B21" s="62">
        <f>$B$6*Yield!M16</f>
        <v>-6.1495075706506148E-2</v>
      </c>
      <c r="C21" s="62">
        <f>$C$6*Yield!M15</f>
        <v>-6.6732831054266292E-2</v>
      </c>
      <c r="D21" s="62">
        <f>$D$6*Yield!M14</f>
        <v>-2.7509300393978031E-2</v>
      </c>
      <c r="E21" s="62">
        <f>$E$6*Yield!M13</f>
        <v>-1.5290892242742004E-2</v>
      </c>
      <c r="F21" s="62">
        <f>$F$6*Yield!M12</f>
        <v>-2.4183757399567863E-3</v>
      </c>
      <c r="G21" s="62">
        <f>$G$6*Yield!M11</f>
        <v>-1.0226876024661828E-3</v>
      </c>
      <c r="H21" s="62">
        <f>$H$6*Yield!M10</f>
        <v>-4.1685801991537879E-4</v>
      </c>
      <c r="I21" s="62">
        <f>$I$6*Yield!M9</f>
        <v>-3.2189952264036523E-4</v>
      </c>
      <c r="J21" s="62">
        <f>$J$6*Yield!M8</f>
        <v>-2.2852468894006165E-4</v>
      </c>
      <c r="K21" s="62">
        <f>$K$6*Yield!M7</f>
        <v>-1.4913497554132707E-4</v>
      </c>
      <c r="L21" s="62">
        <f>$L$6*Yield!M6</f>
        <v>-8.2254037137867911E-5</v>
      </c>
      <c r="M21" s="62">
        <f>$M$6*Yield!M5</f>
        <v>-6.9095443440379741E-5</v>
      </c>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23"/>
      <c r="BJ21" s="61">
        <v>2033</v>
      </c>
      <c r="BK21" s="65">
        <f t="shared" si="7"/>
        <v>-0.17573692942753083</v>
      </c>
      <c r="BL21" s="65">
        <f t="shared" si="4"/>
        <v>-3.6543474693934224</v>
      </c>
      <c r="BM21" s="60">
        <f t="shared" ca="1" si="5"/>
        <v>-10.150851654077526</v>
      </c>
      <c r="BN21" s="65">
        <f t="shared" ca="1" si="6"/>
        <v>-13.980936052898478</v>
      </c>
      <c r="BO21"/>
      <c r="BP21"/>
      <c r="BQ21"/>
      <c r="BR21"/>
      <c r="BS21"/>
      <c r="BT21"/>
      <c r="BU21"/>
      <c r="BV21"/>
      <c r="BW21"/>
      <c r="BX21"/>
      <c r="BY21"/>
      <c r="BZ21"/>
      <c r="CA21"/>
      <c r="CB21"/>
      <c r="CC21"/>
      <c r="CD21"/>
      <c r="CE21"/>
      <c r="CF21"/>
    </row>
    <row r="22" spans="1:84" s="63" customFormat="1" x14ac:dyDescent="0.25">
      <c r="A22" s="61">
        <v>2034</v>
      </c>
      <c r="B22" s="62">
        <f>$B$6*Yield!M17</f>
        <v>-6.9849632912348747E-2</v>
      </c>
      <c r="C22" s="62">
        <f>$C$6*Yield!M16</f>
        <v>-6.9652979271245655E-2</v>
      </c>
      <c r="D22" s="62">
        <f>$D$6*Yield!M15</f>
        <v>-2.9997735535789445E-2</v>
      </c>
      <c r="E22" s="62">
        <f>$E$6*Yield!M14</f>
        <v>-1.7291560247643334E-2</v>
      </c>
      <c r="F22" s="62">
        <f>$F$6*Yield!M13</f>
        <v>-2.7801622259530918E-3</v>
      </c>
      <c r="G22" s="62">
        <f>$G$6*Yield!M12</f>
        <v>-1.2091878699783932E-3</v>
      </c>
      <c r="H22" s="62">
        <f>$H$6*Yield!M11</f>
        <v>-5.1134380123309142E-4</v>
      </c>
      <c r="I22" s="62">
        <f>$I$6*Yield!M10</f>
        <v>-4.1685801991537879E-4</v>
      </c>
      <c r="J22" s="62">
        <f>$J$6*Yield!M9</f>
        <v>-3.2189952264036523E-4</v>
      </c>
      <c r="K22" s="62">
        <f>$K$6*Yield!M8</f>
        <v>-2.2852468894006165E-4</v>
      </c>
      <c r="L22" s="62">
        <f>$L$6*Yield!M7</f>
        <v>-1.4913497554132707E-4</v>
      </c>
      <c r="M22" s="62">
        <f>$M$6*Yield!M6</f>
        <v>-8.2254037137867911E-5</v>
      </c>
      <c r="N22" s="62">
        <f>$N$6*Yield!M5</f>
        <v>-6.9095443440379741E-5</v>
      </c>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23"/>
      <c r="BJ22" s="61">
        <v>2034</v>
      </c>
      <c r="BK22" s="65">
        <f t="shared" si="7"/>
        <v>-0.19256036855180714</v>
      </c>
      <c r="BL22" s="65">
        <f t="shared" si="4"/>
        <v>-3.9686599177441395</v>
      </c>
      <c r="BM22" s="60">
        <f t="shared" ca="1" si="5"/>
        <v>-10.84793890221081</v>
      </c>
      <c r="BN22" s="65">
        <f t="shared" ca="1" si="6"/>
        <v>-15.009159188506757</v>
      </c>
      <c r="BO22"/>
      <c r="BP22"/>
      <c r="BQ22"/>
      <c r="BR22"/>
      <c r="BS22"/>
      <c r="BT22"/>
      <c r="BU22"/>
      <c r="BV22"/>
      <c r="BW22"/>
      <c r="BX22"/>
      <c r="BY22"/>
      <c r="BZ22"/>
      <c r="CA22"/>
      <c r="CB22"/>
      <c r="CC22"/>
      <c r="CD22"/>
      <c r="CE22"/>
      <c r="CF22"/>
    </row>
    <row r="23" spans="1:84" s="63" customFormat="1" x14ac:dyDescent="0.25">
      <c r="A23" s="61">
        <v>2035</v>
      </c>
      <c r="B23" s="62">
        <f>$B$6*Yield!M18</f>
        <v>-7.2759720657256832E-2</v>
      </c>
      <c r="C23" s="62">
        <f>$C$6*Yield!M17</f>
        <v>-7.9115847528474642E-2</v>
      </c>
      <c r="D23" s="62">
        <f>$D$6*Yield!M16</f>
        <v>-3.1310400269989325E-2</v>
      </c>
      <c r="E23" s="62">
        <f>$E$6*Yield!M15</f>
        <v>-1.8855719479639078E-2</v>
      </c>
      <c r="F23" s="62">
        <f>$F$6*Yield!M14</f>
        <v>-3.1439200450260607E-3</v>
      </c>
      <c r="G23" s="62">
        <f>$G$6*Yield!M13</f>
        <v>-1.3900811129765459E-3</v>
      </c>
      <c r="H23" s="62">
        <f>$H$6*Yield!M12</f>
        <v>-6.0459393498919658E-4</v>
      </c>
      <c r="I23" s="62">
        <f>$I$6*Yield!M11</f>
        <v>-5.1134380123309142E-4</v>
      </c>
      <c r="J23" s="62">
        <f>$J$6*Yield!M10</f>
        <v>-4.1685801991537879E-4</v>
      </c>
      <c r="K23" s="62">
        <f>$K$6*Yield!M9</f>
        <v>-3.2189952264036523E-4</v>
      </c>
      <c r="L23" s="62">
        <f>$L$6*Yield!M8</f>
        <v>-2.2852468894006165E-4</v>
      </c>
      <c r="M23" s="62">
        <f>$M$6*Yield!M7</f>
        <v>-1.4913497554132707E-4</v>
      </c>
      <c r="N23" s="62">
        <f>$N$6*Yield!M6</f>
        <v>-8.2254037137867911E-5</v>
      </c>
      <c r="O23" s="62">
        <f>$O$6*Yield!M5</f>
        <v>-6.9095443440379741E-5</v>
      </c>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23"/>
      <c r="BJ23" s="61">
        <v>2035</v>
      </c>
      <c r="BK23" s="65">
        <f t="shared" si="7"/>
        <v>-0.20895939351720014</v>
      </c>
      <c r="BL23" s="65">
        <f t="shared" si="4"/>
        <v>-4.3277476541259192</v>
      </c>
      <c r="BM23" s="60">
        <f t="shared" ca="1" si="5"/>
        <v>-11.722710113315596</v>
      </c>
      <c r="BN23" s="65">
        <f t="shared" ca="1" si="6"/>
        <v>-16.259417160958716</v>
      </c>
      <c r="BO23"/>
      <c r="BP23"/>
      <c r="BQ23"/>
      <c r="BR23"/>
      <c r="BS23"/>
      <c r="BT23"/>
      <c r="BU23"/>
      <c r="BV23"/>
      <c r="BW23"/>
      <c r="BX23"/>
      <c r="BY23"/>
      <c r="BZ23"/>
      <c r="CA23"/>
      <c r="CB23"/>
      <c r="CC23"/>
      <c r="CD23"/>
      <c r="CE23"/>
      <c r="CF23"/>
    </row>
    <row r="24" spans="1:84" s="63" customFormat="1" x14ac:dyDescent="0.25">
      <c r="A24" s="61">
        <v>2036</v>
      </c>
      <c r="B24" s="62">
        <f>$B$6*Yield!M19</f>
        <v>-7.6165567472964602E-2</v>
      </c>
      <c r="C24" s="62">
        <f>$C$6*Yield!M18</f>
        <v>-8.2411985943540336E-2</v>
      </c>
      <c r="D24" s="62">
        <f>$D$6*Yield!M17</f>
        <v>-3.5564147861778694E-2</v>
      </c>
      <c r="E24" s="62">
        <f>$E$6*Yield!M16</f>
        <v>-1.9680823026850435E-2</v>
      </c>
      <c r="F24" s="62">
        <f>$F$6*Yield!M15</f>
        <v>-3.4283126326616507E-3</v>
      </c>
      <c r="G24" s="62">
        <f>$G$6*Yield!M14</f>
        <v>-1.5719600225130304E-3</v>
      </c>
      <c r="H24" s="62">
        <f>$H$6*Yield!M13</f>
        <v>-6.9504055648827296E-4</v>
      </c>
      <c r="I24" s="62">
        <f>$I$6*Yield!M12</f>
        <v>-6.0459393498919658E-4</v>
      </c>
      <c r="J24" s="62">
        <f>$J$6*Yield!M11</f>
        <v>-5.1134380123309142E-4</v>
      </c>
      <c r="K24" s="62">
        <f>$K$6*Yield!M10</f>
        <v>-4.1685801991537879E-4</v>
      </c>
      <c r="L24" s="62">
        <f>$L$6*Yield!M9</f>
        <v>-3.2189952264036523E-4</v>
      </c>
      <c r="M24" s="62">
        <f>$M$6*Yield!M8</f>
        <v>-2.2852468894006165E-4</v>
      </c>
      <c r="N24" s="62">
        <f>$N$6*Yield!M7</f>
        <v>-1.4913497554132707E-4</v>
      </c>
      <c r="O24" s="62">
        <f>$O$6*Yield!M6</f>
        <v>-8.2254037137867911E-5</v>
      </c>
      <c r="P24" s="62">
        <f>$P$6*Yield!M5</f>
        <v>-6.9095443440379741E-5</v>
      </c>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23"/>
      <c r="BJ24" s="61">
        <v>2036</v>
      </c>
      <c r="BK24" s="65">
        <f t="shared" si="7"/>
        <v>-0.22190154194063469</v>
      </c>
      <c r="BL24" s="65">
        <f t="shared" si="4"/>
        <v>-4.715430093740073</v>
      </c>
      <c r="BM24" s="60">
        <f t="shared" ca="1" si="5"/>
        <v>-12.636432392532503</v>
      </c>
      <c r="BN24" s="65">
        <f t="shared" ca="1" si="6"/>
        <v>-17.573764028213212</v>
      </c>
      <c r="BO24"/>
      <c r="BP24"/>
      <c r="BQ24"/>
      <c r="BR24"/>
      <c r="BS24"/>
      <c r="BT24"/>
      <c r="BU24"/>
      <c r="BV24"/>
      <c r="BW24"/>
      <c r="BX24"/>
      <c r="BY24"/>
      <c r="BZ24"/>
      <c r="CA24"/>
      <c r="CB24"/>
      <c r="CC24"/>
      <c r="CD24"/>
      <c r="CE24"/>
      <c r="CF24"/>
    </row>
    <row r="25" spans="1:84" s="63" customFormat="1" x14ac:dyDescent="0.25">
      <c r="A25" s="61">
        <v>2037</v>
      </c>
      <c r="B25" s="62">
        <f>$B$6*Yield!M20</f>
        <v>-7.851983326213853E-2</v>
      </c>
      <c r="C25" s="62">
        <f>$C$6*Yield!M19</f>
        <v>-8.6269650560260744E-2</v>
      </c>
      <c r="D25" s="62">
        <f>$D$6*Yield!M18</f>
        <v>-3.7045827672187032E-2</v>
      </c>
      <c r="E25" s="62">
        <f>$E$6*Yield!M17</f>
        <v>-2.2354607227403751E-2</v>
      </c>
      <c r="F25" s="62">
        <f>$F$6*Yield!M16</f>
        <v>-3.5783314594273518E-3</v>
      </c>
      <c r="G25" s="62">
        <f>$G$6*Yield!M15</f>
        <v>-1.7141563163308253E-3</v>
      </c>
      <c r="H25" s="62">
        <f>$H$6*Yield!M14</f>
        <v>-7.8598001125651518E-4</v>
      </c>
      <c r="I25" s="62">
        <f>$I$6*Yield!M13</f>
        <v>-6.9504055648827296E-4</v>
      </c>
      <c r="J25" s="62">
        <f>$J$6*Yield!M12</f>
        <v>-6.0459393498919658E-4</v>
      </c>
      <c r="K25" s="62">
        <f>$K$6*Yield!M11</f>
        <v>-5.1134380123309142E-4</v>
      </c>
      <c r="L25" s="62">
        <f>$L$6*Yield!M10</f>
        <v>-4.1685801991537879E-4</v>
      </c>
      <c r="M25" s="62">
        <f>$M$6*Yield!M9</f>
        <v>-3.2189952264036523E-4</v>
      </c>
      <c r="N25" s="62">
        <f>$N$6*Yield!M8</f>
        <v>-2.2852468894006165E-4</v>
      </c>
      <c r="O25" s="62">
        <f>$O$6*Yield!M7</f>
        <v>-1.4913497554132707E-4</v>
      </c>
      <c r="P25" s="62">
        <f>$P$6*Yield!M6</f>
        <v>-8.2254037137867911E-5</v>
      </c>
      <c r="Q25" s="62">
        <f>$Q$6*Yield!M5</f>
        <v>-6.9095443440379741E-5</v>
      </c>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23"/>
      <c r="BJ25" s="61">
        <v>2037</v>
      </c>
      <c r="BK25" s="65">
        <f t="shared" si="7"/>
        <v>-0.2333471314893307</v>
      </c>
      <c r="BL25" s="65">
        <f t="shared" si="4"/>
        <v>-5.1139993487321371</v>
      </c>
      <c r="BM25" s="60">
        <f t="shared" ca="1" si="5"/>
        <v>-13.543286328727371</v>
      </c>
      <c r="BN25" s="65">
        <f t="shared" ca="1" si="6"/>
        <v>-18.890632808948837</v>
      </c>
      <c r="BO25"/>
      <c r="BP25"/>
      <c r="BQ25"/>
      <c r="BR25"/>
      <c r="BS25"/>
      <c r="BT25"/>
      <c r="BU25"/>
      <c r="BV25"/>
      <c r="BW25"/>
      <c r="BX25"/>
      <c r="BY25"/>
      <c r="BZ25"/>
      <c r="CA25"/>
      <c r="CB25"/>
      <c r="CC25"/>
      <c r="CD25"/>
      <c r="CE25"/>
      <c r="CF25"/>
    </row>
    <row r="26" spans="1:84" s="63" customFormat="1" x14ac:dyDescent="0.25">
      <c r="A26" s="61">
        <v>2038</v>
      </c>
      <c r="B26" s="62">
        <f>$B$6*Yield!M21</f>
        <v>-7.9652028569090344E-2</v>
      </c>
      <c r="C26" s="62">
        <f>$C$6*Yield!M20</f>
        <v>-8.8936231978827648E-2</v>
      </c>
      <c r="D26" s="62">
        <f>$D$6*Yield!M19</f>
        <v>-3.8779924684556377E-2</v>
      </c>
      <c r="E26" s="62">
        <f>$E$6*Yield!M18</f>
        <v>-2.3285948822517565E-2</v>
      </c>
      <c r="F26" s="62">
        <f>$F$6*Yield!M17</f>
        <v>-4.0644740413461359E-3</v>
      </c>
      <c r="G26" s="62">
        <f>$G$6*Yield!M16</f>
        <v>-1.7891657297136759E-3</v>
      </c>
      <c r="H26" s="62">
        <f>$H$6*Yield!M15</f>
        <v>-8.5707815816541267E-4</v>
      </c>
      <c r="I26" s="62">
        <f>$I$6*Yield!M14</f>
        <v>-7.8598001125651518E-4</v>
      </c>
      <c r="J26" s="62">
        <f>$J$6*Yield!M13</f>
        <v>-6.9504055648827296E-4</v>
      </c>
      <c r="K26" s="62">
        <f>$K$6*Yield!M12</f>
        <v>-6.0459393498919658E-4</v>
      </c>
      <c r="L26" s="62">
        <f>$L$6*Yield!M11</f>
        <v>-5.1134380123309142E-4</v>
      </c>
      <c r="M26" s="62">
        <f>$M$6*Yield!M10</f>
        <v>-4.1685801991537879E-4</v>
      </c>
      <c r="N26" s="62">
        <f>$N$6*Yield!M9</f>
        <v>-3.2189952264036523E-4</v>
      </c>
      <c r="O26" s="62">
        <f>$O$6*Yield!M8</f>
        <v>-2.2852468894006165E-4</v>
      </c>
      <c r="P26" s="62">
        <f>$P$6*Yield!M7</f>
        <v>-1.4913497554132707E-4</v>
      </c>
      <c r="Q26" s="62">
        <f>$Q$6*Yield!M6</f>
        <v>-8.2254037137867911E-5</v>
      </c>
      <c r="R26" s="62">
        <f>$R$6*Yield!M5</f>
        <v>-6.9095443440379741E-5</v>
      </c>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23"/>
      <c r="BJ26" s="61">
        <v>2038</v>
      </c>
      <c r="BK26" s="65">
        <f t="shared" si="7"/>
        <v>-0.24122957697579961</v>
      </c>
      <c r="BL26" s="65">
        <f t="shared" si="4"/>
        <v>-5.5170712258129697</v>
      </c>
      <c r="BM26" s="60">
        <f t="shared" ca="1" si="5"/>
        <v>-11.557228957978939</v>
      </c>
      <c r="BN26" s="65">
        <f t="shared" ca="1" si="6"/>
        <v>-17.31552976076771</v>
      </c>
      <c r="BO26"/>
      <c r="BP26"/>
      <c r="BQ26"/>
      <c r="BR26"/>
      <c r="BS26"/>
      <c r="BT26"/>
      <c r="BU26"/>
      <c r="BV26"/>
      <c r="BW26"/>
      <c r="BX26"/>
      <c r="BY26"/>
      <c r="BZ26"/>
      <c r="CA26"/>
      <c r="CB26"/>
      <c r="CC26"/>
      <c r="CD26"/>
      <c r="CE26"/>
      <c r="CF26"/>
    </row>
    <row r="27" spans="1:84" s="63" customFormat="1" x14ac:dyDescent="0.25">
      <c r="A27" s="61">
        <v>2039</v>
      </c>
      <c r="B27" s="62">
        <f>$B$6*Yield!M22</f>
        <v>-8.1221210470479088E-2</v>
      </c>
      <c r="C27" s="62">
        <f>$C$6*Yield!M21</f>
        <v>-9.0218623704345496E-2</v>
      </c>
      <c r="D27" s="62">
        <f>$D$6*Yield!M20</f>
        <v>-3.9978606096915045E-2</v>
      </c>
      <c r="E27" s="62">
        <f>$E$6*Yield!M19</f>
        <v>-2.4375952658864008E-2</v>
      </c>
      <c r="F27" s="62">
        <f>$F$6*Yield!M18</f>
        <v>-4.2338088768213754E-3</v>
      </c>
      <c r="G27" s="62">
        <f>$G$6*Yield!M17</f>
        <v>-2.032237020673068E-3</v>
      </c>
      <c r="H27" s="62">
        <f>$H$6*Yield!M16</f>
        <v>-8.9458286485683794E-4</v>
      </c>
      <c r="I27" s="62">
        <f>$I$6*Yield!M15</f>
        <v>-8.5707815816541267E-4</v>
      </c>
      <c r="J27" s="62">
        <f>$J$6*Yield!M14</f>
        <v>-7.8598001125651518E-4</v>
      </c>
      <c r="K27" s="62">
        <f>$K$6*Yield!M13</f>
        <v>-6.9504055648827296E-4</v>
      </c>
      <c r="L27" s="62">
        <f>$L$6*Yield!M12</f>
        <v>-6.0459393498919658E-4</v>
      </c>
      <c r="M27" s="62">
        <f>$M$6*Yield!M11</f>
        <v>-5.1134380123309142E-4</v>
      </c>
      <c r="N27" s="62">
        <f>$N$6*Yield!M10</f>
        <v>-4.1685801991537879E-4</v>
      </c>
      <c r="O27" s="62">
        <f>$O$6*Yield!M9</f>
        <v>-3.2189952264036523E-4</v>
      </c>
      <c r="P27" s="62">
        <f>$P$6*Yield!M8</f>
        <v>-2.2852468894006165E-4</v>
      </c>
      <c r="Q27" s="62">
        <f>$Q$6*Yield!M7</f>
        <v>-1.4913497554132707E-4</v>
      </c>
      <c r="R27" s="62">
        <f>$R$6*Yield!M6</f>
        <v>-8.2254037137867911E-5</v>
      </c>
      <c r="S27" s="62">
        <f>$S$6*Yield!M5</f>
        <v>-6.9095443440379741E-5</v>
      </c>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23"/>
      <c r="BJ27" s="61">
        <v>2039</v>
      </c>
      <c r="BK27" s="65">
        <f t="shared" si="7"/>
        <v>-0.24767682484270276</v>
      </c>
      <c r="BL27" s="65">
        <f t="shared" si="4"/>
        <v>-5.9182887520212448</v>
      </c>
      <c r="BM27" s="60">
        <f t="shared" ca="1" si="5"/>
        <v>-9.9776595299998796</v>
      </c>
      <c r="BN27" s="65">
        <f t="shared" ca="1" si="6"/>
        <v>-16.143625106863826</v>
      </c>
      <c r="BO27"/>
      <c r="BP27"/>
      <c r="BQ27"/>
      <c r="BR27"/>
      <c r="BS27"/>
      <c r="BT27"/>
      <c r="BU27"/>
      <c r="BV27"/>
      <c r="BW27"/>
      <c r="BX27"/>
      <c r="BY27"/>
      <c r="BZ27"/>
      <c r="CA27"/>
      <c r="CB27"/>
      <c r="CC27"/>
      <c r="CD27"/>
      <c r="CE27"/>
      <c r="CF27"/>
    </row>
    <row r="28" spans="1:84" s="63" customFormat="1" x14ac:dyDescent="0.25">
      <c r="A28" s="61">
        <v>2040</v>
      </c>
      <c r="B28" s="62">
        <f>$B$6*Yield!M23</f>
        <v>-8.1224100134066293E-2</v>
      </c>
      <c r="C28" s="62">
        <f>$C$6*Yield!M22</f>
        <v>-9.1995972430150549E-2</v>
      </c>
      <c r="D28" s="62">
        <f>$D$6*Yield!M21</f>
        <v>-4.055506669700687E-2</v>
      </c>
      <c r="E28" s="62">
        <f>$E$6*Yield!M20</f>
        <v>-2.5129409546632314E-2</v>
      </c>
      <c r="F28" s="62">
        <f>$F$6*Yield!M19</f>
        <v>-4.4319913925207292E-3</v>
      </c>
      <c r="G28" s="62">
        <f>$G$6*Yield!M18</f>
        <v>-2.1169044384106877E-3</v>
      </c>
      <c r="H28" s="62">
        <f>$H$6*Yield!M17</f>
        <v>-1.016118510336534E-3</v>
      </c>
      <c r="I28" s="62">
        <f>$I$6*Yield!M16</f>
        <v>-8.9458286485683794E-4</v>
      </c>
      <c r="J28" s="62">
        <f>$J$6*Yield!M15</f>
        <v>-8.5707815816541267E-4</v>
      </c>
      <c r="K28" s="62">
        <f>$K$6*Yield!M14</f>
        <v>-7.8598001125651518E-4</v>
      </c>
      <c r="L28" s="62">
        <f>$L$6*Yield!M13</f>
        <v>-6.9504055648827296E-4</v>
      </c>
      <c r="M28" s="62">
        <f>$M$6*Yield!M12</f>
        <v>-6.0459393498919658E-4</v>
      </c>
      <c r="N28" s="62">
        <f>$N$6*Yield!M11</f>
        <v>-5.1134380123309142E-4</v>
      </c>
      <c r="O28" s="62">
        <f>$O$6*Yield!M10</f>
        <v>-4.1685801991537879E-4</v>
      </c>
      <c r="P28" s="62">
        <f>$P$6*Yield!M9</f>
        <v>-3.2189952264036523E-4</v>
      </c>
      <c r="Q28" s="62">
        <f>$Q$6*Yield!M8</f>
        <v>-2.2852468894006165E-4</v>
      </c>
      <c r="R28" s="62">
        <f>$R$6*Yield!M7</f>
        <v>-1.4913497554132707E-4</v>
      </c>
      <c r="S28" s="62">
        <f>$S$6*Yield!M6</f>
        <v>-8.2254037137867911E-5</v>
      </c>
      <c r="T28" s="62">
        <f>$T$6*Yield!M5</f>
        <v>-6.9095443440379741E-5</v>
      </c>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23"/>
      <c r="BJ28" s="61">
        <v>2040</v>
      </c>
      <c r="BK28" s="65">
        <f t="shared" si="7"/>
        <v>-0.25208594916372867</v>
      </c>
      <c r="BL28" s="65">
        <f t="shared" si="4"/>
        <v>-6.3162425736959387</v>
      </c>
      <c r="BM28" s="60">
        <f t="shared" ca="1" si="5"/>
        <v>-8.9177042498220462</v>
      </c>
      <c r="BN28" s="65">
        <f t="shared" ca="1" si="6"/>
        <v>-15.486032772681714</v>
      </c>
      <c r="BO28"/>
      <c r="BP28"/>
      <c r="BQ28"/>
      <c r="BR28"/>
      <c r="BS28"/>
      <c r="BT28"/>
      <c r="BU28"/>
      <c r="BV28"/>
      <c r="BW28"/>
      <c r="BX28"/>
      <c r="BY28"/>
      <c r="BZ28"/>
      <c r="CA28"/>
      <c r="CB28"/>
      <c r="CC28"/>
      <c r="CD28"/>
      <c r="CE28"/>
      <c r="CF28"/>
    </row>
    <row r="29" spans="1:84" s="63" customFormat="1" x14ac:dyDescent="0.25">
      <c r="A29" s="61">
        <v>2041</v>
      </c>
      <c r="B29" s="62">
        <f>$B$6*Yield!M24</f>
        <v>-7.932801338754164E-2</v>
      </c>
      <c r="C29" s="62">
        <f>$C$6*Yield!M23</f>
        <v>-9.1999245434950166E-2</v>
      </c>
      <c r="D29" s="62">
        <f>$D$6*Yield!M22</f>
        <v>-4.135402031832433E-2</v>
      </c>
      <c r="E29" s="62">
        <f>$E$6*Yield!M21</f>
        <v>-2.5491756209547176E-2</v>
      </c>
      <c r="F29" s="62">
        <f>$F$6*Yield!M20</f>
        <v>-4.568983553933148E-3</v>
      </c>
      <c r="G29" s="62">
        <f>$G$6*Yield!M19</f>
        <v>-2.2159956962603646E-3</v>
      </c>
      <c r="H29" s="62">
        <f>$H$6*Yield!M18</f>
        <v>-1.0584522192053439E-3</v>
      </c>
      <c r="I29" s="62">
        <f>$I$6*Yield!M17</f>
        <v>-1.016118510336534E-3</v>
      </c>
      <c r="J29" s="62">
        <f>$J$6*Yield!M16</f>
        <v>-8.9458286485683794E-4</v>
      </c>
      <c r="K29" s="62">
        <f>$K$6*Yield!M15</f>
        <v>-8.5707815816541267E-4</v>
      </c>
      <c r="L29" s="62">
        <f>$L$6*Yield!M14</f>
        <v>-7.8598001125651518E-4</v>
      </c>
      <c r="M29" s="62">
        <f>$M$6*Yield!M13</f>
        <v>-6.9504055648827296E-4</v>
      </c>
      <c r="N29" s="62">
        <f>$N$6*Yield!M12</f>
        <v>-6.0459393498919658E-4</v>
      </c>
      <c r="O29" s="62">
        <f>$O$6*Yield!M11</f>
        <v>-5.1134380123309142E-4</v>
      </c>
      <c r="P29" s="62">
        <f>$P$6*Yield!M10</f>
        <v>-4.1685801991537879E-4</v>
      </c>
      <c r="Q29" s="62">
        <f>$Q$6*Yield!M9</f>
        <v>-3.2189952264036523E-4</v>
      </c>
      <c r="R29" s="62">
        <f>$R$6*Yield!M8</f>
        <v>-2.2852468894006165E-4</v>
      </c>
      <c r="S29" s="62">
        <f>$S$6*Yield!M7</f>
        <v>-1.4913497554132707E-4</v>
      </c>
      <c r="T29" s="62">
        <f>$T$6*Yield!M6</f>
        <v>-8.2254037137867911E-5</v>
      </c>
      <c r="U29" s="62">
        <f>$U$6*Yield!M5</f>
        <v>-6.9095443440379741E-5</v>
      </c>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23"/>
      <c r="BJ29" s="61">
        <v>2041</v>
      </c>
      <c r="BK29" s="65">
        <f t="shared" si="7"/>
        <v>-0.25264897134470332</v>
      </c>
      <c r="BL29" s="65">
        <f t="shared" si="4"/>
        <v>-6.7059225419476824</v>
      </c>
      <c r="BM29" s="60">
        <f t="shared" ca="1" si="5"/>
        <v>-8.6465657535649694</v>
      </c>
      <c r="BN29" s="65">
        <f t="shared" ca="1" si="6"/>
        <v>-15.605137266857355</v>
      </c>
      <c r="BO29"/>
      <c r="BP29"/>
      <c r="BQ29"/>
      <c r="BR29"/>
      <c r="BS29"/>
      <c r="BT29"/>
      <c r="BU29"/>
      <c r="BV29"/>
      <c r="BW29"/>
      <c r="BX29"/>
      <c r="BY29"/>
      <c r="BZ29"/>
      <c r="CA29"/>
      <c r="CB29"/>
      <c r="CC29"/>
      <c r="CD29"/>
      <c r="CE29"/>
      <c r="CF29"/>
    </row>
    <row r="30" spans="1:84" s="63" customFormat="1" x14ac:dyDescent="0.25">
      <c r="A30" s="61">
        <v>2042</v>
      </c>
      <c r="B30" s="62">
        <f>$B$6*Yield!M25</f>
        <v>-7.4239433013922371E-2</v>
      </c>
      <c r="C30" s="62">
        <f>$C$6*Yield!M24</f>
        <v>-8.98516248436287E-2</v>
      </c>
      <c r="D30" s="62">
        <f>$D$6*Yield!M23</f>
        <v>-4.1355491599114239E-2</v>
      </c>
      <c r="E30" s="62">
        <f>$E$6*Yield!M22</f>
        <v>-2.5993955628661008E-2</v>
      </c>
      <c r="F30" s="62">
        <f>$F$6*Yield!M21</f>
        <v>-4.6348647653722142E-3</v>
      </c>
      <c r="G30" s="62">
        <f>$G$6*Yield!M20</f>
        <v>-2.284491776966574E-3</v>
      </c>
      <c r="H30" s="62">
        <f>$H$6*Yield!M19</f>
        <v>-1.1079978481301823E-3</v>
      </c>
      <c r="I30" s="62">
        <f>$I$6*Yield!M18</f>
        <v>-1.0584522192053439E-3</v>
      </c>
      <c r="J30" s="62">
        <f>$J$6*Yield!M17</f>
        <v>-1.016118510336534E-3</v>
      </c>
      <c r="K30" s="62">
        <f>$K$6*Yield!M16</f>
        <v>-8.9458286485683794E-4</v>
      </c>
      <c r="L30" s="62">
        <f>$L$6*Yield!M15</f>
        <v>-8.5707815816541267E-4</v>
      </c>
      <c r="M30" s="62">
        <f>$M$6*Yield!M14</f>
        <v>-7.8598001125651518E-4</v>
      </c>
      <c r="N30" s="62">
        <f>$N$6*Yield!M13</f>
        <v>-6.9504055648827296E-4</v>
      </c>
      <c r="O30" s="62">
        <f>$O$6*Yield!M12</f>
        <v>-6.0459393498919658E-4</v>
      </c>
      <c r="P30" s="62">
        <f>$P$6*Yield!M11</f>
        <v>-5.1134380123309142E-4</v>
      </c>
      <c r="Q30" s="62">
        <f>$Q$6*Yield!M10</f>
        <v>-4.1685801991537879E-4</v>
      </c>
      <c r="R30" s="62">
        <f>$R$6*Yield!M9</f>
        <v>-3.2189952264036523E-4</v>
      </c>
      <c r="S30" s="62">
        <f>$S$6*Yield!M8</f>
        <v>-2.2852468894006165E-4</v>
      </c>
      <c r="T30" s="62">
        <f>$T$6*Yield!M7</f>
        <v>-1.4913497554132707E-4</v>
      </c>
      <c r="U30" s="62">
        <f>$U$6*Yield!M6</f>
        <v>-8.2254037137867911E-5</v>
      </c>
      <c r="V30" s="62">
        <f>$V$6*Yield!M5</f>
        <v>-6.9095443440379741E-5</v>
      </c>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23"/>
      <c r="BJ30" s="61">
        <v>2042</v>
      </c>
      <c r="BK30" s="65">
        <f t="shared" si="7"/>
        <v>-0.24715881621994185</v>
      </c>
      <c r="BL30" s="65">
        <f t="shared" si="4"/>
        <v>-7.0897171176819898</v>
      </c>
      <c r="BM30" s="60">
        <f t="shared" ca="1" si="5"/>
        <v>-8.6465657535649694</v>
      </c>
      <c r="BN30" s="65">
        <f t="shared" ca="1" si="6"/>
        <v>-15.9834416874669</v>
      </c>
      <c r="BO30"/>
      <c r="BP30"/>
      <c r="BQ30"/>
      <c r="BR30"/>
      <c r="BS30"/>
      <c r="BT30"/>
      <c r="BU30"/>
      <c r="BV30"/>
      <c r="BW30"/>
      <c r="BX30"/>
      <c r="BY30"/>
      <c r="BZ30"/>
      <c r="CA30"/>
      <c r="CB30"/>
      <c r="CC30"/>
      <c r="CD30"/>
      <c r="CE30"/>
      <c r="CF30"/>
    </row>
    <row r="31" spans="1:84" s="63" customFormat="1" x14ac:dyDescent="0.25">
      <c r="A31" s="61">
        <v>2043</v>
      </c>
      <c r="B31" s="62">
        <f>$B$6*Yield!M26</f>
        <v>-7.1180640509245205E-2</v>
      </c>
      <c r="C31" s="62">
        <f>$C$6*Yield!M25</f>
        <v>-8.4087996143090787E-2</v>
      </c>
      <c r="D31" s="62">
        <f>$D$6*Yield!M24</f>
        <v>-4.0390093405872768E-2</v>
      </c>
      <c r="E31" s="62">
        <f>$E$6*Yield!M23</f>
        <v>-2.599488043372895E-2</v>
      </c>
      <c r="F31" s="62">
        <f>$F$6*Yield!M22</f>
        <v>-4.7261737506656375E-3</v>
      </c>
      <c r="G31" s="62">
        <f>$G$6*Yield!M21</f>
        <v>-2.3174323826861071E-3</v>
      </c>
      <c r="H31" s="62">
        <f>$H$6*Yield!M20</f>
        <v>-1.142245888483287E-3</v>
      </c>
      <c r="I31" s="62">
        <f>$I$6*Yield!M19</f>
        <v>-1.1079978481301823E-3</v>
      </c>
      <c r="J31" s="62">
        <f>$J$6*Yield!M18</f>
        <v>-1.0584522192053439E-3</v>
      </c>
      <c r="K31" s="62">
        <f>$K$6*Yield!M17</f>
        <v>-1.016118510336534E-3</v>
      </c>
      <c r="L31" s="62">
        <f>$L$6*Yield!M16</f>
        <v>-8.9458286485683794E-4</v>
      </c>
      <c r="M31" s="62">
        <f>$M$6*Yield!M15</f>
        <v>-8.5707815816541267E-4</v>
      </c>
      <c r="N31" s="62">
        <f>$N$6*Yield!M14</f>
        <v>-7.8598001125651518E-4</v>
      </c>
      <c r="O31" s="62">
        <f>$O$6*Yield!M13</f>
        <v>-6.9504055648827296E-4</v>
      </c>
      <c r="P31" s="62">
        <f>$P$6*Yield!M12</f>
        <v>-6.0459393498919658E-4</v>
      </c>
      <c r="Q31" s="62">
        <f>$Q$6*Yield!M11</f>
        <v>-5.1134380123309142E-4</v>
      </c>
      <c r="R31" s="62">
        <f>$R$6*Yield!M10</f>
        <v>-4.1685801991537879E-4</v>
      </c>
      <c r="S31" s="62">
        <f>$S$6*Yield!M9</f>
        <v>-3.2189952264036523E-4</v>
      </c>
      <c r="T31" s="62">
        <f>$T$6*Yield!M8</f>
        <v>-2.2852468894006165E-4</v>
      </c>
      <c r="U31" s="62">
        <f>$U$6*Yield!M7</f>
        <v>-1.4913497554132707E-4</v>
      </c>
      <c r="V31" s="62">
        <f>$V$6*Yield!M6</f>
        <v>-8.2254037137867911E-5</v>
      </c>
      <c r="W31" s="62">
        <f>$W$6*Yield!M5</f>
        <v>-6.9095443440379741E-5</v>
      </c>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Y31" s="62"/>
      <c r="AZ31" s="62"/>
      <c r="BA31" s="62"/>
      <c r="BB31" s="62"/>
      <c r="BC31" s="62"/>
      <c r="BD31" s="62"/>
      <c r="BE31" s="62"/>
      <c r="BF31" s="62"/>
      <c r="BG31" s="62"/>
      <c r="BH31" s="62"/>
      <c r="BI31" s="23"/>
      <c r="BJ31" s="61">
        <v>2043</v>
      </c>
      <c r="BK31" s="65">
        <f t="shared" si="7"/>
        <v>-0.23863841710604949</v>
      </c>
      <c r="BL31" s="65">
        <f t="shared" si="4"/>
        <v>-7.4702386583324172</v>
      </c>
      <c r="BM31" s="60">
        <f t="shared" ca="1" si="5"/>
        <v>-8.6465657535649694</v>
      </c>
      <c r="BN31" s="65">
        <f t="shared" ca="1" si="6"/>
        <v>-16.355442829003437</v>
      </c>
      <c r="BO31"/>
      <c r="BP31"/>
      <c r="BQ31"/>
      <c r="BR31"/>
      <c r="BS31"/>
      <c r="BT31"/>
      <c r="BU31"/>
      <c r="BV31"/>
      <c r="BW31"/>
      <c r="BX31"/>
      <c r="BY31"/>
      <c r="BZ31"/>
      <c r="CA31"/>
      <c r="CB31"/>
      <c r="CC31"/>
      <c r="CD31"/>
      <c r="CE31"/>
      <c r="CF31"/>
    </row>
    <row r="32" spans="1:84" s="63" customFormat="1" x14ac:dyDescent="0.25">
      <c r="A32" s="61">
        <v>2044</v>
      </c>
      <c r="B32" s="62">
        <f>$B$6*Yield!M27</f>
        <v>-7.0420420320265562E-2</v>
      </c>
      <c r="C32" s="62">
        <f>$C$6*Yield!M26</f>
        <v>-8.0623425875055832E-2</v>
      </c>
      <c r="D32" s="62">
        <f>$D$6*Yield!M25</f>
        <v>-3.7799227609326157E-2</v>
      </c>
      <c r="E32" s="62">
        <f>$E$6*Yield!M24</f>
        <v>-2.5388058712262882E-2</v>
      </c>
      <c r="F32" s="62">
        <f>$F$6*Yield!M23</f>
        <v>-4.726341897041627E-3</v>
      </c>
      <c r="G32" s="62">
        <f>$G$6*Yield!M22</f>
        <v>-2.3630868753328187E-3</v>
      </c>
      <c r="H32" s="62">
        <f>$H$6*Yield!M21</f>
        <v>-1.1587161913430536E-3</v>
      </c>
      <c r="I32" s="62">
        <f>$I$6*Yield!M20</f>
        <v>-1.142245888483287E-3</v>
      </c>
      <c r="J32" s="62">
        <f>$J$6*Yield!M19</f>
        <v>-1.1079978481301823E-3</v>
      </c>
      <c r="K32" s="62">
        <f>$K$6*Yield!M18</f>
        <v>-1.0584522192053439E-3</v>
      </c>
      <c r="L32" s="62">
        <f>$L$6*Yield!M17</f>
        <v>-1.016118510336534E-3</v>
      </c>
      <c r="M32" s="62">
        <f>$M$6*Yield!M16</f>
        <v>-8.9458286485683794E-4</v>
      </c>
      <c r="N32" s="62">
        <f>$N$6*Yield!M15</f>
        <v>-8.5707815816541267E-4</v>
      </c>
      <c r="O32" s="62">
        <f>$O$6*Yield!M14</f>
        <v>-7.8598001125651518E-4</v>
      </c>
      <c r="P32" s="62">
        <f>$P$6*Yield!M13</f>
        <v>-6.9504055648827296E-4</v>
      </c>
      <c r="Q32" s="62">
        <f>$Q$6*Yield!M12</f>
        <v>-6.0459393498919658E-4</v>
      </c>
      <c r="R32" s="62">
        <f>$R$6*Yield!M11</f>
        <v>-5.1134380123309142E-4</v>
      </c>
      <c r="S32" s="62">
        <f>$S$6*Yield!M10</f>
        <v>-4.1685801991537879E-4</v>
      </c>
      <c r="T32" s="62">
        <f>$T$6*Yield!M9</f>
        <v>-3.2189952264036523E-4</v>
      </c>
      <c r="U32" s="62">
        <f>$U$6*Yield!M8</f>
        <v>-2.2852468894006165E-4</v>
      </c>
      <c r="V32" s="62">
        <f>$V$6*Yield!M7</f>
        <v>-1.4913497554132707E-4</v>
      </c>
      <c r="W32" s="62">
        <f>$W$6*Yield!M6</f>
        <v>-8.2254037137867911E-5</v>
      </c>
      <c r="X32" s="62">
        <f>$X$6*Yield!M5</f>
        <v>-6.9095443440379741E-5</v>
      </c>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23"/>
      <c r="BJ32" s="61">
        <v>2044</v>
      </c>
      <c r="BK32" s="65">
        <f t="shared" si="7"/>
        <v>-0.23242047796138798</v>
      </c>
      <c r="BL32" s="65">
        <f t="shared" si="4"/>
        <v>-7.8504008498991418</v>
      </c>
      <c r="BM32" s="60">
        <f t="shared" ca="1" si="5"/>
        <v>-8.6465657535649694</v>
      </c>
      <c r="BN32" s="65">
        <f t="shared" ca="1" si="6"/>
        <v>-16.7293870814255</v>
      </c>
      <c r="BO32"/>
      <c r="BP32"/>
      <c r="BQ32"/>
      <c r="BR32"/>
      <c r="BS32"/>
      <c r="BT32"/>
      <c r="BU32"/>
      <c r="BV32"/>
      <c r="BW32"/>
      <c r="BX32"/>
      <c r="BY32"/>
      <c r="BZ32"/>
      <c r="CA32"/>
      <c r="CB32"/>
      <c r="CC32"/>
      <c r="CD32"/>
      <c r="CE32"/>
      <c r="CF32"/>
    </row>
    <row r="33" spans="1:84" s="63" customFormat="1" x14ac:dyDescent="0.25">
      <c r="A33" s="61">
        <v>2045</v>
      </c>
      <c r="B33" s="62">
        <f>$B$6*Yield!M28</f>
        <v>-6.8020572250697853E-2</v>
      </c>
      <c r="C33" s="62">
        <f>$C$6*Yield!M27</f>
        <v>-7.9762355285968325E-2</v>
      </c>
      <c r="D33" s="62">
        <f>$D$6*Yield!M26</f>
        <v>-3.6241834329230518E-2</v>
      </c>
      <c r="E33" s="62">
        <f>$E$6*Yield!M25</f>
        <v>-2.3759514497290728E-2</v>
      </c>
      <c r="F33" s="62">
        <f>$F$6*Yield!M24</f>
        <v>-4.6160106749568875E-3</v>
      </c>
      <c r="G33" s="62">
        <f>$G$6*Yield!M23</f>
        <v>-2.3631709485208135E-3</v>
      </c>
      <c r="H33" s="62">
        <f>$H$6*Yield!M22</f>
        <v>-1.1815434376664094E-3</v>
      </c>
      <c r="I33" s="62">
        <f>$I$6*Yield!M21</f>
        <v>-1.1587161913430536E-3</v>
      </c>
      <c r="J33" s="62">
        <f>$J$6*Yield!M20</f>
        <v>-1.142245888483287E-3</v>
      </c>
      <c r="K33" s="62">
        <f>$K$6*Yield!M19</f>
        <v>-1.1079978481301823E-3</v>
      </c>
      <c r="L33" s="62">
        <f>$L$6*Yield!M18</f>
        <v>-1.0584522192053439E-3</v>
      </c>
      <c r="M33" s="62">
        <f>$M$6*Yield!M17</f>
        <v>-1.016118510336534E-3</v>
      </c>
      <c r="N33" s="62">
        <f>$N$6*Yield!M16</f>
        <v>-8.9458286485683794E-4</v>
      </c>
      <c r="O33" s="62">
        <f>$O$6*Yield!M15</f>
        <v>-8.5707815816541267E-4</v>
      </c>
      <c r="P33" s="62">
        <f>$P$6*Yield!M14</f>
        <v>-7.8598001125651518E-4</v>
      </c>
      <c r="Q33" s="62">
        <f>$Q$6*Yield!M13</f>
        <v>-6.9504055648827296E-4</v>
      </c>
      <c r="R33" s="62">
        <f>$R$6*Yield!M12</f>
        <v>-6.0459393498919658E-4</v>
      </c>
      <c r="S33" s="62">
        <f>$S$6*Yield!M11</f>
        <v>-5.1134380123309142E-4</v>
      </c>
      <c r="T33" s="62">
        <f>$T$6*Yield!M10</f>
        <v>-4.1685801991537879E-4</v>
      </c>
      <c r="U33" s="62">
        <f>$U$6*Yield!M9</f>
        <v>-3.2189952264036523E-4</v>
      </c>
      <c r="V33" s="62">
        <f>$V$6*Yield!M8</f>
        <v>-2.2852468894006165E-4</v>
      </c>
      <c r="W33" s="62">
        <f>$W$6*Yield!M7</f>
        <v>-1.4913497554132707E-4</v>
      </c>
      <c r="X33" s="62">
        <f>$X$6*Yield!M6</f>
        <v>-8.2254037137867911E-5</v>
      </c>
      <c r="Y33" s="62">
        <f>$Y$6*Yield!M5</f>
        <v>-6.9095443440379741E-5</v>
      </c>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23"/>
      <c r="BJ33" s="61">
        <v>2045</v>
      </c>
      <c r="BK33" s="65">
        <f t="shared" si="7"/>
        <v>-0.22704491809643462</v>
      </c>
      <c r="BL33" s="65">
        <f t="shared" si="4"/>
        <v>-8.22894025858694</v>
      </c>
      <c r="BM33" s="60">
        <f t="shared" ca="1" si="5"/>
        <v>-8.6465657535649694</v>
      </c>
      <c r="BN33" s="65">
        <f t="shared" ca="1" si="6"/>
        <v>-17.102550930248341</v>
      </c>
      <c r="BO33"/>
      <c r="BP33"/>
      <c r="BQ33"/>
      <c r="BR33"/>
      <c r="BS33"/>
      <c r="BT33"/>
      <c r="BU33"/>
      <c r="BV33"/>
      <c r="BW33"/>
      <c r="BX33"/>
      <c r="BY33"/>
      <c r="BZ33"/>
      <c r="CA33"/>
      <c r="CB33"/>
      <c r="CC33"/>
      <c r="CD33"/>
      <c r="CE33"/>
      <c r="CF33"/>
    </row>
    <row r="34" spans="1:84" s="63" customFormat="1" x14ac:dyDescent="0.25">
      <c r="A34" s="61">
        <v>2046</v>
      </c>
      <c r="B34" s="62">
        <f>$B$6*Yield!M29</f>
        <v>-6.3734045509778223E-2</v>
      </c>
      <c r="C34" s="62">
        <f>$C$6*Yield!M28</f>
        <v>-7.7044144666283648E-2</v>
      </c>
      <c r="D34" s="62">
        <f>$D$6*Yield!M27</f>
        <v>-3.585476596421408E-2</v>
      </c>
      <c r="E34" s="62">
        <f>$E$6*Yield!M26</f>
        <v>-2.2780581578373472E-2</v>
      </c>
      <c r="F34" s="62">
        <f>$F$6*Yield!M25</f>
        <v>-4.3199117267801318E-3</v>
      </c>
      <c r="G34" s="62">
        <f>$G$6*Yield!M24</f>
        <v>-2.3080053374784438E-3</v>
      </c>
      <c r="H34" s="62">
        <f>$H$6*Yield!M23</f>
        <v>-1.1815854742604067E-3</v>
      </c>
      <c r="I34" s="62">
        <f>$I$6*Yield!M22</f>
        <v>-1.1815434376664094E-3</v>
      </c>
      <c r="J34" s="62">
        <f>$J$6*Yield!M21</f>
        <v>-1.1587161913430536E-3</v>
      </c>
      <c r="K34" s="62">
        <f>$K$6*Yield!M20</f>
        <v>-1.142245888483287E-3</v>
      </c>
      <c r="L34" s="62">
        <f>$L$6*Yield!M19</f>
        <v>-1.1079978481301823E-3</v>
      </c>
      <c r="M34" s="62">
        <f>$M$6*Yield!M18</f>
        <v>-1.0584522192053439E-3</v>
      </c>
      <c r="N34" s="62">
        <f>$N$6*Yield!M17</f>
        <v>-1.016118510336534E-3</v>
      </c>
      <c r="O34" s="62">
        <f>$O$6*Yield!M16</f>
        <v>-8.9458286485683794E-4</v>
      </c>
      <c r="P34" s="62">
        <f>$P$6*Yield!M15</f>
        <v>-8.5707815816541267E-4</v>
      </c>
      <c r="Q34" s="62">
        <f>$Q$6*Yield!M14</f>
        <v>-7.8598001125651518E-4</v>
      </c>
      <c r="R34" s="62">
        <f>$R$6*Yield!M13</f>
        <v>-6.9504055648827296E-4</v>
      </c>
      <c r="S34" s="62">
        <f>$S$6*Yield!M12</f>
        <v>-6.0459393498919658E-4</v>
      </c>
      <c r="T34" s="62">
        <f>$T$6*Yield!M11</f>
        <v>-5.1134380123309142E-4</v>
      </c>
      <c r="U34" s="62">
        <f>$U$6*Yield!M10</f>
        <v>-4.1685801991537879E-4</v>
      </c>
      <c r="V34" s="62">
        <f>$V$6*Yield!M9</f>
        <v>-3.2189952264036523E-4</v>
      </c>
      <c r="W34" s="62">
        <f>$W$6*Yield!M8</f>
        <v>-2.2852468894006165E-4</v>
      </c>
      <c r="X34" s="62">
        <f>$X$6*Yield!M7</f>
        <v>-1.4913497554132707E-4</v>
      </c>
      <c r="Y34" s="62">
        <f>$Y$6*Yield!M6</f>
        <v>-8.2254037137867911E-5</v>
      </c>
      <c r="Z34" s="62">
        <f>$Z$6*Yield!M5</f>
        <v>-6.9095443440379741E-5</v>
      </c>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23"/>
      <c r="BJ34" s="61">
        <v>2046</v>
      </c>
      <c r="BK34" s="65">
        <f t="shared" si="7"/>
        <v>-0.21950450036693786</v>
      </c>
      <c r="BL34" s="65">
        <f t="shared" si="4"/>
        <v>-8.6043583805455253</v>
      </c>
      <c r="BM34" s="60">
        <f t="shared" ca="1" si="5"/>
        <v>-8.6465657535649694</v>
      </c>
      <c r="BN34" s="65">
        <f t="shared" ca="1" si="6"/>
        <v>-17.470428634477432</v>
      </c>
      <c r="BO34"/>
      <c r="BP34"/>
      <c r="BQ34"/>
      <c r="BR34"/>
      <c r="BS34"/>
      <c r="BT34"/>
      <c r="BU34"/>
      <c r="BV34"/>
      <c r="BW34"/>
      <c r="BX34"/>
      <c r="BY34"/>
      <c r="BZ34"/>
      <c r="CA34"/>
      <c r="CB34"/>
      <c r="CC34"/>
      <c r="CD34"/>
      <c r="CE34"/>
      <c r="CF34"/>
    </row>
    <row r="35" spans="1:84" s="63" customFormat="1" x14ac:dyDescent="0.25">
      <c r="A35" s="61">
        <v>2047</v>
      </c>
      <c r="B35" s="62">
        <f>$B$6*Yield!M30</f>
        <v>-6.1794398211341049E-2</v>
      </c>
      <c r="C35" s="62">
        <f>$C$6*Yield!M29</f>
        <v>-7.2188969600626693E-2</v>
      </c>
      <c r="D35" s="62">
        <f>$D$6*Yield!M28</f>
        <v>-3.4632876198536854E-2</v>
      </c>
      <c r="E35" s="62">
        <f>$E$6*Yield!M27</f>
        <v>-2.2537281463220277E-2</v>
      </c>
      <c r="F35" s="62">
        <f>$F$6*Yield!M26</f>
        <v>-4.141923923340631E-3</v>
      </c>
      <c r="G35" s="62">
        <f>$G$6*Yield!M25</f>
        <v>-2.1599558633900659E-3</v>
      </c>
      <c r="H35" s="62">
        <f>$H$6*Yield!M24</f>
        <v>-1.1540026687392219E-3</v>
      </c>
      <c r="I35" s="62">
        <f>$I$6*Yield!M23</f>
        <v>-1.1815854742604067E-3</v>
      </c>
      <c r="J35" s="62">
        <f>$J$6*Yield!M22</f>
        <v>-1.1815434376664094E-3</v>
      </c>
      <c r="K35" s="62">
        <f>$K$6*Yield!M21</f>
        <v>-1.1587161913430536E-3</v>
      </c>
      <c r="L35" s="62">
        <f>$L$6*Yield!M20</f>
        <v>-1.142245888483287E-3</v>
      </c>
      <c r="M35" s="62">
        <f>$M$6*Yield!M19</f>
        <v>-1.1079978481301823E-3</v>
      </c>
      <c r="N35" s="62">
        <f>$N$6*Yield!M18</f>
        <v>-1.0584522192053439E-3</v>
      </c>
      <c r="O35" s="62">
        <f>$O$6*Yield!M17</f>
        <v>-1.016118510336534E-3</v>
      </c>
      <c r="P35" s="62">
        <f>$P$6*Yield!M16</f>
        <v>-8.9458286485683794E-4</v>
      </c>
      <c r="Q35" s="62">
        <f>$Q$6*Yield!M15</f>
        <v>-8.5707815816541267E-4</v>
      </c>
      <c r="R35" s="62">
        <f>$R$6*Yield!M14</f>
        <v>-7.8598001125651518E-4</v>
      </c>
      <c r="S35" s="62">
        <f>$S$6*Yield!M13</f>
        <v>-6.9504055648827296E-4</v>
      </c>
      <c r="T35" s="62">
        <f>$T$6*Yield!M12</f>
        <v>-6.0459393498919658E-4</v>
      </c>
      <c r="U35" s="62">
        <f>$U$6*Yield!M11</f>
        <v>-5.1134380123309142E-4</v>
      </c>
      <c r="V35" s="62">
        <f>$V$6*Yield!M10</f>
        <v>-4.1685801991537879E-4</v>
      </c>
      <c r="W35" s="62">
        <f>$W$6*Yield!M9</f>
        <v>-3.2189952264036523E-4</v>
      </c>
      <c r="X35" s="62">
        <f>$X$6*Yield!M8</f>
        <v>-2.2852468894006165E-4</v>
      </c>
      <c r="Y35" s="62">
        <f>$Y$6*Yield!M7</f>
        <v>-1.4913497554132707E-4</v>
      </c>
      <c r="Z35" s="62">
        <f>$Z$6*Yield!M6</f>
        <v>-8.2254037137867911E-5</v>
      </c>
      <c r="AA35" s="62">
        <f>$AA$6*Yield!M5</f>
        <v>-6.9095443440379741E-5</v>
      </c>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23"/>
      <c r="BJ35" s="61">
        <v>2047</v>
      </c>
      <c r="BK35" s="65">
        <f t="shared" si="7"/>
        <v>-0.21207245351322468</v>
      </c>
      <c r="BL35" s="65">
        <f t="shared" si="4"/>
        <v>-8.9752901269921228</v>
      </c>
      <c r="BM35" s="60">
        <f t="shared" ca="1" si="5"/>
        <v>-8.6465657535649694</v>
      </c>
      <c r="BN35" s="65">
        <f t="shared" ca="1" si="6"/>
        <v>-17.833928334070315</v>
      </c>
      <c r="BO35"/>
      <c r="BP35"/>
      <c r="BQ35"/>
      <c r="BR35"/>
      <c r="BS35"/>
      <c r="BT35"/>
      <c r="BU35"/>
      <c r="BV35"/>
      <c r="BW35"/>
      <c r="BX35"/>
      <c r="BY35"/>
      <c r="BZ35"/>
      <c r="CA35"/>
      <c r="CB35"/>
      <c r="CC35"/>
      <c r="CD35"/>
      <c r="CE35"/>
      <c r="CF35"/>
    </row>
    <row r="36" spans="1:84" s="63" customFormat="1" x14ac:dyDescent="0.25">
      <c r="A36" s="61">
        <v>2048</v>
      </c>
      <c r="B36" s="62">
        <f>$B$6*Yield!M31</f>
        <v>-6.0570078947067299E-2</v>
      </c>
      <c r="C36" s="62">
        <f>$C$6*Yield!M30</f>
        <v>-6.9992009738078245E-2</v>
      </c>
      <c r="D36" s="62">
        <f>$D$6*Yield!M29</f>
        <v>-3.2450378389008876E-2</v>
      </c>
      <c r="E36" s="62">
        <f>$E$6*Yield!M28</f>
        <v>-2.1769236467651734E-2</v>
      </c>
      <c r="F36" s="62">
        <f>$F$6*Yield!M27</f>
        <v>-4.0976875387673233E-3</v>
      </c>
      <c r="G36" s="62">
        <f>$G$6*Yield!M26</f>
        <v>-2.0709619616703155E-3</v>
      </c>
      <c r="H36" s="62">
        <f>$H$6*Yield!M25</f>
        <v>-1.0799779316950329E-3</v>
      </c>
      <c r="I36" s="62">
        <f>$I$6*Yield!M24</f>
        <v>-1.1540026687392219E-3</v>
      </c>
      <c r="J36" s="62">
        <f>$J$6*Yield!M23</f>
        <v>-1.1815854742604067E-3</v>
      </c>
      <c r="K36" s="62">
        <f>$K$6*Yield!M22</f>
        <v>-1.1815434376664094E-3</v>
      </c>
      <c r="L36" s="62">
        <f>$L$6*Yield!M21</f>
        <v>-1.1587161913430536E-3</v>
      </c>
      <c r="M36" s="62">
        <f>$M$6*Yield!M20</f>
        <v>-1.142245888483287E-3</v>
      </c>
      <c r="N36" s="62">
        <f>$N$6*Yield!M19</f>
        <v>-1.1079978481301823E-3</v>
      </c>
      <c r="O36" s="62">
        <f>$O$6*Yield!M18</f>
        <v>-1.0584522192053439E-3</v>
      </c>
      <c r="P36" s="62">
        <f>$P$6*Yield!M17</f>
        <v>-1.016118510336534E-3</v>
      </c>
      <c r="Q36" s="62">
        <f>$Q$6*Yield!M16</f>
        <v>-8.9458286485683794E-4</v>
      </c>
      <c r="R36" s="62">
        <f>$R$6*Yield!M15</f>
        <v>-8.5707815816541267E-4</v>
      </c>
      <c r="S36" s="62">
        <f>$S$6*Yield!M14</f>
        <v>-7.8598001125651518E-4</v>
      </c>
      <c r="T36" s="62">
        <f>$T$6*Yield!M13</f>
        <v>-6.9504055648827296E-4</v>
      </c>
      <c r="U36" s="62">
        <f>$U$6*Yield!M12</f>
        <v>-6.0459393498919658E-4</v>
      </c>
      <c r="V36" s="62">
        <f>$V$6*Yield!M11</f>
        <v>-5.1134380123309142E-4</v>
      </c>
      <c r="W36" s="62">
        <f>$W$6*Yield!M10</f>
        <v>-4.1685801991537879E-4</v>
      </c>
      <c r="X36" s="62">
        <f>$X$6*Yield!M9</f>
        <v>-3.2189952264036523E-4</v>
      </c>
      <c r="Y36" s="62">
        <f>$Y$6*Yield!M8</f>
        <v>-2.2852468894006165E-4</v>
      </c>
      <c r="Z36" s="62">
        <f>$Z$6*Yield!M7</f>
        <v>-1.4913497554132707E-4</v>
      </c>
      <c r="AA36" s="62">
        <f>$AA$6*Yield!M6</f>
        <v>-8.2254037137867911E-5</v>
      </c>
      <c r="AB36" s="62">
        <f>$AB$6*Yield!M5</f>
        <v>-6.9095443440379741E-5</v>
      </c>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23"/>
      <c r="BJ36" s="61">
        <v>2048</v>
      </c>
      <c r="BK36" s="65">
        <f t="shared" si="7"/>
        <v>-0.20664737922670795</v>
      </c>
      <c r="BL36" s="65">
        <f t="shared" si="4"/>
        <v>-9.3407518373844933</v>
      </c>
      <c r="BM36" s="60">
        <f t="shared" ca="1" si="5"/>
        <v>-8.6465657535649694</v>
      </c>
      <c r="BN36" s="65">
        <f t="shared" ca="1" si="6"/>
        <v>-18.193964970176168</v>
      </c>
      <c r="BO36"/>
      <c r="BP36"/>
      <c r="BQ36"/>
      <c r="BR36"/>
      <c r="BS36"/>
      <c r="BT36"/>
      <c r="BU36"/>
      <c r="BV36"/>
      <c r="BW36"/>
      <c r="BX36"/>
      <c r="BY36"/>
      <c r="BZ36"/>
      <c r="CA36"/>
      <c r="CB36"/>
      <c r="CC36"/>
      <c r="CD36"/>
      <c r="CE36"/>
      <c r="CF36"/>
    </row>
    <row r="37" spans="1:84" s="63" customFormat="1" x14ac:dyDescent="0.25">
      <c r="A37" s="61">
        <v>2049</v>
      </c>
      <c r="B37" s="62">
        <f>$B$6*Yield!M32</f>
        <v>-5.5351526637862761E-2</v>
      </c>
      <c r="C37" s="62">
        <f>$C$6*Yield!M31</f>
        <v>-6.8605272940763851E-2</v>
      </c>
      <c r="D37" s="62">
        <f>$D$6*Yield!M30</f>
        <v>-3.1462801211504146E-2</v>
      </c>
      <c r="E37" s="62">
        <f>$E$6*Yield!M29</f>
        <v>-2.0397380701662721E-2</v>
      </c>
      <c r="F37" s="62">
        <f>$F$6*Yield!M28</f>
        <v>-3.9580429941184977E-3</v>
      </c>
      <c r="G37" s="62">
        <f>$G$6*Yield!M27</f>
        <v>-2.0488437693836617E-3</v>
      </c>
      <c r="H37" s="62">
        <f>$H$6*Yield!M26</f>
        <v>-1.0354809808351577E-3</v>
      </c>
      <c r="I37" s="62">
        <f>$I$6*Yield!M25</f>
        <v>-1.0799779316950329E-3</v>
      </c>
      <c r="J37" s="62">
        <f>$J$6*Yield!M24</f>
        <v>-1.1540026687392219E-3</v>
      </c>
      <c r="K37" s="62">
        <f>$K$6*Yield!M23</f>
        <v>-1.1815854742604067E-3</v>
      </c>
      <c r="L37" s="62">
        <f>$L$6*Yield!M22</f>
        <v>-1.1815434376664094E-3</v>
      </c>
      <c r="M37" s="62">
        <f>$M$6*Yield!M21</f>
        <v>-1.1587161913430536E-3</v>
      </c>
      <c r="N37" s="62">
        <f>$N$6*Yield!M20</f>
        <v>-1.142245888483287E-3</v>
      </c>
      <c r="O37" s="62">
        <f>$O$6*Yield!M19</f>
        <v>-1.1079978481301823E-3</v>
      </c>
      <c r="P37" s="62">
        <f>$P$6*Yield!M18</f>
        <v>-1.0584522192053439E-3</v>
      </c>
      <c r="Q37" s="62">
        <f>$Q$6*Yield!M17</f>
        <v>-1.016118510336534E-3</v>
      </c>
      <c r="R37" s="62">
        <f>$R$6*Yield!M16</f>
        <v>-8.9458286485683794E-4</v>
      </c>
      <c r="S37" s="62">
        <f>$S$6*Yield!M15</f>
        <v>-8.5707815816541267E-4</v>
      </c>
      <c r="T37" s="62">
        <f>$T$6*Yield!M14</f>
        <v>-7.8598001125651518E-4</v>
      </c>
      <c r="U37" s="62">
        <f>$U$6*Yield!M13</f>
        <v>-6.9504055648827296E-4</v>
      </c>
      <c r="V37" s="62">
        <f>$V$6*Yield!M12</f>
        <v>-6.0459393498919658E-4</v>
      </c>
      <c r="W37" s="62">
        <f>$W$6*Yield!M11</f>
        <v>-5.1134380123309142E-4</v>
      </c>
      <c r="X37" s="62">
        <f>$X$6*Yield!M10</f>
        <v>-4.1685801991537879E-4</v>
      </c>
      <c r="Y37" s="62">
        <f>$Y$6*Yield!M9</f>
        <v>-3.2189952264036523E-4</v>
      </c>
      <c r="Z37" s="62">
        <f>$Z$6*Yield!M8</f>
        <v>-2.2852468894006165E-4</v>
      </c>
      <c r="AA37" s="62">
        <f>$AA$6*Yield!M7</f>
        <v>-1.4913497554132707E-4</v>
      </c>
      <c r="AB37" s="62">
        <f>$AB$6*Yield!M6</f>
        <v>-8.2254037137867911E-5</v>
      </c>
      <c r="AC37" s="62">
        <f>$AC$6*Yield!M5</f>
        <v>-6.9095443440379741E-5</v>
      </c>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23"/>
      <c r="BJ37" s="61">
        <v>2049</v>
      </c>
      <c r="BK37" s="65">
        <f t="shared" si="7"/>
        <v>-0.19855637542059495</v>
      </c>
      <c r="BL37" s="65">
        <f t="shared" si="4"/>
        <v>-9.7016509641884063</v>
      </c>
      <c r="BM37" s="60">
        <f t="shared" ca="1" si="5"/>
        <v>-8.6465657535649694</v>
      </c>
      <c r="BN37" s="65">
        <f t="shared" ca="1" si="6"/>
        <v>-18.546773093173968</v>
      </c>
      <c r="BO37"/>
      <c r="BP37"/>
      <c r="BQ37"/>
      <c r="BR37"/>
      <c r="BS37"/>
      <c r="BT37"/>
      <c r="BU37"/>
      <c r="BV37"/>
      <c r="BW37"/>
      <c r="BX37"/>
      <c r="BY37"/>
      <c r="BZ37"/>
      <c r="CA37"/>
      <c r="CB37"/>
      <c r="CC37"/>
      <c r="CD37"/>
      <c r="CE37"/>
      <c r="CF37"/>
    </row>
    <row r="38" spans="1:84" s="63" customFormat="1" x14ac:dyDescent="0.25">
      <c r="A38" s="61">
        <v>2050</v>
      </c>
      <c r="B38" s="62">
        <f>$B$6*Yield!M33</f>
        <v>-5.365693944494726E-2</v>
      </c>
      <c r="C38" s="62">
        <f>$C$6*Yield!M32</f>
        <v>-6.2694430297789802E-2</v>
      </c>
      <c r="D38" s="62">
        <f>$D$6*Yield!M31</f>
        <v>-3.0839435425182912E-2</v>
      </c>
      <c r="E38" s="62">
        <f>$E$6*Yield!M30</f>
        <v>-1.9776617904374034E-2</v>
      </c>
      <c r="F38" s="62">
        <f>$F$6*Yield!M29</f>
        <v>-3.7086146730295859E-3</v>
      </c>
      <c r="G38" s="62">
        <f>$G$6*Yield!M28</f>
        <v>-1.9790214970592489E-3</v>
      </c>
      <c r="H38" s="62">
        <f>$H$6*Yield!M27</f>
        <v>-1.0244218846918308E-3</v>
      </c>
      <c r="I38" s="62">
        <f>$I$6*Yield!M26</f>
        <v>-1.0354809808351577E-3</v>
      </c>
      <c r="J38" s="62">
        <f>$J$6*Yield!M25</f>
        <v>-1.0799779316950329E-3</v>
      </c>
      <c r="K38" s="62">
        <f>$K$6*Yield!M24</f>
        <v>-1.1540026687392219E-3</v>
      </c>
      <c r="L38" s="62">
        <f>$L$6*Yield!M23</f>
        <v>-1.1815854742604067E-3</v>
      </c>
      <c r="M38" s="62">
        <f>$M$6*Yield!M22</f>
        <v>-1.1815434376664094E-3</v>
      </c>
      <c r="N38" s="62">
        <f>$N$6*Yield!M21</f>
        <v>-1.1587161913430536E-3</v>
      </c>
      <c r="O38" s="62">
        <f>$O$6*Yield!M20</f>
        <v>-1.142245888483287E-3</v>
      </c>
      <c r="P38" s="62">
        <f>$P$6*Yield!M19</f>
        <v>-1.1079978481301823E-3</v>
      </c>
      <c r="Q38" s="62">
        <f>$Q$6*Yield!M18</f>
        <v>-1.0584522192053439E-3</v>
      </c>
      <c r="R38" s="62">
        <f>$R$6*Yield!M17</f>
        <v>-1.016118510336534E-3</v>
      </c>
      <c r="S38" s="62">
        <f>$S$6*Yield!M16</f>
        <v>-8.9458286485683794E-4</v>
      </c>
      <c r="T38" s="62">
        <f>$T$6*Yield!M15</f>
        <v>-8.5707815816541267E-4</v>
      </c>
      <c r="U38" s="62">
        <f>$U$6*Yield!M14</f>
        <v>-7.8598001125651518E-4</v>
      </c>
      <c r="V38" s="62">
        <f>$V$6*Yield!M13</f>
        <v>-6.9504055648827296E-4</v>
      </c>
      <c r="W38" s="62">
        <f>$W$6*Yield!M12</f>
        <v>-6.0459393498919658E-4</v>
      </c>
      <c r="X38" s="62">
        <f>$X$6*Yield!M11</f>
        <v>-5.1134380123309142E-4</v>
      </c>
      <c r="Y38" s="62">
        <f>$Y$6*Yield!M10</f>
        <v>-4.1685801991537879E-4</v>
      </c>
      <c r="Z38" s="62">
        <f>$Z$6*Yield!M9</f>
        <v>-3.2189952264036523E-4</v>
      </c>
      <c r="AA38" s="62">
        <f>$AA$6*Yield!M8</f>
        <v>-2.2852468894006165E-4</v>
      </c>
      <c r="AB38" s="62">
        <f>$AB$6*Yield!M7</f>
        <v>-1.4913497554132707E-4</v>
      </c>
      <c r="AC38" s="62">
        <f>$AC$6*Yield!M6</f>
        <v>-8.2254037137867911E-5</v>
      </c>
      <c r="AD38" s="62">
        <f>AD$6*Yield!M5</f>
        <v>-6.9095443440379741E-5</v>
      </c>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23"/>
      <c r="BJ38" s="61">
        <v>2050</v>
      </c>
      <c r="BK38" s="65">
        <f t="shared" si="7"/>
        <v>-0.19041198829237399</v>
      </c>
      <c r="BL38" s="65">
        <f t="shared" si="4"/>
        <v>-10.05815237372069</v>
      </c>
      <c r="BM38" s="60">
        <f t="shared" ca="1" si="5"/>
        <v>-8.6465657535649694</v>
      </c>
      <c r="BN38" s="65">
        <f t="shared" ca="1" si="6"/>
        <v>-18.895130115578034</v>
      </c>
      <c r="BO38"/>
      <c r="BP38"/>
      <c r="BQ38"/>
      <c r="BR38"/>
      <c r="BS38"/>
      <c r="BT38"/>
      <c r="BU38"/>
      <c r="BV38"/>
      <c r="BW38"/>
      <c r="BX38"/>
      <c r="BY38"/>
      <c r="BZ38"/>
      <c r="CA38"/>
      <c r="CB38"/>
      <c r="CC38"/>
      <c r="CD38"/>
      <c r="CE38"/>
      <c r="CF38"/>
    </row>
    <row r="39" spans="1:84" x14ac:dyDescent="0.25">
      <c r="A39" s="61">
        <v>2051</v>
      </c>
      <c r="B39" s="62">
        <f>$B$6*Yield!M34</f>
        <v>-5.0239288221940556E-2</v>
      </c>
      <c r="C39" s="62">
        <f>$C$6*Yield!M33</f>
        <v>-6.0775040082144058E-2</v>
      </c>
      <c r="D39" s="62">
        <f>$D$6*Yield!M32</f>
        <v>-2.8182394031968008E-2</v>
      </c>
      <c r="E39" s="62">
        <f>$E$6*Yield!M31</f>
        <v>-1.9384787981543545E-2</v>
      </c>
      <c r="F39" s="62">
        <f>$F$6*Yield!M30</f>
        <v>-3.5957487098861878E-3</v>
      </c>
      <c r="G39" s="62">
        <f>$G$6*Yield!M29</f>
        <v>-1.8543073365147929E-3</v>
      </c>
      <c r="H39" s="62">
        <f>$H$6*Yield!M28</f>
        <v>-9.8951074852962444E-4</v>
      </c>
      <c r="I39" s="62">
        <f>$I$6*Yield!M27</f>
        <v>-1.0244218846918308E-3</v>
      </c>
      <c r="J39" s="62">
        <f>$J$6*Yield!M26</f>
        <v>-1.0354809808351577E-3</v>
      </c>
      <c r="K39" s="62">
        <f>$K$6*Yield!M25</f>
        <v>-1.0799779316950329E-3</v>
      </c>
      <c r="L39" s="62">
        <f>$L$6*Yield!M24</f>
        <v>-1.1540026687392219E-3</v>
      </c>
      <c r="M39" s="62">
        <f>$M$6*Yield!M23</f>
        <v>-1.1815854742604067E-3</v>
      </c>
      <c r="N39" s="62">
        <f>$N$6*Yield!M22</f>
        <v>-1.1815434376664094E-3</v>
      </c>
      <c r="O39" s="62">
        <f>$O$6*Yield!M21</f>
        <v>-1.1587161913430536E-3</v>
      </c>
      <c r="P39" s="62">
        <f>$P$6*Yield!M20</f>
        <v>-1.142245888483287E-3</v>
      </c>
      <c r="Q39" s="62">
        <f>$Q$6*Yield!M19</f>
        <v>-1.1079978481301823E-3</v>
      </c>
      <c r="R39" s="62">
        <f>$R$6*Yield!M18</f>
        <v>-1.0584522192053439E-3</v>
      </c>
      <c r="S39" s="62">
        <f>$S$6*Yield!M17</f>
        <v>-1.016118510336534E-3</v>
      </c>
      <c r="T39" s="62">
        <f>$T$6*Yield!M16</f>
        <v>-8.9458286485683794E-4</v>
      </c>
      <c r="U39" s="62">
        <f>$U$6*Yield!M15</f>
        <v>-8.5707815816541267E-4</v>
      </c>
      <c r="V39" s="62">
        <f>$V$6*Yield!M14</f>
        <v>-7.8598001125651518E-4</v>
      </c>
      <c r="W39" s="62">
        <f>$W$6*Yield!M13</f>
        <v>-6.9504055648827296E-4</v>
      </c>
      <c r="X39" s="62">
        <f>$X$6*Yield!M12</f>
        <v>-6.0459393498919658E-4</v>
      </c>
      <c r="Y39" s="62">
        <f>$Y$6*Yield!M11</f>
        <v>-5.1134380123309142E-4</v>
      </c>
      <c r="Z39" s="62">
        <f>$Z$6*Yield!M10</f>
        <v>-4.1685801991537879E-4</v>
      </c>
      <c r="AA39" s="62">
        <f>$AA$6*Yield!M9</f>
        <v>-3.2189952264036523E-4</v>
      </c>
      <c r="AB39" s="62">
        <f>$AB$6*Yield!M8</f>
        <v>-2.2852468894006165E-4</v>
      </c>
      <c r="AC39" s="62">
        <f>$AC$6*Yield!M7</f>
        <v>-1.4913497554132707E-4</v>
      </c>
      <c r="AD39" s="62">
        <f>AD$6*Yield!M6</f>
        <v>-8.2254037137867911E-5</v>
      </c>
      <c r="AE39" s="62">
        <f>AE$6*Yield!M5</f>
        <v>-6.9095443440379741E-5</v>
      </c>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J39" s="61">
        <v>2051</v>
      </c>
      <c r="BK39" s="65">
        <f t="shared" si="7"/>
        <v>-0.18277800616251794</v>
      </c>
      <c r="BL39" s="65">
        <f t="shared" si="4"/>
        <v>-10.409181270263987</v>
      </c>
      <c r="BM39" s="60">
        <f t="shared" ca="1" si="5"/>
        <v>-8.6465657535649694</v>
      </c>
      <c r="BN39" s="65">
        <f t="shared" ca="1" si="6"/>
        <v>-19.238525029991475</v>
      </c>
    </row>
    <row r="40" spans="1:84" x14ac:dyDescent="0.25">
      <c r="A40" s="61">
        <v>2052</v>
      </c>
      <c r="B40" s="62">
        <f>$B$6*Yield!M35</f>
        <v>-4.6486385963367821E-2</v>
      </c>
      <c r="C40" s="62">
        <f>$C$6*Yield!M34</f>
        <v>-5.6904005091821287E-2</v>
      </c>
      <c r="D40" s="62">
        <f>$D$6*Yield!M33</f>
        <v>-2.731958993435522E-2</v>
      </c>
      <c r="E40" s="62">
        <f>$E$6*Yield!M32</f>
        <v>-1.7714647677237034E-2</v>
      </c>
      <c r="F40" s="62">
        <f>$F$6*Yield!M31</f>
        <v>-3.5245069057351897E-3</v>
      </c>
      <c r="G40" s="62">
        <f>$G$6*Yield!M30</f>
        <v>-1.7978743549430939E-3</v>
      </c>
      <c r="H40" s="62">
        <f>$H$6*Yield!M29</f>
        <v>-9.2715366825739647E-4</v>
      </c>
      <c r="I40" s="62">
        <f>$I$6*Yield!M28</f>
        <v>-9.8951074852962444E-4</v>
      </c>
      <c r="J40" s="62">
        <f>$J$6*Yield!M27</f>
        <v>-1.0244218846918308E-3</v>
      </c>
      <c r="K40" s="62">
        <f>$K$6*Yield!M26</f>
        <v>-1.0354809808351577E-3</v>
      </c>
      <c r="L40" s="62">
        <f>$L$6*Yield!M25</f>
        <v>-1.0799779316950329E-3</v>
      </c>
      <c r="M40" s="62">
        <f>$M$6*Yield!M24</f>
        <v>-1.1540026687392219E-3</v>
      </c>
      <c r="N40" s="62">
        <f>$N$6*Yield!M23</f>
        <v>-1.1815854742604067E-3</v>
      </c>
      <c r="O40" s="62">
        <f>$O$6*Yield!M22</f>
        <v>-1.1815434376664094E-3</v>
      </c>
      <c r="P40" s="62">
        <f>$P$6*Yield!M21</f>
        <v>-1.1587161913430536E-3</v>
      </c>
      <c r="Q40" s="62">
        <f>$Q$6*Yield!M20</f>
        <v>-1.142245888483287E-3</v>
      </c>
      <c r="R40" s="62">
        <f>$R$6*Yield!M19</f>
        <v>-1.1079978481301823E-3</v>
      </c>
      <c r="S40" s="62">
        <f>$S$6*Yield!M18</f>
        <v>-1.0584522192053439E-3</v>
      </c>
      <c r="T40" s="62">
        <f>$T$6*Yield!M17</f>
        <v>-1.016118510336534E-3</v>
      </c>
      <c r="U40" s="62">
        <f>$U$6*Yield!M16</f>
        <v>-8.9458286485683794E-4</v>
      </c>
      <c r="V40" s="62">
        <f>$V$6*Yield!M15</f>
        <v>-8.5707815816541267E-4</v>
      </c>
      <c r="W40" s="62">
        <f>$W$6*Yield!M14</f>
        <v>-7.8598001125651518E-4</v>
      </c>
      <c r="X40" s="62">
        <f>$X$6*Yield!M13</f>
        <v>-6.9504055648827296E-4</v>
      </c>
      <c r="Y40" s="62">
        <f>$Y$6*Yield!M12</f>
        <v>-6.0459393498919658E-4</v>
      </c>
      <c r="Z40" s="62">
        <f>$Z$6*Yield!M11</f>
        <v>-5.1134380123309142E-4</v>
      </c>
      <c r="AA40" s="62">
        <f>$AA$6*Yield!M10</f>
        <v>-4.1685801991537879E-4</v>
      </c>
      <c r="AB40" s="62">
        <f>$AB$6*Yield!M9</f>
        <v>-3.2189952264036523E-4</v>
      </c>
      <c r="AC40" s="62">
        <f>$AC$6*Yield!M8</f>
        <v>-2.2852468894006165E-4</v>
      </c>
      <c r="AD40" s="62">
        <f>AD$6*Yield!M7</f>
        <v>-1.4913497554132707E-4</v>
      </c>
      <c r="AE40" s="62">
        <f>AE$6*Yield!M6</f>
        <v>-8.2254037137867911E-5</v>
      </c>
      <c r="AF40" s="62">
        <f>AF$6*Yield!M5</f>
        <v>-6.9095443440379741E-5</v>
      </c>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J40" s="61">
        <v>2052</v>
      </c>
      <c r="BK40" s="65">
        <f t="shared" si="7"/>
        <v>-0.17342060339423782</v>
      </c>
      <c r="BL40" s="65">
        <f t="shared" si="4"/>
        <v>-10.750996001573332</v>
      </c>
      <c r="BM40" s="60">
        <f t="shared" ca="1" si="5"/>
        <v>-8.6465657535649694</v>
      </c>
      <c r="BN40" s="65">
        <f t="shared" ca="1" si="6"/>
        <v>-19.57098235853254</v>
      </c>
    </row>
    <row r="41" spans="1:84" x14ac:dyDescent="0.25">
      <c r="A41" s="61">
        <v>2053</v>
      </c>
      <c r="B41" s="62">
        <f>$B$6*Yield!M36</f>
        <v>-4.5196203969521162E-2</v>
      </c>
      <c r="C41" s="62">
        <f>$C$6*Yield!M35</f>
        <v>-5.265324484443254E-2</v>
      </c>
      <c r="D41" s="62">
        <f>$D$6*Yield!M34</f>
        <v>-2.5579482672982469E-2</v>
      </c>
      <c r="E41" s="62">
        <f>$E$6*Yield!M33</f>
        <v>-1.7172313673023281E-2</v>
      </c>
      <c r="F41" s="62">
        <f>$F$6*Yield!M32</f>
        <v>-3.220845032224915E-3</v>
      </c>
      <c r="G41" s="62">
        <f>$G$6*Yield!M31</f>
        <v>-1.7622534528675949E-3</v>
      </c>
      <c r="H41" s="62">
        <f>$H$6*Yield!M30</f>
        <v>-8.9893717747154694E-4</v>
      </c>
      <c r="I41" s="62">
        <f>$I$6*Yield!M29</f>
        <v>-9.2715366825739647E-4</v>
      </c>
      <c r="J41" s="62">
        <f>$J$6*Yield!M28</f>
        <v>-9.8951074852962444E-4</v>
      </c>
      <c r="K41" s="62">
        <f>$K$6*Yield!M27</f>
        <v>-1.0244218846918308E-3</v>
      </c>
      <c r="L41" s="62">
        <f>$L$6*Yield!M26</f>
        <v>-1.0354809808351577E-3</v>
      </c>
      <c r="M41" s="62">
        <f>$M$6*Yield!M25</f>
        <v>-1.0799779316950329E-3</v>
      </c>
      <c r="N41" s="62">
        <f>$N$6*Yield!M24</f>
        <v>-1.1540026687392219E-3</v>
      </c>
      <c r="O41" s="62">
        <f>$O$6*Yield!M23</f>
        <v>-1.1815854742604067E-3</v>
      </c>
      <c r="P41" s="62">
        <f>$P$6*Yield!M22</f>
        <v>-1.1815434376664094E-3</v>
      </c>
      <c r="Q41" s="62">
        <f>$Q$6*Yield!M21</f>
        <v>-1.1587161913430536E-3</v>
      </c>
      <c r="R41" s="62">
        <f>$R$6*Yield!M20</f>
        <v>-1.142245888483287E-3</v>
      </c>
      <c r="S41" s="62">
        <f>$S$6*Yield!M19</f>
        <v>-1.1079978481301823E-3</v>
      </c>
      <c r="T41" s="62">
        <f>$T$6*Yield!M18</f>
        <v>-1.0584522192053439E-3</v>
      </c>
      <c r="U41" s="62">
        <f>$U$6*Yield!M17</f>
        <v>-1.016118510336534E-3</v>
      </c>
      <c r="V41" s="62">
        <f>$V$6*Yield!M16</f>
        <v>-8.9458286485683794E-4</v>
      </c>
      <c r="W41" s="62">
        <f>$W$6*Yield!M15</f>
        <v>-8.5707815816541267E-4</v>
      </c>
      <c r="X41" s="62">
        <f>$X$6*Yield!M14</f>
        <v>-7.8598001125651518E-4</v>
      </c>
      <c r="Y41" s="62">
        <f>$Y$6*Yield!M13</f>
        <v>-6.9504055648827296E-4</v>
      </c>
      <c r="Z41" s="62">
        <f>$Z$6*Yield!M12</f>
        <v>-6.0459393498919658E-4</v>
      </c>
      <c r="AA41" s="62">
        <f>$AA$6*Yield!M11</f>
        <v>-5.1134380123309142E-4</v>
      </c>
      <c r="AB41" s="62">
        <f>$AB$6*Yield!M10</f>
        <v>-4.1685801991537879E-4</v>
      </c>
      <c r="AC41" s="62">
        <f>$AC$6*Yield!M9</f>
        <v>-3.2189952264036523E-4</v>
      </c>
      <c r="AD41" s="62">
        <f>AD$6*Yield!M8</f>
        <v>-2.2852468894006165E-4</v>
      </c>
      <c r="AE41" s="62">
        <f>AE$6*Yield!M7</f>
        <v>-1.4913497554132707E-4</v>
      </c>
      <c r="AF41" s="62">
        <f>AF$6*Yield!M6</f>
        <v>-8.2254037137867911E-5</v>
      </c>
      <c r="AG41" s="62">
        <f>AG$6*Yield!M5</f>
        <v>-6.9095443440379741E-5</v>
      </c>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J41" s="61">
        <v>2053</v>
      </c>
      <c r="BK41" s="65">
        <f t="shared" si="7"/>
        <v>-0.1661568742893017</v>
      </c>
      <c r="BL41" s="65">
        <f t="shared" si="4"/>
        <v>-11.086201583029572</v>
      </c>
      <c r="BM41" s="60">
        <f t="shared" ca="1" si="5"/>
        <v>-8.6465657535649694</v>
      </c>
      <c r="BN41" s="65">
        <f t="shared" ca="1" si="6"/>
        <v>-19.898924210883841</v>
      </c>
    </row>
    <row r="42" spans="1:84" x14ac:dyDescent="0.25">
      <c r="A42" s="61">
        <v>2054</v>
      </c>
      <c r="B42" s="62">
        <f>$B$6*Yield!M37</f>
        <v>-3.9082734467123841E-2</v>
      </c>
      <c r="C42" s="62">
        <f>$C$6*Yield!M36</f>
        <v>-5.1191908003375072E-2</v>
      </c>
      <c r="D42" s="62">
        <f>$D$6*Yield!M35</f>
        <v>-2.3668681352062598E-2</v>
      </c>
      <c r="E42" s="62">
        <f>$E$6*Yield!M34</f>
        <v>-1.6078531965874693E-2</v>
      </c>
      <c r="F42" s="62">
        <f>$F$6*Yield!M33</f>
        <v>-3.1222388496405964E-3</v>
      </c>
      <c r="G42" s="62">
        <f>$G$6*Yield!M32</f>
        <v>-1.6104225161124575E-3</v>
      </c>
      <c r="H42" s="62">
        <f>$H$6*Yield!M31</f>
        <v>-8.8112672643379743E-4</v>
      </c>
      <c r="I42" s="62">
        <f>$I$6*Yield!M30</f>
        <v>-8.9893717747154694E-4</v>
      </c>
      <c r="J42" s="62">
        <f>$J$6*Yield!M29</f>
        <v>-9.2715366825739647E-4</v>
      </c>
      <c r="K42" s="62">
        <f>$K$6*Yield!M28</f>
        <v>-9.8951074852962444E-4</v>
      </c>
      <c r="L42" s="62">
        <f>$L$6*Yield!M27</f>
        <v>-1.0244218846918308E-3</v>
      </c>
      <c r="M42" s="62">
        <f>$M$6*Yield!M26</f>
        <v>-1.0354809808351577E-3</v>
      </c>
      <c r="N42" s="62">
        <f>$N$6*Yield!M25</f>
        <v>-1.0799779316950329E-3</v>
      </c>
      <c r="O42" s="62">
        <f>$O$6*Yield!M24</f>
        <v>-1.1540026687392219E-3</v>
      </c>
      <c r="P42" s="62">
        <f>$P$6*Yield!M23</f>
        <v>-1.1815854742604067E-3</v>
      </c>
      <c r="Q42" s="62">
        <f>$Q$6*Yield!M22</f>
        <v>-1.1815434376664094E-3</v>
      </c>
      <c r="R42" s="62">
        <f>$R$6*Yield!M21</f>
        <v>-1.1587161913430536E-3</v>
      </c>
      <c r="S42" s="62">
        <f>$S$6*Yield!M20</f>
        <v>-1.142245888483287E-3</v>
      </c>
      <c r="T42" s="62">
        <f>$T$6*Yield!M19</f>
        <v>-1.1079978481301823E-3</v>
      </c>
      <c r="U42" s="62">
        <f>$U$6*Yield!M18</f>
        <v>-1.0584522192053439E-3</v>
      </c>
      <c r="V42" s="62">
        <f>$V$6*Yield!M17</f>
        <v>-1.016118510336534E-3</v>
      </c>
      <c r="W42" s="62">
        <f>$W$6*Yield!M16</f>
        <v>-8.9458286485683794E-4</v>
      </c>
      <c r="X42" s="62">
        <f>$X$6*Yield!M15</f>
        <v>-8.5707815816541267E-4</v>
      </c>
      <c r="Y42" s="62">
        <f>$Y$6*Yield!M14</f>
        <v>-7.8598001125651518E-4</v>
      </c>
      <c r="Z42" s="62">
        <f>$Z$6*Yield!M13</f>
        <v>-6.9504055648827296E-4</v>
      </c>
      <c r="AA42" s="62">
        <f>$AA$6*Yield!M12</f>
        <v>-6.0459393498919658E-4</v>
      </c>
      <c r="AB42" s="62">
        <f>$AB$6*Yield!M11</f>
        <v>-5.1134380123309142E-4</v>
      </c>
      <c r="AC42" s="62">
        <f>$AC$6*Yield!M10</f>
        <v>-4.1685801991537879E-4</v>
      </c>
      <c r="AD42" s="62">
        <f>AD$6*Yield!M9</f>
        <v>-3.2189952264036523E-4</v>
      </c>
      <c r="AE42" s="62">
        <f>AE$6*Yield!M8</f>
        <v>-2.2852468894006165E-4</v>
      </c>
      <c r="AF42" s="62">
        <f>AF$6*Yield!M7</f>
        <v>-1.4913497554132707E-4</v>
      </c>
      <c r="AG42" s="62">
        <f>AG$6*Yield!M6</f>
        <v>-8.2254037137867911E-5</v>
      </c>
      <c r="AH42" s="62">
        <f>AH$6*Yield!M5</f>
        <v>-6.9095443440379741E-5</v>
      </c>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J42" s="61">
        <v>2054</v>
      </c>
      <c r="BK42" s="65">
        <f t="shared" ref="BK42:BK68" si="8">SUM(B42:BH42)</f>
        <v>-0.15620817452487279</v>
      </c>
      <c r="BL42" s="65">
        <f t="shared" ref="BL42:BL68" si="9">BK103</f>
        <v>-11.413704805143539</v>
      </c>
      <c r="BM42" s="60">
        <f t="shared" ref="BM42:BM68" ca="1" si="10">BK164</f>
        <v>-8.6465657535649694</v>
      </c>
      <c r="BN42" s="65">
        <f t="shared" ref="BN42:BN68" ca="1" si="11">BK42+BL42+BM42</f>
        <v>-20.21647873323338</v>
      </c>
    </row>
    <row r="43" spans="1:84" x14ac:dyDescent="0.25">
      <c r="A43" s="61">
        <v>2055</v>
      </c>
      <c r="B43" s="62">
        <f>$B$6*Yield!M38</f>
        <v>-4.0784004561443842E-2</v>
      </c>
      <c r="C43" s="62">
        <f>$C$6*Yield!M37</f>
        <v>-4.4267428935194635E-2</v>
      </c>
      <c r="D43" s="62">
        <f>$D$6*Yield!M36</f>
        <v>-2.3011781361545181E-2</v>
      </c>
      <c r="E43" s="62">
        <f>$E$6*Yield!M35</f>
        <v>-1.4877456849867918E-2</v>
      </c>
      <c r="F43" s="62">
        <f>$F$6*Yield!M34</f>
        <v>-2.9233694483408535E-3</v>
      </c>
      <c r="G43" s="62">
        <f>$G$6*Yield!M33</f>
        <v>-1.5611194248202982E-3</v>
      </c>
      <c r="H43" s="62">
        <f>$H$6*Yield!M32</f>
        <v>-8.0521125805622874E-4</v>
      </c>
      <c r="I43" s="62">
        <f>$I$6*Yield!M31</f>
        <v>-8.8112672643379743E-4</v>
      </c>
      <c r="J43" s="62">
        <f>$J$6*Yield!M30</f>
        <v>-8.9893717747154694E-4</v>
      </c>
      <c r="K43" s="62">
        <f>$K$6*Yield!M29</f>
        <v>-9.2715366825739647E-4</v>
      </c>
      <c r="L43" s="62">
        <f>$L$6*Yield!M28</f>
        <v>-9.8951074852962444E-4</v>
      </c>
      <c r="M43" s="62">
        <f>$M$6*Yield!M27</f>
        <v>-1.0244218846918308E-3</v>
      </c>
      <c r="N43" s="62">
        <f>$N$6*Yield!M26</f>
        <v>-1.0354809808351577E-3</v>
      </c>
      <c r="O43" s="62">
        <f>$O$6*Yield!M25</f>
        <v>-1.0799779316950329E-3</v>
      </c>
      <c r="P43" s="62">
        <f>$P$6*Yield!M24</f>
        <v>-1.1540026687392219E-3</v>
      </c>
      <c r="Q43" s="62">
        <f>$Q$6*Yield!M23</f>
        <v>-1.1815854742604067E-3</v>
      </c>
      <c r="R43" s="62">
        <f>$R$6*Yield!M22</f>
        <v>-1.1815434376664094E-3</v>
      </c>
      <c r="S43" s="62">
        <f>$S$6*Yield!M21</f>
        <v>-1.1587161913430536E-3</v>
      </c>
      <c r="T43" s="62">
        <f>$T$6*Yield!M20</f>
        <v>-1.142245888483287E-3</v>
      </c>
      <c r="U43" s="62">
        <f>$U$6*Yield!M19</f>
        <v>-1.1079978481301823E-3</v>
      </c>
      <c r="V43" s="62">
        <f>$V$6*Yield!M18</f>
        <v>-1.0584522192053439E-3</v>
      </c>
      <c r="W43" s="62">
        <f>$W$6*Yield!M17</f>
        <v>-1.016118510336534E-3</v>
      </c>
      <c r="X43" s="62">
        <f>$X$6*Yield!M16</f>
        <v>-8.9458286485683794E-4</v>
      </c>
      <c r="Y43" s="62">
        <f>$Y$6*Yield!M15</f>
        <v>-8.5707815816541267E-4</v>
      </c>
      <c r="Z43" s="62">
        <f>$Z$6*Yield!M14</f>
        <v>-7.8598001125651518E-4</v>
      </c>
      <c r="AA43" s="62">
        <f>$AA$6*Yield!M13</f>
        <v>-6.9504055648827296E-4</v>
      </c>
      <c r="AB43" s="62">
        <f>$AB$6*Yield!M12</f>
        <v>-6.0459393498919658E-4</v>
      </c>
      <c r="AC43" s="62">
        <f>$AC$6*Yield!M11</f>
        <v>-5.1134380123309142E-4</v>
      </c>
      <c r="AD43" s="62">
        <f>AD$6*Yield!M10</f>
        <v>-4.1685801991537879E-4</v>
      </c>
      <c r="AE43" s="62">
        <f>AE$6*Yield!M9</f>
        <v>-3.2189952264036523E-4</v>
      </c>
      <c r="AF43" s="62">
        <f>AF$6*Yield!M8</f>
        <v>-2.2852468894006165E-4</v>
      </c>
      <c r="AG43" s="62">
        <f>AG$6*Yield!M7</f>
        <v>-1.4913497554132707E-4</v>
      </c>
      <c r="AH43" s="62">
        <f>AH$6*Yield!M6</f>
        <v>-8.2254037137867911E-5</v>
      </c>
      <c r="AI43" s="62">
        <f>AI$6*Yield!M5</f>
        <v>-6.9095443440379741E-5</v>
      </c>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J43" s="61">
        <v>2055</v>
      </c>
      <c r="BK43" s="65">
        <f t="shared" si="8"/>
        <v>-0.14968402920995244</v>
      </c>
      <c r="BL43" s="65">
        <f t="shared" si="9"/>
        <v>-11.73247407384771</v>
      </c>
      <c r="BM43" s="60">
        <f t="shared" ca="1" si="10"/>
        <v>-8.6465657535649694</v>
      </c>
      <c r="BN43" s="65">
        <f t="shared" ca="1" si="11"/>
        <v>-20.528723856622634</v>
      </c>
    </row>
    <row r="44" spans="1:84" x14ac:dyDescent="0.25">
      <c r="A44" s="61">
        <v>2056</v>
      </c>
      <c r="B44" s="62">
        <f>$B$6*Yield!M39</f>
        <v>-3.5204330144637239E-2</v>
      </c>
      <c r="C44" s="62">
        <f>$C$6*Yield!M38</f>
        <v>-4.6194388602339563E-2</v>
      </c>
      <c r="D44" s="62">
        <f>$D$6*Yield!M37</f>
        <v>-1.9899090223932988E-2</v>
      </c>
      <c r="E44" s="62">
        <f>$E$6*Yield!M36</f>
        <v>-1.4464548284399829E-2</v>
      </c>
      <c r="F44" s="62">
        <f>$F$6*Yield!M35</f>
        <v>-2.7049921545214397E-3</v>
      </c>
      <c r="G44" s="62">
        <f>$G$6*Yield!M34</f>
        <v>-1.4616847241704267E-3</v>
      </c>
      <c r="H44" s="62">
        <f>$H$6*Yield!M33</f>
        <v>-7.8055971241014911E-4</v>
      </c>
      <c r="I44" s="62">
        <f>$I$6*Yield!M32</f>
        <v>-8.0521125805622874E-4</v>
      </c>
      <c r="J44" s="62">
        <f>$J$6*Yield!M31</f>
        <v>-8.8112672643379743E-4</v>
      </c>
      <c r="K44" s="62">
        <f>$K$6*Yield!M30</f>
        <v>-8.9893717747154694E-4</v>
      </c>
      <c r="L44" s="62">
        <f>$L$6*Yield!M29</f>
        <v>-9.2715366825739647E-4</v>
      </c>
      <c r="M44" s="62">
        <f>$M$6*Yield!M28</f>
        <v>-9.8951074852962444E-4</v>
      </c>
      <c r="N44" s="62">
        <f>$N$6*Yield!M27</f>
        <v>-1.0244218846918308E-3</v>
      </c>
      <c r="O44" s="62">
        <f>$O$6*Yield!M26</f>
        <v>-1.0354809808351577E-3</v>
      </c>
      <c r="P44" s="62">
        <f>$P$6*Yield!M25</f>
        <v>-1.0799779316950329E-3</v>
      </c>
      <c r="Q44" s="62">
        <f>$Q$6*Yield!M24</f>
        <v>-1.1540026687392219E-3</v>
      </c>
      <c r="R44" s="62">
        <f>$R$6*Yield!M23</f>
        <v>-1.1815854742604067E-3</v>
      </c>
      <c r="S44" s="62">
        <f>$S$6*Yield!M22</f>
        <v>-1.1815434376664094E-3</v>
      </c>
      <c r="T44" s="62">
        <f>$T$6*Yield!M21</f>
        <v>-1.1587161913430536E-3</v>
      </c>
      <c r="U44" s="62">
        <f>$U$6*Yield!M20</f>
        <v>-1.142245888483287E-3</v>
      </c>
      <c r="V44" s="62">
        <f>$V$6*Yield!M19</f>
        <v>-1.1079978481301823E-3</v>
      </c>
      <c r="W44" s="62">
        <f>$W$6*Yield!M18</f>
        <v>-1.0584522192053439E-3</v>
      </c>
      <c r="X44" s="62">
        <f>$X$6*Yield!M17</f>
        <v>-1.016118510336534E-3</v>
      </c>
      <c r="Y44" s="62">
        <f>$Y$6*Yield!M16</f>
        <v>-8.9458286485683794E-4</v>
      </c>
      <c r="Z44" s="62">
        <f>$Z$6*Yield!M15</f>
        <v>-8.5707815816541267E-4</v>
      </c>
      <c r="AA44" s="62">
        <f>$AA$6*Yield!M14</f>
        <v>-7.8598001125651518E-4</v>
      </c>
      <c r="AB44" s="62">
        <f>$AB$6*Yield!M13</f>
        <v>-6.9504055648827296E-4</v>
      </c>
      <c r="AC44" s="62">
        <f>$AC$6*Yield!M12</f>
        <v>-6.0459393498919658E-4</v>
      </c>
      <c r="AD44" s="62">
        <f>AD$6*Yield!M11</f>
        <v>-5.1134380123309142E-4</v>
      </c>
      <c r="AE44" s="62">
        <f>AE$6*Yield!M10</f>
        <v>-4.1685801991537879E-4</v>
      </c>
      <c r="AF44" s="62">
        <f>AF$6*Yield!M9</f>
        <v>-3.2189952264036523E-4</v>
      </c>
      <c r="AG44" s="62">
        <f>AG$6*Yield!M8</f>
        <v>-2.2852468894006165E-4</v>
      </c>
      <c r="AH44" s="62">
        <f>AH$6*Yield!M7</f>
        <v>-1.4913497554132707E-4</v>
      </c>
      <c r="AI44" s="62">
        <f>AI$6*Yield!M6</f>
        <v>-8.2254037137867911E-5</v>
      </c>
      <c r="AJ44" s="62">
        <f>AJ$6*Yield!M5</f>
        <v>-6.9095443440379741E-5</v>
      </c>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J44" s="61">
        <v>2056</v>
      </c>
      <c r="BK44" s="65">
        <f t="shared" si="8"/>
        <v>-0.14296846247515138</v>
      </c>
      <c r="BL44" s="65">
        <f t="shared" si="9"/>
        <v>-12.046260166329981</v>
      </c>
      <c r="BM44" s="60">
        <f t="shared" ca="1" si="10"/>
        <v>-8.6465657535649694</v>
      </c>
      <c r="BN44" s="65">
        <f t="shared" ca="1" si="11"/>
        <v>-20.835794382370104</v>
      </c>
    </row>
    <row r="45" spans="1:84" x14ac:dyDescent="0.25">
      <c r="A45" s="61">
        <v>2057</v>
      </c>
      <c r="B45" s="62">
        <f>$B$6*Yield!M40</f>
        <v>-3.4648200929735404E-2</v>
      </c>
      <c r="C45" s="62">
        <f>$C$6*Yield!M39</f>
        <v>-3.9874517587805428E-2</v>
      </c>
      <c r="D45" s="62">
        <f>$D$6*Yield!M38</f>
        <v>-2.0765296940626014E-2</v>
      </c>
      <c r="E45" s="62">
        <f>$E$6*Yield!M37</f>
        <v>-1.2507999569329306E-2</v>
      </c>
      <c r="F45" s="62">
        <f>$F$6*Yield!M36</f>
        <v>-2.6299178698908779E-3</v>
      </c>
      <c r="G45" s="62">
        <f>$G$6*Yield!M35</f>
        <v>-1.3524960772607199E-3</v>
      </c>
      <c r="H45" s="62">
        <f>$H$6*Yield!M34</f>
        <v>-7.3084236208521337E-4</v>
      </c>
      <c r="I45" s="62">
        <f>$I$6*Yield!M33</f>
        <v>-7.8055971241014911E-4</v>
      </c>
      <c r="J45" s="62">
        <f>$J$6*Yield!M32</f>
        <v>-8.0521125805622874E-4</v>
      </c>
      <c r="K45" s="62">
        <f>$K$6*Yield!M31</f>
        <v>-8.8112672643379743E-4</v>
      </c>
      <c r="L45" s="62">
        <f>$L$6*Yield!M30</f>
        <v>-8.9893717747154694E-4</v>
      </c>
      <c r="M45" s="62">
        <f>$M$6*Yield!M29</f>
        <v>-9.2715366825739647E-4</v>
      </c>
      <c r="N45" s="62">
        <f>$N$6*Yield!M28</f>
        <v>-9.8951074852962444E-4</v>
      </c>
      <c r="O45" s="62">
        <f>$O$6*Yield!M27</f>
        <v>-1.0244218846918308E-3</v>
      </c>
      <c r="P45" s="62">
        <f>$P$6*Yield!M26</f>
        <v>-1.0354809808351577E-3</v>
      </c>
      <c r="Q45" s="62">
        <f>$Q$6*Yield!M25</f>
        <v>-1.0799779316950329E-3</v>
      </c>
      <c r="R45" s="62">
        <f>$R$6*Yield!M24</f>
        <v>-1.1540026687392219E-3</v>
      </c>
      <c r="S45" s="62">
        <f>$S$6*Yield!M23</f>
        <v>-1.1815854742604067E-3</v>
      </c>
      <c r="T45" s="62">
        <f>$T$6*Yield!M22</f>
        <v>-1.1815434376664094E-3</v>
      </c>
      <c r="U45" s="62">
        <f>$U$6*Yield!M21</f>
        <v>-1.1587161913430536E-3</v>
      </c>
      <c r="V45" s="62">
        <f>$V$6*Yield!M20</f>
        <v>-1.142245888483287E-3</v>
      </c>
      <c r="W45" s="62">
        <f>$W$6*Yield!M19</f>
        <v>-1.1079978481301823E-3</v>
      </c>
      <c r="X45" s="62">
        <f>$X$6*Yield!M18</f>
        <v>-1.0584522192053439E-3</v>
      </c>
      <c r="Y45" s="62">
        <f>$Y$6*Yield!M17</f>
        <v>-1.016118510336534E-3</v>
      </c>
      <c r="Z45" s="62">
        <f>$Z$6*Yield!M16</f>
        <v>-8.9458286485683794E-4</v>
      </c>
      <c r="AA45" s="62">
        <f>$AA$6*Yield!M15</f>
        <v>-8.5707815816541267E-4</v>
      </c>
      <c r="AB45" s="62">
        <f>$AB$6*Yield!M14</f>
        <v>-7.8598001125651518E-4</v>
      </c>
      <c r="AC45" s="62">
        <f>$AC$6*Yield!M13</f>
        <v>-6.9504055648827296E-4</v>
      </c>
      <c r="AD45" s="62">
        <f>AD$6*Yield!M12</f>
        <v>-6.0459393498919658E-4</v>
      </c>
      <c r="AE45" s="62">
        <f>AE$6*Yield!M11</f>
        <v>-5.1134380123309142E-4</v>
      </c>
      <c r="AF45" s="62">
        <f>AF$6*Yield!M10</f>
        <v>-4.1685801991537879E-4</v>
      </c>
      <c r="AG45" s="62">
        <f>AG$6*Yield!M9</f>
        <v>-3.2189952264036523E-4</v>
      </c>
      <c r="AH45" s="62">
        <f>AH$6*Yield!M8</f>
        <v>-2.2852468894006165E-4</v>
      </c>
      <c r="AI45" s="62">
        <f>AI$6*Yield!M7</f>
        <v>-1.4913497554132707E-4</v>
      </c>
      <c r="AJ45" s="62">
        <f>AJ$6*Yield!M6</f>
        <v>-8.2254037137867911E-5</v>
      </c>
      <c r="AK45" s="62">
        <f>AK$6*Yield!M5</f>
        <v>-6.9095443440379741E-5</v>
      </c>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J45" s="61">
        <v>2057</v>
      </c>
      <c r="BK45" s="65">
        <f t="shared" si="8"/>
        <v>-0.13554869967788286</v>
      </c>
      <c r="BL45" s="65">
        <f t="shared" si="9"/>
        <v>-12.352743652014144</v>
      </c>
      <c r="BM45" s="60">
        <f t="shared" ca="1" si="10"/>
        <v>-8.6465657535649694</v>
      </c>
      <c r="BN45" s="65">
        <f t="shared" ca="1" si="11"/>
        <v>-21.134858105256995</v>
      </c>
    </row>
    <row r="46" spans="1:84" x14ac:dyDescent="0.25">
      <c r="A46" s="61">
        <v>2058</v>
      </c>
      <c r="B46" s="62">
        <f>$B$6*Yield!M41</f>
        <v>-2.9208436992625549E-2</v>
      </c>
      <c r="C46" s="62">
        <f>$C$6*Yield!M40</f>
        <v>-3.9244612571303544E-2</v>
      </c>
      <c r="D46" s="62">
        <f>$D$6*Yield!M39</f>
        <v>-1.7924389154769741E-2</v>
      </c>
      <c r="E46" s="62">
        <f>$E$6*Yield!M38</f>
        <v>-1.3052472362679209E-2</v>
      </c>
      <c r="F46" s="62">
        <f>$F$6*Yield!M37</f>
        <v>-2.2741817398780556E-3</v>
      </c>
      <c r="G46" s="62">
        <f>$G$6*Yield!M36</f>
        <v>-1.314958934945439E-3</v>
      </c>
      <c r="H46" s="62">
        <f>$H$6*Yield!M35</f>
        <v>-6.7624803863035993E-4</v>
      </c>
      <c r="I46" s="62">
        <f>$I$6*Yield!M34</f>
        <v>-7.3084236208521337E-4</v>
      </c>
      <c r="J46" s="62">
        <f>$J$6*Yield!M33</f>
        <v>-7.8055971241014911E-4</v>
      </c>
      <c r="K46" s="62">
        <f>$K$6*Yield!M32</f>
        <v>-8.0521125805622874E-4</v>
      </c>
      <c r="L46" s="62">
        <f>$L$6*Yield!M31</f>
        <v>-8.8112672643379743E-4</v>
      </c>
      <c r="M46" s="62">
        <f>$M$6*Yield!M30</f>
        <v>-8.9893717747154694E-4</v>
      </c>
      <c r="N46" s="62">
        <f>$N$6*Yield!M29</f>
        <v>-9.2715366825739647E-4</v>
      </c>
      <c r="O46" s="62">
        <f>$O$6*Yield!M28</f>
        <v>-9.8951074852962444E-4</v>
      </c>
      <c r="P46" s="62">
        <f>$P$6*Yield!M27</f>
        <v>-1.0244218846918308E-3</v>
      </c>
      <c r="Q46" s="62">
        <f>$Q$6*Yield!M26</f>
        <v>-1.0354809808351577E-3</v>
      </c>
      <c r="R46" s="62">
        <f>$R$6*Yield!M25</f>
        <v>-1.0799779316950329E-3</v>
      </c>
      <c r="S46" s="62">
        <f>$S$6*Yield!M24</f>
        <v>-1.1540026687392219E-3</v>
      </c>
      <c r="T46" s="62">
        <f>$T$6*Yield!M23</f>
        <v>-1.1815854742604067E-3</v>
      </c>
      <c r="U46" s="62">
        <f>$U$6*Yield!M22</f>
        <v>-1.1815434376664094E-3</v>
      </c>
      <c r="V46" s="62">
        <f>$V$6*Yield!M21</f>
        <v>-1.1587161913430536E-3</v>
      </c>
      <c r="W46" s="62">
        <f>$W$6*Yield!M20</f>
        <v>-1.142245888483287E-3</v>
      </c>
      <c r="X46" s="62">
        <f>$X$6*Yield!M19</f>
        <v>-1.1079978481301823E-3</v>
      </c>
      <c r="Y46" s="62">
        <f>$Y$6*Yield!M18</f>
        <v>-1.0584522192053439E-3</v>
      </c>
      <c r="Z46" s="62">
        <f>$Z$6*Yield!M17</f>
        <v>-1.016118510336534E-3</v>
      </c>
      <c r="AA46" s="62">
        <f>$AA$6*Yield!M16</f>
        <v>-8.9458286485683794E-4</v>
      </c>
      <c r="AB46" s="62">
        <f>$AB$6*Yield!M15</f>
        <v>-8.5707815816541267E-4</v>
      </c>
      <c r="AC46" s="62">
        <f>$AC$6*Yield!M14</f>
        <v>-7.8598001125651518E-4</v>
      </c>
      <c r="AD46" s="62">
        <f>AD$6*Yield!M13</f>
        <v>-6.9504055648827296E-4</v>
      </c>
      <c r="AE46" s="62">
        <f>AE$6*Yield!M12</f>
        <v>-6.0459393498919658E-4</v>
      </c>
      <c r="AF46" s="62">
        <f>AF$6*Yield!M11</f>
        <v>-5.1134380123309142E-4</v>
      </c>
      <c r="AG46" s="62">
        <f>AG$6*Yield!M10</f>
        <v>-4.1685801991537879E-4</v>
      </c>
      <c r="AH46" s="62">
        <f>AH$6*Yield!M9</f>
        <v>-3.2189952264036523E-4</v>
      </c>
      <c r="AI46" s="62">
        <f>AI$6*Yield!M8</f>
        <v>-2.2852468894006165E-4</v>
      </c>
      <c r="AJ46" s="62">
        <f>AJ$6*Yield!M7</f>
        <v>-1.4913497554132707E-4</v>
      </c>
      <c r="AK46" s="62">
        <f>AK$6*Yield!M6</f>
        <v>-8.2254037137867911E-5</v>
      </c>
      <c r="AL46" s="62">
        <f>AL$6*Yield!M5</f>
        <v>-6.9095443440379741E-5</v>
      </c>
      <c r="AM46" s="62"/>
      <c r="AN46" s="62"/>
      <c r="AO46" s="62"/>
      <c r="AP46" s="62"/>
      <c r="AQ46" s="62"/>
      <c r="AR46" s="62"/>
      <c r="AS46" s="62"/>
      <c r="AT46" s="62"/>
      <c r="AU46" s="62"/>
      <c r="AV46" s="62"/>
      <c r="AW46" s="62"/>
      <c r="AX46" s="62"/>
      <c r="AY46" s="62"/>
      <c r="AZ46" s="62"/>
      <c r="BA46" s="62"/>
      <c r="BB46" s="62"/>
      <c r="BC46" s="62"/>
      <c r="BD46" s="62"/>
      <c r="BE46" s="62"/>
      <c r="BF46" s="62"/>
      <c r="BG46" s="62"/>
      <c r="BH46" s="62"/>
      <c r="BJ46" s="61">
        <v>2058</v>
      </c>
      <c r="BK46" s="65">
        <f t="shared" si="8"/>
        <v>-0.12746557049806703</v>
      </c>
      <c r="BL46" s="65">
        <f t="shared" si="9"/>
        <v>-12.653603555591458</v>
      </c>
      <c r="BM46" s="60">
        <f t="shared" ca="1" si="10"/>
        <v>-8.6465657535649694</v>
      </c>
      <c r="BN46" s="65">
        <f t="shared" ca="1" si="11"/>
        <v>-21.427634879654494</v>
      </c>
    </row>
    <row r="47" spans="1:84" x14ac:dyDescent="0.25">
      <c r="A47" s="61">
        <v>2059</v>
      </c>
      <c r="B47" s="62">
        <f>$B$6*Yield!M42</f>
        <v>-3.2088171958513649E-2</v>
      </c>
      <c r="C47" s="62">
        <f>$C$6*Yield!M41</f>
        <v>-3.3083212485216722E-2</v>
      </c>
      <c r="D47" s="62">
        <f>$D$6*Yield!M40</f>
        <v>-1.764123431480312E-2</v>
      </c>
      <c r="E47" s="62">
        <f>$E$6*Yield!M39</f>
        <v>-1.1266758897283837E-2</v>
      </c>
      <c r="F47" s="62">
        <f>$F$6*Yield!M38</f>
        <v>-2.3731767932144016E-3</v>
      </c>
      <c r="G47" s="62">
        <f>$G$6*Yield!M37</f>
        <v>-1.1370908699390278E-3</v>
      </c>
      <c r="H47" s="62">
        <f>$H$6*Yield!M36</f>
        <v>-6.5747946747271948E-4</v>
      </c>
      <c r="I47" s="62">
        <f>$I$6*Yield!M35</f>
        <v>-6.7624803863035993E-4</v>
      </c>
      <c r="J47" s="62">
        <f>$J$6*Yield!M34</f>
        <v>-7.3084236208521337E-4</v>
      </c>
      <c r="K47" s="62">
        <f>$K$6*Yield!M33</f>
        <v>-7.8055971241014911E-4</v>
      </c>
      <c r="L47" s="62">
        <f>$L$6*Yield!M32</f>
        <v>-8.0521125805622874E-4</v>
      </c>
      <c r="M47" s="62">
        <f>$M$6*Yield!M31</f>
        <v>-8.8112672643379743E-4</v>
      </c>
      <c r="N47" s="62">
        <f>$N$6*Yield!M30</f>
        <v>-8.9893717747154694E-4</v>
      </c>
      <c r="O47" s="62">
        <f>$O$6*Yield!M29</f>
        <v>-9.2715366825739647E-4</v>
      </c>
      <c r="P47" s="62">
        <f>$P$6*Yield!M28</f>
        <v>-9.8951074852962444E-4</v>
      </c>
      <c r="Q47" s="62">
        <f>$Q$6*Yield!M27</f>
        <v>-1.0244218846918308E-3</v>
      </c>
      <c r="R47" s="62">
        <f>$R$6*Yield!M26</f>
        <v>-1.0354809808351577E-3</v>
      </c>
      <c r="S47" s="62">
        <f>$S$6*Yield!M25</f>
        <v>-1.0799779316950329E-3</v>
      </c>
      <c r="T47" s="62">
        <f>$T$6*Yield!M24</f>
        <v>-1.1540026687392219E-3</v>
      </c>
      <c r="U47" s="62">
        <f>$U$6*Yield!M23</f>
        <v>-1.1815854742604067E-3</v>
      </c>
      <c r="V47" s="62">
        <f>$V$6*Yield!M22</f>
        <v>-1.1815434376664094E-3</v>
      </c>
      <c r="W47" s="62">
        <f>$W$6*Yield!M21</f>
        <v>-1.1587161913430536E-3</v>
      </c>
      <c r="X47" s="62">
        <f>$X$6*Yield!M20</f>
        <v>-1.142245888483287E-3</v>
      </c>
      <c r="Y47" s="62">
        <f>$Y$6*Yield!M19</f>
        <v>-1.1079978481301823E-3</v>
      </c>
      <c r="Z47" s="62">
        <f>$Z$6*Yield!M18</f>
        <v>-1.0584522192053439E-3</v>
      </c>
      <c r="AA47" s="62">
        <f>$AA$6*Yield!M17</f>
        <v>-1.016118510336534E-3</v>
      </c>
      <c r="AB47" s="62">
        <f>$AB$6*Yield!M16</f>
        <v>-8.9458286485683794E-4</v>
      </c>
      <c r="AC47" s="62">
        <f>$AC$6*Yield!M15</f>
        <v>-8.5707815816541267E-4</v>
      </c>
      <c r="AD47" s="62">
        <f>AD$6*Yield!M14</f>
        <v>-7.8598001125651518E-4</v>
      </c>
      <c r="AE47" s="62">
        <f>AE$6*Yield!M13</f>
        <v>-6.9504055648827296E-4</v>
      </c>
      <c r="AF47" s="62">
        <f>AF$6*Yield!M12</f>
        <v>-6.0459393498919658E-4</v>
      </c>
      <c r="AG47" s="62">
        <f>AG$6*Yield!M11</f>
        <v>-5.1134380123309142E-4</v>
      </c>
      <c r="AH47" s="62">
        <f>AH$6*Yield!M10</f>
        <v>-4.1685801991537879E-4</v>
      </c>
      <c r="AI47" s="62">
        <f>AI$6*Yield!M9</f>
        <v>-3.2189952264036523E-4</v>
      </c>
      <c r="AJ47" s="62">
        <f>AJ$6*Yield!M8</f>
        <v>-2.2852468894006165E-4</v>
      </c>
      <c r="AK47" s="62">
        <f>AK$6*Yield!M7</f>
        <v>-1.4913497554132707E-4</v>
      </c>
      <c r="AL47" s="62">
        <f>AL$6*Yield!M6</f>
        <v>-8.2254037137867911E-5</v>
      </c>
      <c r="AM47" s="62">
        <f>AM$6*Yield!M5</f>
        <v>-6.9095443440379741E-5</v>
      </c>
      <c r="AN47" s="62"/>
      <c r="AO47" s="62"/>
      <c r="AP47" s="62"/>
      <c r="AQ47" s="62"/>
      <c r="AR47" s="62"/>
      <c r="AS47" s="62"/>
      <c r="AT47" s="62"/>
      <c r="AU47" s="62"/>
      <c r="AV47" s="62"/>
      <c r="AW47" s="62"/>
      <c r="AX47" s="62"/>
      <c r="AY47" s="62"/>
      <c r="AZ47" s="62"/>
      <c r="BA47" s="62"/>
      <c r="BB47" s="62"/>
      <c r="BC47" s="62"/>
      <c r="BD47" s="62"/>
      <c r="BE47" s="62"/>
      <c r="BF47" s="62"/>
      <c r="BG47" s="62"/>
      <c r="BH47" s="62"/>
      <c r="BJ47" s="61">
        <v>2059</v>
      </c>
      <c r="BK47" s="65">
        <f t="shared" si="8"/>
        <v>-0.12269364352830894</v>
      </c>
      <c r="BL47" s="65">
        <f t="shared" si="9"/>
        <v>-12.949779075850712</v>
      </c>
      <c r="BM47" s="60">
        <f t="shared" ca="1" si="10"/>
        <v>-8.6465657535649694</v>
      </c>
      <c r="BN47" s="65">
        <f t="shared" ca="1" si="11"/>
        <v>-21.719038472943993</v>
      </c>
    </row>
    <row r="48" spans="1:84" x14ac:dyDescent="0.25">
      <c r="A48" s="61">
        <v>2060</v>
      </c>
      <c r="B48" s="62">
        <f>$B$6*Yield!M43</f>
        <v>-2.6510470779418011E-2</v>
      </c>
      <c r="C48" s="62">
        <f>$C$6*Yield!M42</f>
        <v>-3.6344971537973919E-2</v>
      </c>
      <c r="D48" s="62">
        <f>$D$6*Yield!M41</f>
        <v>-1.4871562364840094E-2</v>
      </c>
      <c r="E48" s="62">
        <f>$E$6*Yield!M40</f>
        <v>-1.1088775855019103E-2</v>
      </c>
      <c r="F48" s="62">
        <f>$F$6*Yield!M39</f>
        <v>-2.0485016176879705E-3</v>
      </c>
      <c r="G48" s="62">
        <f>$G$6*Yield!M38</f>
        <v>-1.1865883966072008E-3</v>
      </c>
      <c r="H48" s="62">
        <f>$H$6*Yield!M37</f>
        <v>-5.6854543496951391E-4</v>
      </c>
      <c r="I48" s="62">
        <f>$I$6*Yield!M36</f>
        <v>-6.5747946747271948E-4</v>
      </c>
      <c r="J48" s="62">
        <f>$J$6*Yield!M35</f>
        <v>-6.7624803863035993E-4</v>
      </c>
      <c r="K48" s="62">
        <f>$K$6*Yield!M34</f>
        <v>-7.3084236208521337E-4</v>
      </c>
      <c r="L48" s="62">
        <f>$L$6*Yield!M33</f>
        <v>-7.8055971241014911E-4</v>
      </c>
      <c r="M48" s="62">
        <f>$M$6*Yield!M32</f>
        <v>-8.0521125805622874E-4</v>
      </c>
      <c r="N48" s="62">
        <f>$N$6*Yield!M31</f>
        <v>-8.8112672643379743E-4</v>
      </c>
      <c r="O48" s="62">
        <f>$O$6*Yield!M30</f>
        <v>-8.9893717747154694E-4</v>
      </c>
      <c r="P48" s="62">
        <f>$P$6*Yield!M29</f>
        <v>-9.2715366825739647E-4</v>
      </c>
      <c r="Q48" s="62">
        <f>$Q$6*Yield!M28</f>
        <v>-9.8951074852962444E-4</v>
      </c>
      <c r="R48" s="62">
        <f>$R$6*Yield!M27</f>
        <v>-1.0244218846918308E-3</v>
      </c>
      <c r="S48" s="62">
        <f>$S$6*Yield!M26</f>
        <v>-1.0354809808351577E-3</v>
      </c>
      <c r="T48" s="62">
        <f>$T$6*Yield!M25</f>
        <v>-1.0799779316950329E-3</v>
      </c>
      <c r="U48" s="62">
        <f>$U$6*Yield!M24</f>
        <v>-1.1540026687392219E-3</v>
      </c>
      <c r="V48" s="62">
        <f>$V$6*Yield!M23</f>
        <v>-1.1815854742604067E-3</v>
      </c>
      <c r="W48" s="62">
        <f>$W$6*Yield!M22</f>
        <v>-1.1815434376664094E-3</v>
      </c>
      <c r="X48" s="62">
        <f>$X$6*Yield!M21</f>
        <v>-1.1587161913430536E-3</v>
      </c>
      <c r="Y48" s="62">
        <f>$Y$6*Yield!M20</f>
        <v>-1.142245888483287E-3</v>
      </c>
      <c r="Z48" s="62">
        <f>$Z$6*Yield!M19</f>
        <v>-1.1079978481301823E-3</v>
      </c>
      <c r="AA48" s="62">
        <f>$AA$6*Yield!M18</f>
        <v>-1.0584522192053439E-3</v>
      </c>
      <c r="AB48" s="62">
        <f>$AB$6*Yield!M17</f>
        <v>-1.016118510336534E-3</v>
      </c>
      <c r="AC48" s="62">
        <f>$AC$6*Yield!M16</f>
        <v>-8.9458286485683794E-4</v>
      </c>
      <c r="AD48" s="62">
        <f>AD$6*Yield!M15</f>
        <v>-8.5707815816541267E-4</v>
      </c>
      <c r="AE48" s="62">
        <f>AE$6*Yield!M14</f>
        <v>-7.8598001125651518E-4</v>
      </c>
      <c r="AF48" s="62">
        <f>AF$6*Yield!M13</f>
        <v>-6.9504055648827296E-4</v>
      </c>
      <c r="AG48" s="62">
        <f>AG$6*Yield!M12</f>
        <v>-6.0459393498919658E-4</v>
      </c>
      <c r="AH48" s="62">
        <f>AH$6*Yield!M11</f>
        <v>-5.1134380123309142E-4</v>
      </c>
      <c r="AI48" s="62">
        <f>AI$6*Yield!M10</f>
        <v>-4.1685801991537879E-4</v>
      </c>
      <c r="AJ48" s="62">
        <f>AJ$6*Yield!M9</f>
        <v>-3.2189952264036523E-4</v>
      </c>
      <c r="AK48" s="62">
        <f>AK$6*Yield!M8</f>
        <v>-2.2852468894006165E-4</v>
      </c>
      <c r="AL48" s="62">
        <f>AL$6*Yield!M7</f>
        <v>-1.4913497554132707E-4</v>
      </c>
      <c r="AM48" s="62">
        <f>AM$6*Yield!M6</f>
        <v>-8.2254037137867911E-5</v>
      </c>
      <c r="AN48" s="62">
        <f>AN$6*Yield!M5</f>
        <v>-6.9095443440379741E-5</v>
      </c>
      <c r="AO48" s="62"/>
      <c r="AP48" s="62"/>
      <c r="AQ48" s="62"/>
      <c r="AR48" s="62"/>
      <c r="AS48" s="62"/>
      <c r="AT48" s="62"/>
      <c r="AU48" s="62"/>
      <c r="AV48" s="62"/>
      <c r="AW48" s="62"/>
      <c r="AX48" s="62"/>
      <c r="AY48" s="62"/>
      <c r="AZ48" s="62"/>
      <c r="BA48" s="62"/>
      <c r="BB48" s="62"/>
      <c r="BC48" s="62"/>
      <c r="BD48" s="62"/>
      <c r="BE48" s="62"/>
      <c r="BF48" s="62"/>
      <c r="BG48" s="62"/>
      <c r="BH48" s="62"/>
      <c r="BJ48" s="61">
        <v>2060</v>
      </c>
      <c r="BK48" s="65">
        <f t="shared" si="8"/>
        <v>-0.11772341419585398</v>
      </c>
      <c r="BL48" s="65">
        <f t="shared" si="9"/>
        <v>-13.241424466838973</v>
      </c>
      <c r="BM48" s="60">
        <f t="shared" ca="1" si="10"/>
        <v>-8.6465657535649694</v>
      </c>
      <c r="BN48" s="65">
        <f t="shared" ca="1" si="11"/>
        <v>-22.005713634599797</v>
      </c>
    </row>
    <row r="49" spans="1:84" x14ac:dyDescent="0.25">
      <c r="A49" s="61">
        <v>2061</v>
      </c>
      <c r="B49" s="62">
        <f>$B$6*Yield!M44</f>
        <v>-2.43232972113561E-2</v>
      </c>
      <c r="C49" s="62">
        <f>$C$6*Yield!M43</f>
        <v>-3.0027335529800865E-2</v>
      </c>
      <c r="D49" s="62">
        <f>$D$6*Yield!M42</f>
        <v>-1.6337787967744766E-2</v>
      </c>
      <c r="E49" s="62">
        <f>$E$6*Yield!M41</f>
        <v>-9.3478392007566302E-3</v>
      </c>
      <c r="F49" s="62">
        <f>$F$6*Yield!M40</f>
        <v>-2.0161410645489278E-3</v>
      </c>
      <c r="G49" s="62">
        <f>$G$6*Yield!M39</f>
        <v>-1.0242508088439853E-3</v>
      </c>
      <c r="H49" s="62">
        <f>$H$6*Yield!M38</f>
        <v>-5.9329419830360039E-4</v>
      </c>
      <c r="I49" s="62">
        <f>$I$6*Yield!M37</f>
        <v>-5.6854543496951391E-4</v>
      </c>
      <c r="J49" s="62">
        <f>$J$6*Yield!M36</f>
        <v>-6.5747946747271948E-4</v>
      </c>
      <c r="K49" s="62">
        <f>$K$6*Yield!M35</f>
        <v>-6.7624803863035993E-4</v>
      </c>
      <c r="L49" s="62">
        <f>$L$6*Yield!M34</f>
        <v>-7.3084236208521337E-4</v>
      </c>
      <c r="M49" s="62">
        <f>$M$6*Yield!M33</f>
        <v>-7.8055971241014911E-4</v>
      </c>
      <c r="N49" s="62">
        <f>$N$6*Yield!M32</f>
        <v>-8.0521125805622874E-4</v>
      </c>
      <c r="O49" s="62">
        <f>$O$6*Yield!M31</f>
        <v>-8.8112672643379743E-4</v>
      </c>
      <c r="P49" s="62">
        <f>$P$6*Yield!M30</f>
        <v>-8.9893717747154694E-4</v>
      </c>
      <c r="Q49" s="62">
        <f>$Q$6*Yield!M29</f>
        <v>-9.2715366825739647E-4</v>
      </c>
      <c r="R49" s="62">
        <f>$R$6*Yield!M28</f>
        <v>-9.8951074852962444E-4</v>
      </c>
      <c r="S49" s="62">
        <f>$S$6*Yield!M27</f>
        <v>-1.0244218846918308E-3</v>
      </c>
      <c r="T49" s="62">
        <f>$T$6*Yield!M26</f>
        <v>-1.0354809808351577E-3</v>
      </c>
      <c r="U49" s="62">
        <f>$U$6*Yield!M25</f>
        <v>-1.0799779316950329E-3</v>
      </c>
      <c r="V49" s="62">
        <f>$V$6*Yield!M24</f>
        <v>-1.1540026687392219E-3</v>
      </c>
      <c r="W49" s="62">
        <f>$W$6*Yield!M23</f>
        <v>-1.1815854742604067E-3</v>
      </c>
      <c r="X49" s="62">
        <f>$X$6*Yield!M22</f>
        <v>-1.1815434376664094E-3</v>
      </c>
      <c r="Y49" s="62">
        <f>$Y$6*Yield!M21</f>
        <v>-1.1587161913430536E-3</v>
      </c>
      <c r="Z49" s="62">
        <f>$Z$6*Yield!M20</f>
        <v>-1.142245888483287E-3</v>
      </c>
      <c r="AA49" s="62">
        <f>$AA$6*Yield!M19</f>
        <v>-1.1079978481301823E-3</v>
      </c>
      <c r="AB49" s="62">
        <f>$AB$6*Yield!M18</f>
        <v>-1.0584522192053439E-3</v>
      </c>
      <c r="AC49" s="62">
        <f>$AC$6*Yield!M17</f>
        <v>-1.016118510336534E-3</v>
      </c>
      <c r="AD49" s="62">
        <f>AD$6*Yield!M16</f>
        <v>-8.9458286485683794E-4</v>
      </c>
      <c r="AE49" s="62">
        <f>AE$6*Yield!M15</f>
        <v>-8.5707815816541267E-4</v>
      </c>
      <c r="AF49" s="62">
        <f>AF$6*Yield!M14</f>
        <v>-7.8598001125651518E-4</v>
      </c>
      <c r="AG49" s="62">
        <f>AG$6*Yield!M13</f>
        <v>-6.9504055648827296E-4</v>
      </c>
      <c r="AH49" s="62">
        <f>AH$6*Yield!M12</f>
        <v>-6.0459393498919658E-4</v>
      </c>
      <c r="AI49" s="62">
        <f>AI$6*Yield!M11</f>
        <v>-5.1134380123309142E-4</v>
      </c>
      <c r="AJ49" s="62">
        <f>AJ$6*Yield!M10</f>
        <v>-4.1685801991537879E-4</v>
      </c>
      <c r="AK49" s="62">
        <f>AK$6*Yield!M9</f>
        <v>-3.2189952264036523E-4</v>
      </c>
      <c r="AL49" s="62">
        <f>AL$6*Yield!M8</f>
        <v>-2.2852468894006165E-4</v>
      </c>
      <c r="AM49" s="62">
        <f>AM$6*Yield!M7</f>
        <v>-1.4913497554132707E-4</v>
      </c>
      <c r="AN49" s="62">
        <f>AN$6*Yield!M6</f>
        <v>-8.2254037137867911E-5</v>
      </c>
      <c r="AO49" s="62">
        <f>AO$6*Yield!M5</f>
        <v>-6.9095443440379741E-5</v>
      </c>
      <c r="AP49" s="62"/>
      <c r="AQ49" s="62"/>
      <c r="AR49" s="62"/>
      <c r="AS49" s="62"/>
      <c r="AT49" s="62"/>
      <c r="AU49" s="62"/>
      <c r="AV49" s="62"/>
      <c r="AW49" s="62"/>
      <c r="AX49" s="62"/>
      <c r="AY49" s="62"/>
      <c r="AZ49" s="62"/>
      <c r="BA49" s="62"/>
      <c r="BB49" s="62"/>
      <c r="BC49" s="62"/>
      <c r="BD49" s="62"/>
      <c r="BE49" s="62"/>
      <c r="BF49" s="62"/>
      <c r="BG49" s="62"/>
      <c r="BH49" s="62"/>
      <c r="BJ49" s="61">
        <v>2061</v>
      </c>
      <c r="BK49" s="65">
        <f t="shared" si="8"/>
        <v>-0.10934248962566258</v>
      </c>
      <c r="BL49" s="65">
        <f t="shared" si="9"/>
        <v>-13.530448983932558</v>
      </c>
      <c r="BM49" s="60">
        <f t="shared" ca="1" si="10"/>
        <v>-8.6465657535649694</v>
      </c>
      <c r="BN49" s="65">
        <f t="shared" ca="1" si="11"/>
        <v>-22.28635722712319</v>
      </c>
    </row>
    <row r="50" spans="1:84" s="19" customFormat="1" x14ac:dyDescent="0.25">
      <c r="A50" s="61">
        <v>2062</v>
      </c>
      <c r="B50" s="62">
        <f>$B$6*Yield!M45</f>
        <v>-2.4855257680132335E-2</v>
      </c>
      <c r="C50" s="62">
        <f>$C$6*Yield!M44</f>
        <v>-2.7550012696247305E-2</v>
      </c>
      <c r="D50" s="62">
        <f>$D$6*Yield!M43</f>
        <v>-1.3497884861724213E-2</v>
      </c>
      <c r="E50" s="62">
        <f>$E$6*Yield!M42</f>
        <v>-1.0269466722582426E-2</v>
      </c>
      <c r="F50" s="62">
        <f>$F$6*Yield!M41</f>
        <v>-1.6996071274102964E-3</v>
      </c>
      <c r="G50" s="62">
        <f>$G$6*Yield!M40</f>
        <v>-1.0080705322744639E-3</v>
      </c>
      <c r="H50" s="62">
        <f>$H$6*Yield!M39</f>
        <v>-5.1212540442199263E-4</v>
      </c>
      <c r="I50" s="62">
        <f>$I$6*Yield!M38</f>
        <v>-5.9329419830360039E-4</v>
      </c>
      <c r="J50" s="62">
        <f>$J$6*Yield!M37</f>
        <v>-5.6854543496951391E-4</v>
      </c>
      <c r="K50" s="62">
        <f>$K$6*Yield!M36</f>
        <v>-6.5747946747271948E-4</v>
      </c>
      <c r="L50" s="62">
        <f>$L$6*Yield!M35</f>
        <v>-6.7624803863035993E-4</v>
      </c>
      <c r="M50" s="62">
        <f>$M$6*Yield!M34</f>
        <v>-7.3084236208521337E-4</v>
      </c>
      <c r="N50" s="62">
        <f>$N$6*Yield!M33</f>
        <v>-7.8055971241014911E-4</v>
      </c>
      <c r="O50" s="62">
        <f>$O$6*Yield!M32</f>
        <v>-8.0521125805622874E-4</v>
      </c>
      <c r="P50" s="62">
        <f>$P$6*Yield!M31</f>
        <v>-8.8112672643379743E-4</v>
      </c>
      <c r="Q50" s="62">
        <f>$Q$6*Yield!M30</f>
        <v>-8.9893717747154694E-4</v>
      </c>
      <c r="R50" s="62">
        <f>$R$6*Yield!M29</f>
        <v>-9.2715366825739647E-4</v>
      </c>
      <c r="S50" s="62">
        <f>$S$6*Yield!M28</f>
        <v>-9.8951074852962444E-4</v>
      </c>
      <c r="T50" s="62">
        <f>$T$6*Yield!M27</f>
        <v>-1.0244218846918308E-3</v>
      </c>
      <c r="U50" s="62">
        <f>$U$6*Yield!M26</f>
        <v>-1.0354809808351577E-3</v>
      </c>
      <c r="V50" s="62">
        <f>$V$6*Yield!M25</f>
        <v>-1.0799779316950329E-3</v>
      </c>
      <c r="W50" s="62">
        <f>$W$6*Yield!M24</f>
        <v>-1.1540026687392219E-3</v>
      </c>
      <c r="X50" s="62">
        <f>$X$6*Yield!M23</f>
        <v>-1.1815854742604067E-3</v>
      </c>
      <c r="Y50" s="62">
        <f>$Y$6*Yield!M22</f>
        <v>-1.1815434376664094E-3</v>
      </c>
      <c r="Z50" s="62">
        <f>$Z$6*Yield!M21</f>
        <v>-1.1587161913430536E-3</v>
      </c>
      <c r="AA50" s="62">
        <f>$AA$6*Yield!M20</f>
        <v>-1.142245888483287E-3</v>
      </c>
      <c r="AB50" s="62">
        <f>$AB$6*Yield!M19</f>
        <v>-1.1079978481301823E-3</v>
      </c>
      <c r="AC50" s="62">
        <f>$AC$6*Yield!M18</f>
        <v>-1.0584522192053439E-3</v>
      </c>
      <c r="AD50" s="62">
        <f>AD$6*Yield!M17</f>
        <v>-1.016118510336534E-3</v>
      </c>
      <c r="AE50" s="62">
        <f>AE$6*Yield!M16</f>
        <v>-8.9458286485683794E-4</v>
      </c>
      <c r="AF50" s="62">
        <f>AF$6*Yield!M15</f>
        <v>-8.5707815816541267E-4</v>
      </c>
      <c r="AG50" s="62">
        <f>AG$6*Yield!M14</f>
        <v>-7.8598001125651518E-4</v>
      </c>
      <c r="AH50" s="62">
        <f>AH$6*Yield!M13</f>
        <v>-6.9504055648827296E-4</v>
      </c>
      <c r="AI50" s="62">
        <f>AI$6*Yield!M12</f>
        <v>-6.0459393498919658E-4</v>
      </c>
      <c r="AJ50" s="62">
        <f>AJ$6*Yield!M11</f>
        <v>-5.1134380123309142E-4</v>
      </c>
      <c r="AK50" s="62">
        <f>AK$6*Yield!M10</f>
        <v>-4.1685801991537879E-4</v>
      </c>
      <c r="AL50" s="62">
        <f>AL$6*Yield!M9</f>
        <v>-3.2189952264036523E-4</v>
      </c>
      <c r="AM50" s="62">
        <f>AM$6*Yield!M8</f>
        <v>-2.2852468894006165E-4</v>
      </c>
      <c r="AN50" s="62">
        <f>AN$6*Yield!M7</f>
        <v>-1.4913497554132707E-4</v>
      </c>
      <c r="AO50" s="62">
        <f>AO$6*Yield!M6</f>
        <v>-8.2254037137867911E-5</v>
      </c>
      <c r="AP50" s="62">
        <f>AP$6*Yield!M5</f>
        <v>-6.9095443440379741E-5</v>
      </c>
      <c r="AQ50" s="62"/>
      <c r="AR50" s="62"/>
      <c r="AS50" s="62"/>
      <c r="AT50" s="62"/>
      <c r="AU50" s="62"/>
      <c r="AV50" s="62"/>
      <c r="AW50" s="62"/>
      <c r="AX50" s="62"/>
      <c r="AY50" s="62"/>
      <c r="AZ50" s="62"/>
      <c r="BA50" s="62"/>
      <c r="BB50" s="62"/>
      <c r="BC50" s="62"/>
      <c r="BD50" s="62"/>
      <c r="BE50" s="62"/>
      <c r="BF50" s="62"/>
      <c r="BG50" s="62"/>
      <c r="BH50" s="62"/>
      <c r="BI50"/>
      <c r="BJ50" s="61">
        <v>2062</v>
      </c>
      <c r="BK50" s="65">
        <f t="shared" si="8"/>
        <v>-0.10565826286740433</v>
      </c>
      <c r="BL50" s="65">
        <f t="shared" si="9"/>
        <v>-13.817501932402914</v>
      </c>
      <c r="BM50" s="60">
        <f t="shared" ca="1" si="10"/>
        <v>-8.6465657535649694</v>
      </c>
      <c r="BN50" s="65">
        <f t="shared" ca="1" si="11"/>
        <v>-22.569725948835288</v>
      </c>
      <c r="BO50"/>
      <c r="BP50"/>
      <c r="BQ50"/>
      <c r="BR50"/>
      <c r="BS50"/>
      <c r="BT50"/>
      <c r="BU50"/>
      <c r="BV50"/>
      <c r="BW50"/>
      <c r="BX50"/>
      <c r="BY50"/>
      <c r="BZ50"/>
      <c r="CA50"/>
      <c r="CB50"/>
      <c r="CC50"/>
      <c r="CD50"/>
      <c r="CE50"/>
      <c r="CF50"/>
    </row>
    <row r="51" spans="1:84" s="19" customFormat="1" x14ac:dyDescent="0.25">
      <c r="A51" s="61">
        <v>2063</v>
      </c>
      <c r="B51" s="62">
        <f>$B$6*Yield!M46</f>
        <v>-2.3140886918904802E-2</v>
      </c>
      <c r="C51" s="62">
        <f>$C$6*Yield!M45</f>
        <v>-2.8152542753802353E-2</v>
      </c>
      <c r="D51" s="62">
        <f>$D$6*Yield!M44</f>
        <v>-1.2384278949556618E-2</v>
      </c>
      <c r="E51" s="62">
        <f>$E$6*Yield!M43</f>
        <v>-8.4843847702266474E-3</v>
      </c>
      <c r="F51" s="62">
        <f>$F$6*Yield!M42</f>
        <v>-1.8671757677422591E-3</v>
      </c>
      <c r="G51" s="62">
        <f>$G$6*Yield!M41</f>
        <v>-8.498035637051482E-4</v>
      </c>
      <c r="H51" s="62">
        <f>$H$6*Yield!M40</f>
        <v>-5.0403526613723194E-4</v>
      </c>
      <c r="I51" s="62">
        <f>$I$6*Yield!M39</f>
        <v>-5.1212540442199263E-4</v>
      </c>
      <c r="J51" s="62">
        <f>$J$6*Yield!M38</f>
        <v>-5.9329419830360039E-4</v>
      </c>
      <c r="K51" s="62">
        <f>$K$6*Yield!M37</f>
        <v>-5.6854543496951391E-4</v>
      </c>
      <c r="L51" s="62">
        <f>$L$6*Yield!M36</f>
        <v>-6.5747946747271948E-4</v>
      </c>
      <c r="M51" s="62">
        <f>$M$6*Yield!M35</f>
        <v>-6.7624803863035993E-4</v>
      </c>
      <c r="N51" s="62">
        <f>$N$6*Yield!M34</f>
        <v>-7.3084236208521337E-4</v>
      </c>
      <c r="O51" s="62">
        <f>$O$6*Yield!M33</f>
        <v>-7.8055971241014911E-4</v>
      </c>
      <c r="P51" s="62">
        <f>$P$6*Yield!M32</f>
        <v>-8.0521125805622874E-4</v>
      </c>
      <c r="Q51" s="62">
        <f>$Q$6*Yield!M31</f>
        <v>-8.8112672643379743E-4</v>
      </c>
      <c r="R51" s="62">
        <f>$R$6*Yield!M30</f>
        <v>-8.9893717747154694E-4</v>
      </c>
      <c r="S51" s="62">
        <f>$S$6*Yield!M29</f>
        <v>-9.2715366825739647E-4</v>
      </c>
      <c r="T51" s="62">
        <f>$T$6*Yield!M28</f>
        <v>-9.8951074852962444E-4</v>
      </c>
      <c r="U51" s="62">
        <f>$U$6*Yield!M27</f>
        <v>-1.0244218846918308E-3</v>
      </c>
      <c r="V51" s="62">
        <f>$V$6*Yield!M26</f>
        <v>-1.0354809808351577E-3</v>
      </c>
      <c r="W51" s="62">
        <f>$W$6*Yield!M25</f>
        <v>-1.0799779316950329E-3</v>
      </c>
      <c r="X51" s="62">
        <f>$X$6*Yield!M24</f>
        <v>-1.1540026687392219E-3</v>
      </c>
      <c r="Y51" s="62">
        <f>$Y$6*Yield!M23</f>
        <v>-1.1815854742604067E-3</v>
      </c>
      <c r="Z51" s="62">
        <f>$Z$6*Yield!M22</f>
        <v>-1.1815434376664094E-3</v>
      </c>
      <c r="AA51" s="62">
        <f>$AA$6*Yield!M21</f>
        <v>-1.1587161913430536E-3</v>
      </c>
      <c r="AB51" s="62">
        <f>$AB$6*Yield!M20</f>
        <v>-1.142245888483287E-3</v>
      </c>
      <c r="AC51" s="62">
        <f>$AC$6*Yield!M19</f>
        <v>-1.1079978481301823E-3</v>
      </c>
      <c r="AD51" s="62">
        <f>AD$6*Yield!M18</f>
        <v>-1.0584522192053439E-3</v>
      </c>
      <c r="AE51" s="62">
        <f>AE$6*Yield!M17</f>
        <v>-1.016118510336534E-3</v>
      </c>
      <c r="AF51" s="62">
        <f>AF$6*Yield!M16</f>
        <v>-8.9458286485683794E-4</v>
      </c>
      <c r="AG51" s="62">
        <f>AG$6*Yield!M15</f>
        <v>-8.5707815816541267E-4</v>
      </c>
      <c r="AH51" s="62">
        <f>AH$6*Yield!M14</f>
        <v>-7.8598001125651518E-4</v>
      </c>
      <c r="AI51" s="62">
        <f>AI$6*Yield!M13</f>
        <v>-6.9504055648827296E-4</v>
      </c>
      <c r="AJ51" s="62">
        <f>AJ$6*Yield!M12</f>
        <v>-6.0459393498919658E-4</v>
      </c>
      <c r="AK51" s="62">
        <f>AK$6*Yield!M11</f>
        <v>-5.1134380123309142E-4</v>
      </c>
      <c r="AL51" s="62">
        <f>AL$6*Yield!M10</f>
        <v>-4.1685801991537879E-4</v>
      </c>
      <c r="AM51" s="62">
        <f>AM$6*Yield!M9</f>
        <v>-3.2189952264036523E-4</v>
      </c>
      <c r="AN51" s="62">
        <f>AN$6*Yield!M8</f>
        <v>-2.2852468894006165E-4</v>
      </c>
      <c r="AO51" s="62">
        <f>AO$6*Yield!M7</f>
        <v>-1.4913497554132707E-4</v>
      </c>
      <c r="AP51" s="62">
        <f>AP$6*Yield!M6</f>
        <v>-8.2254037137867911E-5</v>
      </c>
      <c r="AQ51" s="62">
        <f>AQ$6*Yield!M5</f>
        <v>-6.9095443440379741E-5</v>
      </c>
      <c r="AR51" s="62"/>
      <c r="AS51" s="62"/>
      <c r="AT51" s="62"/>
      <c r="AU51" s="62"/>
      <c r="AV51" s="62"/>
      <c r="AW51" s="62"/>
      <c r="AX51" s="62"/>
      <c r="AY51" s="62"/>
      <c r="AZ51" s="62"/>
      <c r="BA51" s="62"/>
      <c r="BB51" s="62"/>
      <c r="BC51" s="62"/>
      <c r="BD51" s="62"/>
      <c r="BE51" s="62"/>
      <c r="BF51" s="62"/>
      <c r="BG51" s="62"/>
      <c r="BH51" s="62"/>
      <c r="BI51"/>
      <c r="BJ51" s="61">
        <v>2063</v>
      </c>
      <c r="BK51" s="65">
        <f t="shared" si="8"/>
        <v>-0.10216107123710835</v>
      </c>
      <c r="BL51" s="65">
        <f t="shared" si="9"/>
        <v>-14.096218545377214</v>
      </c>
      <c r="BM51" s="60">
        <f t="shared" ca="1" si="10"/>
        <v>-8.6465657535649694</v>
      </c>
      <c r="BN51" s="65">
        <f t="shared" ca="1" si="11"/>
        <v>-22.844945370179289</v>
      </c>
      <c r="BO51"/>
      <c r="BP51"/>
      <c r="BQ51"/>
      <c r="BR51"/>
      <c r="BS51"/>
      <c r="BT51"/>
      <c r="BU51"/>
      <c r="BV51"/>
      <c r="BW51"/>
      <c r="BX51"/>
      <c r="BY51"/>
      <c r="BZ51"/>
      <c r="CA51"/>
      <c r="CB51"/>
      <c r="CC51"/>
      <c r="CD51"/>
      <c r="CE51"/>
      <c r="CF51"/>
    </row>
    <row r="52" spans="1:84" s="19" customFormat="1" x14ac:dyDescent="0.25">
      <c r="A52" s="61">
        <v>2064</v>
      </c>
      <c r="B52" s="62">
        <f>$B$6*Yield!M47</f>
        <v>-2.0763207065974395E-2</v>
      </c>
      <c r="C52" s="62">
        <f>$C$6*Yield!M46</f>
        <v>-2.6210744492346155E-2</v>
      </c>
      <c r="D52" s="62">
        <f>$D$6*Yield!M45</f>
        <v>-1.26551282007176E-2</v>
      </c>
      <c r="E52" s="62">
        <f>$E$6*Yield!M44</f>
        <v>-7.7844039111498748E-3</v>
      </c>
      <c r="F52" s="62">
        <f>$F$6*Yield!M43</f>
        <v>-1.5426154127684815E-3</v>
      </c>
      <c r="G52" s="62">
        <f>$G$6*Yield!M42</f>
        <v>-9.3358788387112954E-4</v>
      </c>
      <c r="H52" s="62">
        <f>$H$6*Yield!M41</f>
        <v>-4.249017818525741E-4</v>
      </c>
      <c r="I52" s="62">
        <f>$I$6*Yield!M40</f>
        <v>-5.0403526613723194E-4</v>
      </c>
      <c r="J52" s="62">
        <f>$J$6*Yield!M39</f>
        <v>-5.1212540442199263E-4</v>
      </c>
      <c r="K52" s="62">
        <f>$K$6*Yield!M38</f>
        <v>-5.9329419830360039E-4</v>
      </c>
      <c r="L52" s="62">
        <f>$L$6*Yield!M37</f>
        <v>-5.6854543496951391E-4</v>
      </c>
      <c r="M52" s="62">
        <f>$M$6*Yield!M36</f>
        <v>-6.5747946747271948E-4</v>
      </c>
      <c r="N52" s="62">
        <f>$N$6*Yield!M35</f>
        <v>-6.7624803863035993E-4</v>
      </c>
      <c r="O52" s="62">
        <f>$O$6*Yield!M34</f>
        <v>-7.3084236208521337E-4</v>
      </c>
      <c r="P52" s="62">
        <f>$P$6*Yield!M33</f>
        <v>-7.8055971241014911E-4</v>
      </c>
      <c r="Q52" s="62">
        <f>$Q$6*Yield!M32</f>
        <v>-8.0521125805622874E-4</v>
      </c>
      <c r="R52" s="62">
        <f>$R$6*Yield!M31</f>
        <v>-8.8112672643379743E-4</v>
      </c>
      <c r="S52" s="62">
        <f>$S$6*Yield!M30</f>
        <v>-8.9893717747154694E-4</v>
      </c>
      <c r="T52" s="62">
        <f>$T$6*Yield!M29</f>
        <v>-9.2715366825739647E-4</v>
      </c>
      <c r="U52" s="62">
        <f>$U$6*Yield!M28</f>
        <v>-9.8951074852962444E-4</v>
      </c>
      <c r="V52" s="62">
        <f>$V$6*Yield!M27</f>
        <v>-1.0244218846918308E-3</v>
      </c>
      <c r="W52" s="62">
        <f>$W$6*Yield!M26</f>
        <v>-1.0354809808351577E-3</v>
      </c>
      <c r="X52" s="62">
        <f>$X$6*Yield!M25</f>
        <v>-1.0799779316950329E-3</v>
      </c>
      <c r="Y52" s="62">
        <f>$Y$6*Yield!M24</f>
        <v>-1.1540026687392219E-3</v>
      </c>
      <c r="Z52" s="62">
        <f>$Z$6*Yield!M23</f>
        <v>-1.1815854742604067E-3</v>
      </c>
      <c r="AA52" s="62">
        <f>$AA$6*Yield!M22</f>
        <v>-1.1815434376664094E-3</v>
      </c>
      <c r="AB52" s="62">
        <f>$AB$6*Yield!M21</f>
        <v>-1.1587161913430536E-3</v>
      </c>
      <c r="AC52" s="62">
        <f>$AC$6*Yield!M20</f>
        <v>-1.142245888483287E-3</v>
      </c>
      <c r="AD52" s="62">
        <f>AD$6*Yield!M19</f>
        <v>-1.1079978481301823E-3</v>
      </c>
      <c r="AE52" s="62">
        <f>AE$6*Yield!M18</f>
        <v>-1.0584522192053439E-3</v>
      </c>
      <c r="AF52" s="62">
        <f>AF$6*Yield!M17</f>
        <v>-1.016118510336534E-3</v>
      </c>
      <c r="AG52" s="62">
        <f>AG$6*Yield!M16</f>
        <v>-8.9458286485683794E-4</v>
      </c>
      <c r="AH52" s="62">
        <f>AH$6*Yield!M15</f>
        <v>-8.5707815816541267E-4</v>
      </c>
      <c r="AI52" s="62">
        <f>AI$6*Yield!M14</f>
        <v>-7.8598001125651518E-4</v>
      </c>
      <c r="AJ52" s="62">
        <f>AJ$6*Yield!M13</f>
        <v>-6.9504055648827296E-4</v>
      </c>
      <c r="AK52" s="62">
        <f>AK$6*Yield!M12</f>
        <v>-6.0459393498919658E-4</v>
      </c>
      <c r="AL52" s="62">
        <f>AL$6*Yield!M11</f>
        <v>-5.1134380123309142E-4</v>
      </c>
      <c r="AM52" s="62">
        <f>AM$6*Yield!M10</f>
        <v>-4.1685801991537879E-4</v>
      </c>
      <c r="AN52" s="62">
        <f>AN$6*Yield!M9</f>
        <v>-3.2189952264036523E-4</v>
      </c>
      <c r="AO52" s="62">
        <f>AO$6*Yield!M8</f>
        <v>-2.2852468894006165E-4</v>
      </c>
      <c r="AP52" s="62">
        <f>AP$6*Yield!M7</f>
        <v>-1.4913497554132707E-4</v>
      </c>
      <c r="AQ52" s="62">
        <f>AQ$6*Yield!M6</f>
        <v>-8.2254037137867911E-5</v>
      </c>
      <c r="AR52" s="62">
        <f>AR$6*Yield!M5</f>
        <v>-6.9095443440379741E-5</v>
      </c>
      <c r="AS52" s="62"/>
      <c r="AT52" s="62"/>
      <c r="AU52" s="62"/>
      <c r="AV52" s="62"/>
      <c r="AW52" s="62"/>
      <c r="AX52" s="62"/>
      <c r="AY52" s="62"/>
      <c r="AZ52" s="62"/>
      <c r="BA52" s="62"/>
      <c r="BB52" s="62"/>
      <c r="BC52" s="62"/>
      <c r="BD52" s="62"/>
      <c r="BE52" s="62"/>
      <c r="BF52" s="62"/>
      <c r="BG52" s="62"/>
      <c r="BH52" s="62"/>
      <c r="BI52"/>
      <c r="BJ52" s="61">
        <v>2064</v>
      </c>
      <c r="BK52" s="65">
        <f t="shared" si="8"/>
        <v>-9.7596587261850748E-2</v>
      </c>
      <c r="BL52" s="65">
        <f t="shared" si="9"/>
        <v>-14.370927348320429</v>
      </c>
      <c r="BM52" s="60">
        <f t="shared" ca="1" si="10"/>
        <v>-8.6465657535649694</v>
      </c>
      <c r="BN52" s="65">
        <f t="shared" ca="1" si="11"/>
        <v>-23.115089689147247</v>
      </c>
      <c r="BO52"/>
      <c r="BP52"/>
      <c r="BQ52"/>
      <c r="BR52"/>
      <c r="BS52"/>
      <c r="BT52"/>
      <c r="BU52"/>
      <c r="BV52"/>
      <c r="BW52"/>
      <c r="BX52"/>
      <c r="BY52"/>
      <c r="BZ52"/>
      <c r="CA52"/>
      <c r="CB52"/>
      <c r="CC52"/>
      <c r="CD52"/>
      <c r="CE52"/>
      <c r="CF52"/>
    </row>
    <row r="53" spans="1:84" s="19" customFormat="1" x14ac:dyDescent="0.25">
      <c r="A53" s="61">
        <v>2065</v>
      </c>
      <c r="B53" s="62">
        <f>$B$6*Yield!M48</f>
        <v>-1.9135021673372426E-2</v>
      </c>
      <c r="C53" s="62">
        <f>$C$6*Yield!M47</f>
        <v>-2.3517642912957444E-2</v>
      </c>
      <c r="D53" s="62">
        <f>$D$6*Yield!M46</f>
        <v>-1.1782251240595063E-2</v>
      </c>
      <c r="E53" s="62">
        <f>$E$6*Yield!M45</f>
        <v>-7.954652011879634E-3</v>
      </c>
      <c r="F53" s="62">
        <f>$F$6*Yield!M44</f>
        <v>-1.4153461656636135E-3</v>
      </c>
      <c r="G53" s="62">
        <f>$G$6*Yield!M43</f>
        <v>-7.7130770638424075E-4</v>
      </c>
      <c r="H53" s="62">
        <f>$H$6*Yield!M42</f>
        <v>-4.6679394193556477E-4</v>
      </c>
      <c r="I53" s="62">
        <f>$I$6*Yield!M41</f>
        <v>-4.249017818525741E-4</v>
      </c>
      <c r="J53" s="62">
        <f>$J$6*Yield!M40</f>
        <v>-5.0403526613723194E-4</v>
      </c>
      <c r="K53" s="62">
        <f>$K$6*Yield!M39</f>
        <v>-5.1212540442199263E-4</v>
      </c>
      <c r="L53" s="62">
        <f>$L$6*Yield!M38</f>
        <v>-5.9329419830360039E-4</v>
      </c>
      <c r="M53" s="62">
        <f>$M$6*Yield!M37</f>
        <v>-5.6854543496951391E-4</v>
      </c>
      <c r="N53" s="62">
        <f>$N$6*Yield!M36</f>
        <v>-6.5747946747271948E-4</v>
      </c>
      <c r="O53" s="62">
        <f>$O$6*Yield!M35</f>
        <v>-6.7624803863035993E-4</v>
      </c>
      <c r="P53" s="62">
        <f>$P$6*Yield!M34</f>
        <v>-7.3084236208521337E-4</v>
      </c>
      <c r="Q53" s="62">
        <f>$Q$6*Yield!M33</f>
        <v>-7.8055971241014911E-4</v>
      </c>
      <c r="R53" s="62">
        <f>$R$6*Yield!M32</f>
        <v>-8.0521125805622874E-4</v>
      </c>
      <c r="S53" s="62">
        <f>$S$6*Yield!M31</f>
        <v>-8.8112672643379743E-4</v>
      </c>
      <c r="T53" s="62">
        <f>$T$6*Yield!M30</f>
        <v>-8.9893717747154694E-4</v>
      </c>
      <c r="U53" s="62">
        <f>$U$6*Yield!M29</f>
        <v>-9.2715366825739647E-4</v>
      </c>
      <c r="V53" s="62">
        <f>$V$6*Yield!M28</f>
        <v>-9.8951074852962444E-4</v>
      </c>
      <c r="W53" s="62">
        <f>$W$6*Yield!M27</f>
        <v>-1.0244218846918308E-3</v>
      </c>
      <c r="X53" s="62">
        <f>$X$6*Yield!M26</f>
        <v>-1.0354809808351577E-3</v>
      </c>
      <c r="Y53" s="62">
        <f>$Y$6*Yield!M25</f>
        <v>-1.0799779316950329E-3</v>
      </c>
      <c r="Z53" s="62">
        <f>$Z$6*Yield!M24</f>
        <v>-1.1540026687392219E-3</v>
      </c>
      <c r="AA53" s="62">
        <f>$AA$6*Yield!M23</f>
        <v>-1.1815854742604067E-3</v>
      </c>
      <c r="AB53" s="62">
        <f>$AB$6*Yield!M22</f>
        <v>-1.1815434376664094E-3</v>
      </c>
      <c r="AC53" s="62">
        <f>$AC$6*Yield!M21</f>
        <v>-1.1587161913430536E-3</v>
      </c>
      <c r="AD53" s="62">
        <f>AD$6*Yield!M20</f>
        <v>-1.142245888483287E-3</v>
      </c>
      <c r="AE53" s="62">
        <f>AE$6*Yield!M19</f>
        <v>-1.1079978481301823E-3</v>
      </c>
      <c r="AF53" s="62">
        <f>AF$6*Yield!M18</f>
        <v>-1.0584522192053439E-3</v>
      </c>
      <c r="AG53" s="62">
        <f>AG$6*Yield!M17</f>
        <v>-1.016118510336534E-3</v>
      </c>
      <c r="AH53" s="62">
        <f>AH$6*Yield!M16</f>
        <v>-8.9458286485683794E-4</v>
      </c>
      <c r="AI53" s="62">
        <f>AI$6*Yield!M15</f>
        <v>-8.5707815816541267E-4</v>
      </c>
      <c r="AJ53" s="62">
        <f>AJ$6*Yield!M14</f>
        <v>-7.8598001125651518E-4</v>
      </c>
      <c r="AK53" s="62">
        <f>AK$6*Yield!M13</f>
        <v>-6.9504055648827296E-4</v>
      </c>
      <c r="AL53" s="62">
        <f>AL$6*Yield!M12</f>
        <v>-6.0459393498919658E-4</v>
      </c>
      <c r="AM53" s="62">
        <f>AM$6*Yield!M11</f>
        <v>-5.1134380123309142E-4</v>
      </c>
      <c r="AN53" s="62">
        <f>AN$6*Yield!M10</f>
        <v>-4.1685801991537879E-4</v>
      </c>
      <c r="AO53" s="62">
        <f>AO$6*Yield!M9</f>
        <v>-3.2189952264036523E-4</v>
      </c>
      <c r="AP53" s="62">
        <f>AP$6*Yield!M8</f>
        <v>-2.2852468894006165E-4</v>
      </c>
      <c r="AQ53" s="62">
        <f>AQ$6*Yield!M7</f>
        <v>-1.4913497554132707E-4</v>
      </c>
      <c r="AR53" s="62">
        <f>AR$6*Yield!M6</f>
        <v>-8.2254037137867911E-5</v>
      </c>
      <c r="AS53" s="62">
        <f>AS$6*Yield!M5</f>
        <v>-6.9095443440379741E-5</v>
      </c>
      <c r="AT53" s="62"/>
      <c r="AU53" s="62"/>
      <c r="AV53" s="62"/>
      <c r="AW53" s="62"/>
      <c r="AX53" s="62"/>
      <c r="AY53" s="62"/>
      <c r="AZ53" s="62"/>
      <c r="BA53" s="62"/>
      <c r="BB53" s="62"/>
      <c r="BC53" s="62"/>
      <c r="BD53" s="62"/>
      <c r="BE53" s="62"/>
      <c r="BF53" s="62"/>
      <c r="BG53" s="62"/>
      <c r="BH53" s="62"/>
      <c r="BI53"/>
      <c r="BJ53" s="61">
        <v>2065</v>
      </c>
      <c r="BK53" s="65">
        <f t="shared" si="8"/>
        <v>-9.2749915947811096E-2</v>
      </c>
      <c r="BL53" s="65">
        <f t="shared" si="9"/>
        <v>-14.63689653738701</v>
      </c>
      <c r="BM53" s="60">
        <f t="shared" ca="1" si="10"/>
        <v>-8.6465657535649694</v>
      </c>
      <c r="BN53" s="65">
        <f t="shared" ca="1" si="11"/>
        <v>-23.37621220689979</v>
      </c>
      <c r="BO53"/>
      <c r="BP53"/>
      <c r="BQ53"/>
      <c r="BR53"/>
      <c r="BS53"/>
      <c r="BT53"/>
      <c r="BU53"/>
      <c r="BV53"/>
      <c r="BW53"/>
      <c r="BX53"/>
      <c r="BY53"/>
      <c r="BZ53"/>
      <c r="CA53"/>
      <c r="CB53"/>
      <c r="CC53"/>
      <c r="CD53"/>
      <c r="CE53"/>
      <c r="CF53"/>
    </row>
    <row r="54" spans="1:84" s="19" customFormat="1" x14ac:dyDescent="0.25">
      <c r="A54" s="61">
        <v>2066</v>
      </c>
      <c r="B54" s="62">
        <f>$B$6*Yield!M49</f>
        <v>-1.70584781652427E-2</v>
      </c>
      <c r="C54" s="62">
        <f>$C$6*Yield!M48</f>
        <v>-2.1673463324629015E-2</v>
      </c>
      <c r="D54" s="62">
        <f>$D$6*Yield!M47</f>
        <v>-1.0571648488198353E-2</v>
      </c>
      <c r="E54" s="62">
        <f>$E$6*Yield!M46</f>
        <v>-7.4059864940883256E-3</v>
      </c>
      <c r="F54" s="62">
        <f>$F$6*Yield!M45</f>
        <v>-1.4463003657962971E-3</v>
      </c>
      <c r="G54" s="62">
        <f>$G$6*Yield!M44</f>
        <v>-7.0767308283180676E-4</v>
      </c>
      <c r="H54" s="62">
        <f>$H$6*Yield!M43</f>
        <v>-3.8565385319212038E-4</v>
      </c>
      <c r="I54" s="62">
        <f>$I$6*Yield!M42</f>
        <v>-4.6679394193556477E-4</v>
      </c>
      <c r="J54" s="62">
        <f>$J$6*Yield!M41</f>
        <v>-4.249017818525741E-4</v>
      </c>
      <c r="K54" s="62">
        <f>$K$6*Yield!M40</f>
        <v>-5.0403526613723194E-4</v>
      </c>
      <c r="L54" s="62">
        <f>$L$6*Yield!M39</f>
        <v>-5.1212540442199263E-4</v>
      </c>
      <c r="M54" s="62">
        <f>$M$6*Yield!M38</f>
        <v>-5.9329419830360039E-4</v>
      </c>
      <c r="N54" s="62">
        <f>$N$6*Yield!M37</f>
        <v>-5.6854543496951391E-4</v>
      </c>
      <c r="O54" s="62">
        <f>$O$6*Yield!M36</f>
        <v>-6.5747946747271948E-4</v>
      </c>
      <c r="P54" s="62">
        <f>$P$6*Yield!M35</f>
        <v>-6.7624803863035993E-4</v>
      </c>
      <c r="Q54" s="62">
        <f>$Q$6*Yield!M34</f>
        <v>-7.3084236208521337E-4</v>
      </c>
      <c r="R54" s="62">
        <f>$R$6*Yield!M33</f>
        <v>-7.8055971241014911E-4</v>
      </c>
      <c r="S54" s="62">
        <f>$S$6*Yield!M32</f>
        <v>-8.0521125805622874E-4</v>
      </c>
      <c r="T54" s="62">
        <f>$T$6*Yield!M31</f>
        <v>-8.8112672643379743E-4</v>
      </c>
      <c r="U54" s="62">
        <f>$U$6*Yield!M30</f>
        <v>-8.9893717747154694E-4</v>
      </c>
      <c r="V54" s="62">
        <f>$V$6*Yield!M29</f>
        <v>-9.2715366825739647E-4</v>
      </c>
      <c r="W54" s="62">
        <f>$W$6*Yield!M28</f>
        <v>-9.8951074852962444E-4</v>
      </c>
      <c r="X54" s="62">
        <f>$X$6*Yield!M27</f>
        <v>-1.0244218846918308E-3</v>
      </c>
      <c r="Y54" s="62">
        <f>$Y$6*Yield!M26</f>
        <v>-1.0354809808351577E-3</v>
      </c>
      <c r="Z54" s="62">
        <f>$Z$6*Yield!M25</f>
        <v>-1.0799779316950329E-3</v>
      </c>
      <c r="AA54" s="62">
        <f>$AA$6*Yield!M24</f>
        <v>-1.1540026687392219E-3</v>
      </c>
      <c r="AB54" s="62">
        <f>$AB$6*Yield!M23</f>
        <v>-1.1815854742604067E-3</v>
      </c>
      <c r="AC54" s="62">
        <f>$AC$6*Yield!M22</f>
        <v>-1.1815434376664094E-3</v>
      </c>
      <c r="AD54" s="62">
        <f>AD$6*Yield!M21</f>
        <v>-1.1587161913430536E-3</v>
      </c>
      <c r="AE54" s="62">
        <f>AE$6*Yield!M20</f>
        <v>-1.142245888483287E-3</v>
      </c>
      <c r="AF54" s="62">
        <f>AF$6*Yield!M19</f>
        <v>-1.1079978481301823E-3</v>
      </c>
      <c r="AG54" s="62">
        <f>AG$6*Yield!M18</f>
        <v>-1.0584522192053439E-3</v>
      </c>
      <c r="AH54" s="62">
        <f>AH$6*Yield!M17</f>
        <v>-1.016118510336534E-3</v>
      </c>
      <c r="AI54" s="62">
        <f>AI$6*Yield!M16</f>
        <v>-8.9458286485683794E-4</v>
      </c>
      <c r="AJ54" s="62">
        <f>AJ$6*Yield!M15</f>
        <v>-8.5707815816541267E-4</v>
      </c>
      <c r="AK54" s="62">
        <f>AK$6*Yield!M14</f>
        <v>-7.8598001125651518E-4</v>
      </c>
      <c r="AL54" s="62">
        <f>AL$6*Yield!M13</f>
        <v>-6.9504055648827296E-4</v>
      </c>
      <c r="AM54" s="62">
        <f>AM$6*Yield!M12</f>
        <v>-6.0459393498919658E-4</v>
      </c>
      <c r="AN54" s="62">
        <f>AN$6*Yield!M11</f>
        <v>-5.1134380123309142E-4</v>
      </c>
      <c r="AO54" s="62">
        <f>AO$6*Yield!M10</f>
        <v>-4.1685801991537879E-4</v>
      </c>
      <c r="AP54" s="62">
        <f>AP$6*Yield!M9</f>
        <v>-3.2189952264036523E-4</v>
      </c>
      <c r="AQ54" s="62">
        <f>AQ$6*Yield!M8</f>
        <v>-2.2852468894006165E-4</v>
      </c>
      <c r="AR54" s="62">
        <f>AR$6*Yield!M7</f>
        <v>-1.4913497554132707E-4</v>
      </c>
      <c r="AS54" s="62">
        <f>AS$6*Yield!M6</f>
        <v>-8.2254037137867911E-5</v>
      </c>
      <c r="AT54" s="62">
        <f>AT$6*Yield!M5</f>
        <v>-6.9095443440379741E-5</v>
      </c>
      <c r="AU54" s="62"/>
      <c r="AV54" s="62"/>
      <c r="AW54" s="62"/>
      <c r="AX54" s="62"/>
      <c r="AY54" s="62"/>
      <c r="AZ54" s="62"/>
      <c r="BA54" s="62"/>
      <c r="BB54" s="62"/>
      <c r="BC54" s="62"/>
      <c r="BD54" s="62"/>
      <c r="BE54" s="62"/>
      <c r="BF54" s="62"/>
      <c r="BG54" s="62"/>
      <c r="BH54" s="62"/>
      <c r="BI54"/>
      <c r="BJ54" s="61">
        <v>2066</v>
      </c>
      <c r="BK54" s="65">
        <f t="shared" si="8"/>
        <v>-8.7422898010937292E-2</v>
      </c>
      <c r="BL54" s="65">
        <f t="shared" si="9"/>
        <v>-14.897733710532313</v>
      </c>
      <c r="BM54" s="60">
        <f t="shared" ca="1" si="10"/>
        <v>-8.6465657535649694</v>
      </c>
      <c r="BN54" s="65">
        <f t="shared" ca="1" si="11"/>
        <v>-23.631722362108221</v>
      </c>
      <c r="BO54"/>
      <c r="BP54"/>
      <c r="BQ54"/>
      <c r="BR54"/>
      <c r="BS54"/>
      <c r="BT54"/>
      <c r="BU54"/>
      <c r="BV54"/>
      <c r="BW54"/>
      <c r="BX54"/>
      <c r="BY54"/>
      <c r="BZ54"/>
      <c r="CA54"/>
      <c r="CB54"/>
      <c r="CC54"/>
      <c r="CD54"/>
      <c r="CE54"/>
      <c r="CF54"/>
    </row>
    <row r="55" spans="1:84" s="19" customFormat="1" x14ac:dyDescent="0.25">
      <c r="A55" s="61">
        <v>2067</v>
      </c>
      <c r="B55" s="62">
        <f>$B$6*Yield!M50</f>
        <v>-1.9058128143618274E-2</v>
      </c>
      <c r="C55" s="62">
        <f>$C$6*Yield!M49</f>
        <v>-1.9321446675069923E-2</v>
      </c>
      <c r="D55" s="62">
        <f>$D$6*Yield!M48</f>
        <v>-9.7426530642489226E-3</v>
      </c>
      <c r="E55" s="62">
        <f>$E$6*Yield!M47</f>
        <v>-6.645036192581822E-3</v>
      </c>
      <c r="F55" s="62">
        <f>$F$6*Yield!M46</f>
        <v>-1.3465429989251501E-3</v>
      </c>
      <c r="G55" s="62">
        <f>$G$6*Yield!M45</f>
        <v>-7.2315018289814854E-4</v>
      </c>
      <c r="H55" s="62">
        <f>$H$6*Yield!M44</f>
        <v>-3.5383654141590338E-4</v>
      </c>
      <c r="I55" s="62">
        <f>$I$6*Yield!M43</f>
        <v>-3.8565385319212038E-4</v>
      </c>
      <c r="J55" s="62">
        <f>$J$6*Yield!M42</f>
        <v>-4.6679394193556477E-4</v>
      </c>
      <c r="K55" s="62">
        <f>$K$6*Yield!M41</f>
        <v>-4.249017818525741E-4</v>
      </c>
      <c r="L55" s="62">
        <f>$L$6*Yield!M40</f>
        <v>-5.0403526613723194E-4</v>
      </c>
      <c r="M55" s="62">
        <f>$M$6*Yield!M39</f>
        <v>-5.1212540442199263E-4</v>
      </c>
      <c r="N55" s="62">
        <f>$N$6*Yield!M38</f>
        <v>-5.9329419830360039E-4</v>
      </c>
      <c r="O55" s="62">
        <f>$O$6*Yield!M37</f>
        <v>-5.6854543496951391E-4</v>
      </c>
      <c r="P55" s="62">
        <f>$P$6*Yield!M36</f>
        <v>-6.5747946747271948E-4</v>
      </c>
      <c r="Q55" s="62">
        <f>$Q$6*Yield!M35</f>
        <v>-6.7624803863035993E-4</v>
      </c>
      <c r="R55" s="62">
        <f>$R$6*Yield!M34</f>
        <v>-7.3084236208521337E-4</v>
      </c>
      <c r="S55" s="62">
        <f>$S$6*Yield!M33</f>
        <v>-7.8055971241014911E-4</v>
      </c>
      <c r="T55" s="62">
        <f>$T$6*Yield!M32</f>
        <v>-8.0521125805622874E-4</v>
      </c>
      <c r="U55" s="62">
        <f>$U$6*Yield!M31</f>
        <v>-8.8112672643379743E-4</v>
      </c>
      <c r="V55" s="62">
        <f>$V$6*Yield!M30</f>
        <v>-8.9893717747154694E-4</v>
      </c>
      <c r="W55" s="62">
        <f>$W$6*Yield!M29</f>
        <v>-9.2715366825739647E-4</v>
      </c>
      <c r="X55" s="62">
        <f>$X$6*Yield!M28</f>
        <v>-9.8951074852962444E-4</v>
      </c>
      <c r="Y55" s="62">
        <f>$Y$6*Yield!M27</f>
        <v>-1.0244218846918308E-3</v>
      </c>
      <c r="Z55" s="62">
        <f>$Z$6*Yield!M26</f>
        <v>-1.0354809808351577E-3</v>
      </c>
      <c r="AA55" s="62">
        <f>$AA$6*Yield!M25</f>
        <v>-1.0799779316950329E-3</v>
      </c>
      <c r="AB55" s="62">
        <f>$AB$6*Yield!M24</f>
        <v>-1.1540026687392219E-3</v>
      </c>
      <c r="AC55" s="62">
        <f>$AC$6*Yield!M23</f>
        <v>-1.1815854742604067E-3</v>
      </c>
      <c r="AD55" s="62">
        <f>AD$6*Yield!M22</f>
        <v>-1.1815434376664094E-3</v>
      </c>
      <c r="AE55" s="62">
        <f>AE$6*Yield!M21</f>
        <v>-1.1587161913430536E-3</v>
      </c>
      <c r="AF55" s="62">
        <f>AF$6*Yield!M20</f>
        <v>-1.142245888483287E-3</v>
      </c>
      <c r="AG55" s="62">
        <f>AG$6*Yield!M19</f>
        <v>-1.1079978481301823E-3</v>
      </c>
      <c r="AH55" s="62">
        <f>AH$6*Yield!M18</f>
        <v>-1.0584522192053439E-3</v>
      </c>
      <c r="AI55" s="62">
        <f>AI$6*Yield!M17</f>
        <v>-1.016118510336534E-3</v>
      </c>
      <c r="AJ55" s="62">
        <f>AJ$6*Yield!M16</f>
        <v>-8.9458286485683794E-4</v>
      </c>
      <c r="AK55" s="62">
        <f>AK$6*Yield!M15</f>
        <v>-8.5707815816541267E-4</v>
      </c>
      <c r="AL55" s="62">
        <f>AL$6*Yield!M14</f>
        <v>-7.8598001125651518E-4</v>
      </c>
      <c r="AM55" s="62">
        <f>AM$6*Yield!M13</f>
        <v>-6.9504055648827296E-4</v>
      </c>
      <c r="AN55" s="62">
        <f>AN$6*Yield!M12</f>
        <v>-6.0459393498919658E-4</v>
      </c>
      <c r="AO55" s="62">
        <f>AO$6*Yield!M11</f>
        <v>-5.1134380123309142E-4</v>
      </c>
      <c r="AP55" s="62">
        <f>AP$6*Yield!M10</f>
        <v>-4.1685801991537879E-4</v>
      </c>
      <c r="AQ55" s="62">
        <f>AQ$6*Yield!M9</f>
        <v>-3.2189952264036523E-4</v>
      </c>
      <c r="AR55" s="62">
        <f>AR$6*Yield!M8</f>
        <v>-2.2852468894006165E-4</v>
      </c>
      <c r="AS55" s="62">
        <f>AS$6*Yield!M7</f>
        <v>-1.4913497554132707E-4</v>
      </c>
      <c r="AT55" s="62">
        <f>AT$6*Yield!M6</f>
        <v>-8.2254037137867911E-5</v>
      </c>
      <c r="AU55" s="62">
        <f>AU$6*Yield!M5</f>
        <v>-6.9095443440379741E-5</v>
      </c>
      <c r="AV55" s="62"/>
      <c r="AW55" s="62"/>
      <c r="AX55" s="62"/>
      <c r="AY55" s="62"/>
      <c r="AZ55" s="62"/>
      <c r="BA55" s="62"/>
      <c r="BB55" s="62"/>
      <c r="BC55" s="62"/>
      <c r="BD55" s="62"/>
      <c r="BE55" s="62"/>
      <c r="BF55" s="62"/>
      <c r="BG55" s="62"/>
      <c r="BH55" s="62"/>
      <c r="BI55"/>
      <c r="BJ55" s="61">
        <v>2067</v>
      </c>
      <c r="BK55" s="65">
        <f t="shared" si="8"/>
        <v>-8.5750141888908935E-2</v>
      </c>
      <c r="BL55" s="65">
        <f t="shared" si="9"/>
        <v>-15.152850630728143</v>
      </c>
      <c r="BM55" s="60">
        <f t="shared" ca="1" si="10"/>
        <v>-8.6465657535649694</v>
      </c>
      <c r="BN55" s="65">
        <f t="shared" ca="1" si="11"/>
        <v>-23.885166526182019</v>
      </c>
      <c r="BO55"/>
      <c r="BP55"/>
      <c r="BQ55"/>
      <c r="BR55"/>
      <c r="BS55"/>
      <c r="BT55"/>
      <c r="BU55"/>
      <c r="BV55"/>
      <c r="BW55"/>
      <c r="BX55"/>
      <c r="BY55"/>
      <c r="BZ55"/>
      <c r="CA55"/>
      <c r="CB55"/>
      <c r="CC55"/>
      <c r="CD55"/>
      <c r="CE55"/>
      <c r="CF55"/>
    </row>
    <row r="56" spans="1:84" s="19" customFormat="1" x14ac:dyDescent="0.25">
      <c r="A56" s="61">
        <v>2068</v>
      </c>
      <c r="B56" s="62">
        <f>$B$6*Yield!M51</f>
        <v>-1.3857231753222E-2</v>
      </c>
      <c r="C56" s="62">
        <f>$C$6*Yield!M50</f>
        <v>-2.1586369140704102E-2</v>
      </c>
      <c r="D56" s="62">
        <f>$D$6*Yield!M49</f>
        <v>-8.6853747753678056E-3</v>
      </c>
      <c r="E56" s="62">
        <f>$E$6*Yield!M48</f>
        <v>-6.1239533546707508E-3</v>
      </c>
      <c r="F56" s="62">
        <f>$F$6*Yield!M47</f>
        <v>-1.2081883986512403E-3</v>
      </c>
      <c r="G56" s="62">
        <f>$G$6*Yield!M46</f>
        <v>-6.7327149946257506E-4</v>
      </c>
      <c r="H56" s="62">
        <f>$H$6*Yield!M45</f>
        <v>-3.6157509144907427E-4</v>
      </c>
      <c r="I56" s="62">
        <f>$I$6*Yield!M44</f>
        <v>-3.5383654141590338E-4</v>
      </c>
      <c r="J56" s="62">
        <f>$J$6*Yield!M43</f>
        <v>-3.8565385319212038E-4</v>
      </c>
      <c r="K56" s="62">
        <f>$K$6*Yield!M42</f>
        <v>-4.6679394193556477E-4</v>
      </c>
      <c r="L56" s="62">
        <f>$L$6*Yield!M41</f>
        <v>-4.249017818525741E-4</v>
      </c>
      <c r="M56" s="62">
        <f>$M$6*Yield!M40</f>
        <v>-5.0403526613723194E-4</v>
      </c>
      <c r="N56" s="62">
        <f>$N$6*Yield!M39</f>
        <v>-5.1212540442199263E-4</v>
      </c>
      <c r="O56" s="62">
        <f>$O$6*Yield!M38</f>
        <v>-5.9329419830360039E-4</v>
      </c>
      <c r="P56" s="62">
        <f>$P$6*Yield!M37</f>
        <v>-5.6854543496951391E-4</v>
      </c>
      <c r="Q56" s="62">
        <f>$Q$6*Yield!M36</f>
        <v>-6.5747946747271948E-4</v>
      </c>
      <c r="R56" s="62">
        <f>$R$6*Yield!M35</f>
        <v>-6.7624803863035993E-4</v>
      </c>
      <c r="S56" s="62">
        <f>$S$6*Yield!M34</f>
        <v>-7.3084236208521337E-4</v>
      </c>
      <c r="T56" s="62">
        <f>$T$6*Yield!M33</f>
        <v>-7.8055971241014911E-4</v>
      </c>
      <c r="U56" s="62">
        <f>$U$6*Yield!M32</f>
        <v>-8.0521125805622874E-4</v>
      </c>
      <c r="V56" s="62">
        <f>$V$6*Yield!M31</f>
        <v>-8.8112672643379743E-4</v>
      </c>
      <c r="W56" s="62">
        <f>$W$6*Yield!M30</f>
        <v>-8.9893717747154694E-4</v>
      </c>
      <c r="X56" s="62">
        <f>$X$6*Yield!M29</f>
        <v>-9.2715366825739647E-4</v>
      </c>
      <c r="Y56" s="62">
        <f>$Y$6*Yield!M28</f>
        <v>-9.8951074852962444E-4</v>
      </c>
      <c r="Z56" s="62">
        <f>$Z$6*Yield!M27</f>
        <v>-1.0244218846918308E-3</v>
      </c>
      <c r="AA56" s="62">
        <f>$AA$6*Yield!M26</f>
        <v>-1.0354809808351577E-3</v>
      </c>
      <c r="AB56" s="62">
        <f>$AB$6*Yield!M25</f>
        <v>-1.0799779316950329E-3</v>
      </c>
      <c r="AC56" s="62">
        <f>$AC$6*Yield!M24</f>
        <v>-1.1540026687392219E-3</v>
      </c>
      <c r="AD56" s="62">
        <f>AD$6*Yield!M23</f>
        <v>-1.1815854742604067E-3</v>
      </c>
      <c r="AE56" s="62">
        <f>AE$6*Yield!M22</f>
        <v>-1.1815434376664094E-3</v>
      </c>
      <c r="AF56" s="62">
        <f>AF$6*Yield!M21</f>
        <v>-1.1587161913430536E-3</v>
      </c>
      <c r="AG56" s="62">
        <f>AG$6*Yield!M20</f>
        <v>-1.142245888483287E-3</v>
      </c>
      <c r="AH56" s="62">
        <f>AH$6*Yield!M19</f>
        <v>-1.1079978481301823E-3</v>
      </c>
      <c r="AI56" s="62">
        <f>AI$6*Yield!M18</f>
        <v>-1.0584522192053439E-3</v>
      </c>
      <c r="AJ56" s="62">
        <f>AJ$6*Yield!M17</f>
        <v>-1.016118510336534E-3</v>
      </c>
      <c r="AK56" s="62">
        <f>AK$6*Yield!M16</f>
        <v>-8.9458286485683794E-4</v>
      </c>
      <c r="AL56" s="62">
        <f>AL$6*Yield!M15</f>
        <v>-8.5707815816541267E-4</v>
      </c>
      <c r="AM56" s="62">
        <f>AM$6*Yield!M14</f>
        <v>-7.8598001125651518E-4</v>
      </c>
      <c r="AN56" s="62">
        <f>AN$6*Yield!M13</f>
        <v>-6.9504055648827296E-4</v>
      </c>
      <c r="AO56" s="62">
        <f>AO$6*Yield!M12</f>
        <v>-6.0459393498919658E-4</v>
      </c>
      <c r="AP56" s="62">
        <f>AP$6*Yield!M11</f>
        <v>-5.1134380123309142E-4</v>
      </c>
      <c r="AQ56" s="62">
        <f>AQ$6*Yield!M10</f>
        <v>-4.1685801991537879E-4</v>
      </c>
      <c r="AR56" s="62">
        <f>AR$6*Yield!M9</f>
        <v>-3.2189952264036523E-4</v>
      </c>
      <c r="AS56" s="62">
        <f>AS$6*Yield!M8</f>
        <v>-2.2852468894006165E-4</v>
      </c>
      <c r="AT56" s="62">
        <f>AT$6*Yield!M7</f>
        <v>-1.4913497554132707E-4</v>
      </c>
      <c r="AU56" s="62">
        <f>AU$6*Yield!M6</f>
        <v>-8.2254037137867911E-5</v>
      </c>
      <c r="AV56" s="62">
        <f>AV$6*Yield!M5</f>
        <v>-6.9095443440379741E-5</v>
      </c>
      <c r="AW56" s="62"/>
      <c r="AX56" s="62"/>
      <c r="AY56" s="62"/>
      <c r="AZ56" s="62"/>
      <c r="BA56" s="62"/>
      <c r="BB56" s="62"/>
      <c r="BC56" s="62"/>
      <c r="BD56" s="62"/>
      <c r="BE56" s="62"/>
      <c r="BF56" s="62"/>
      <c r="BG56" s="62"/>
      <c r="BH56" s="62"/>
      <c r="BI56"/>
      <c r="BJ56" s="61">
        <v>2068</v>
      </c>
      <c r="BK56" s="65">
        <f t="shared" si="8"/>
        <v>-8.1409148645094256E-2</v>
      </c>
      <c r="BL56" s="65">
        <f t="shared" si="9"/>
        <v>-15.403575321704061</v>
      </c>
      <c r="BM56" s="60">
        <f t="shared" ca="1" si="10"/>
        <v>-8.6465657535649694</v>
      </c>
      <c r="BN56" s="65">
        <f t="shared" ca="1" si="11"/>
        <v>-24.131550223914125</v>
      </c>
      <c r="BO56"/>
      <c r="BP56"/>
      <c r="BQ56"/>
      <c r="BR56"/>
      <c r="BS56"/>
      <c r="BT56"/>
      <c r="BU56"/>
      <c r="BV56"/>
      <c r="BW56"/>
      <c r="BX56"/>
      <c r="BY56"/>
      <c r="BZ56"/>
      <c r="CA56"/>
      <c r="CB56"/>
      <c r="CC56"/>
      <c r="CD56"/>
      <c r="CE56"/>
      <c r="CF56"/>
    </row>
    <row r="57" spans="1:84" s="19" customFormat="1" x14ac:dyDescent="0.25">
      <c r="A57" s="61">
        <v>2069</v>
      </c>
      <c r="B57" s="62">
        <f>$B$6*Yield!M52</f>
        <v>-1.6058220389163571E-2</v>
      </c>
      <c r="C57" s="62">
        <f>$C$6*Yield!M51</f>
        <v>-1.5695524641201501E-2</v>
      </c>
      <c r="D57" s="62">
        <f>$D$6*Yield!M50</f>
        <v>-9.7035024954088209E-3</v>
      </c>
      <c r="E57" s="62">
        <f>$E$6*Yield!M49</f>
        <v>-5.4593784302311918E-3</v>
      </c>
      <c r="F57" s="62">
        <f>$F$6*Yield!M48</f>
        <v>-1.1134460644855911E-3</v>
      </c>
      <c r="G57" s="62">
        <f>$G$6*Yield!M47</f>
        <v>-6.0409419932562014E-4</v>
      </c>
      <c r="H57" s="62">
        <f>$H$6*Yield!M46</f>
        <v>-3.3663574973128753E-4</v>
      </c>
      <c r="I57" s="62">
        <f>$I$6*Yield!M45</f>
        <v>-3.6157509144907427E-4</v>
      </c>
      <c r="J57" s="62">
        <f>$J$6*Yield!M44</f>
        <v>-3.5383654141590338E-4</v>
      </c>
      <c r="K57" s="62">
        <f>$K$6*Yield!M43</f>
        <v>-3.8565385319212038E-4</v>
      </c>
      <c r="L57" s="62">
        <f>$L$6*Yield!M42</f>
        <v>-4.6679394193556477E-4</v>
      </c>
      <c r="M57" s="62">
        <f>$M$6*Yield!M41</f>
        <v>-4.249017818525741E-4</v>
      </c>
      <c r="N57" s="62">
        <f>$N$6*Yield!M40</f>
        <v>-5.0403526613723194E-4</v>
      </c>
      <c r="O57" s="62">
        <f>$O$6*Yield!M39</f>
        <v>-5.1212540442199263E-4</v>
      </c>
      <c r="P57" s="62">
        <f>$P$6*Yield!M38</f>
        <v>-5.9329419830360039E-4</v>
      </c>
      <c r="Q57" s="62">
        <f>$Q$6*Yield!M37</f>
        <v>-5.6854543496951391E-4</v>
      </c>
      <c r="R57" s="62">
        <f>$R$6*Yield!M36</f>
        <v>-6.5747946747271948E-4</v>
      </c>
      <c r="S57" s="62">
        <f>$S$6*Yield!M35</f>
        <v>-6.7624803863035993E-4</v>
      </c>
      <c r="T57" s="62">
        <f>$T$6*Yield!M34</f>
        <v>-7.3084236208521337E-4</v>
      </c>
      <c r="U57" s="62">
        <f>$U$6*Yield!M33</f>
        <v>-7.8055971241014911E-4</v>
      </c>
      <c r="V57" s="62">
        <f>$V$6*Yield!M32</f>
        <v>-8.0521125805622874E-4</v>
      </c>
      <c r="W57" s="62">
        <f>$W$6*Yield!M31</f>
        <v>-8.8112672643379743E-4</v>
      </c>
      <c r="X57" s="62">
        <f>$X$6*Yield!M30</f>
        <v>-8.9893717747154694E-4</v>
      </c>
      <c r="Y57" s="62">
        <f>$Y$6*Yield!M29</f>
        <v>-9.2715366825739647E-4</v>
      </c>
      <c r="Z57" s="62">
        <f>$Z$6*Yield!M28</f>
        <v>-9.8951074852962444E-4</v>
      </c>
      <c r="AA57" s="62">
        <f>$AA$6*Yield!M27</f>
        <v>-1.0244218846918308E-3</v>
      </c>
      <c r="AB57" s="62">
        <f>$AB$6*Yield!M26</f>
        <v>-1.0354809808351577E-3</v>
      </c>
      <c r="AC57" s="62">
        <f>$AC$6*Yield!M25</f>
        <v>-1.0799779316950329E-3</v>
      </c>
      <c r="AD57" s="62">
        <f>AD$6*Yield!M24</f>
        <v>-1.1540026687392219E-3</v>
      </c>
      <c r="AE57" s="62">
        <f>AE$6*Yield!M23</f>
        <v>-1.1815854742604067E-3</v>
      </c>
      <c r="AF57" s="62">
        <f>AF$6*Yield!M22</f>
        <v>-1.1815434376664094E-3</v>
      </c>
      <c r="AG57" s="62">
        <f>AG$6*Yield!M21</f>
        <v>-1.1587161913430536E-3</v>
      </c>
      <c r="AH57" s="62">
        <f>AH$6*Yield!M20</f>
        <v>-1.142245888483287E-3</v>
      </c>
      <c r="AI57" s="62">
        <f>AI$6*Yield!M19</f>
        <v>-1.1079978481301823E-3</v>
      </c>
      <c r="AJ57" s="62">
        <f>AJ$6*Yield!M18</f>
        <v>-1.0584522192053439E-3</v>
      </c>
      <c r="AK57" s="62">
        <f>AK$6*Yield!M17</f>
        <v>-1.016118510336534E-3</v>
      </c>
      <c r="AL57" s="62">
        <f>AL$6*Yield!M16</f>
        <v>-8.9458286485683794E-4</v>
      </c>
      <c r="AM57" s="62">
        <f>AM$6*Yield!M15</f>
        <v>-8.5707815816541267E-4</v>
      </c>
      <c r="AN57" s="62">
        <f>AN$6*Yield!M14</f>
        <v>-7.8598001125651518E-4</v>
      </c>
      <c r="AO57" s="62">
        <f>AO$6*Yield!M13</f>
        <v>-6.9504055648827296E-4</v>
      </c>
      <c r="AP57" s="62">
        <f>AP$6*Yield!M12</f>
        <v>-6.0459393498919658E-4</v>
      </c>
      <c r="AQ57" s="62">
        <f>AQ$6*Yield!M11</f>
        <v>-5.1134380123309142E-4</v>
      </c>
      <c r="AR57" s="62">
        <f>AR$6*Yield!M10</f>
        <v>-4.1685801991537879E-4</v>
      </c>
      <c r="AS57" s="62">
        <f>AS$6*Yield!M9</f>
        <v>-3.2189952264036523E-4</v>
      </c>
      <c r="AT57" s="62">
        <f>AT$6*Yield!M8</f>
        <v>-2.2852468894006165E-4</v>
      </c>
      <c r="AU57" s="62">
        <f>AU$6*Yield!M7</f>
        <v>-1.4913497554132707E-4</v>
      </c>
      <c r="AV57" s="62">
        <f>AV$6*Yield!M6</f>
        <v>-8.2254037137867911E-5</v>
      </c>
      <c r="AW57" s="62">
        <f>AW$6*Yield!M5</f>
        <v>-6.9095443440379741E-5</v>
      </c>
      <c r="AX57" s="62"/>
      <c r="AY57" s="62"/>
      <c r="AZ57" s="62"/>
      <c r="BA57" s="62"/>
      <c r="BB57" s="62"/>
      <c r="BC57" s="62"/>
      <c r="BD57" s="62"/>
      <c r="BE57" s="62"/>
      <c r="BF57" s="62"/>
      <c r="BG57" s="62"/>
      <c r="BH57" s="62"/>
      <c r="BI57"/>
      <c r="BJ57" s="61">
        <v>2069</v>
      </c>
      <c r="BK57" s="65">
        <f t="shared" si="8"/>
        <v>-7.8245561692563345E-2</v>
      </c>
      <c r="BL57" s="65">
        <f t="shared" si="9"/>
        <v>-15.649571586235473</v>
      </c>
      <c r="BM57" s="60">
        <f t="shared" ca="1" si="10"/>
        <v>-8.6465657535649694</v>
      </c>
      <c r="BN57" s="65">
        <f t="shared" ca="1" si="11"/>
        <v>-24.374382901493007</v>
      </c>
      <c r="BO57"/>
      <c r="BP57"/>
      <c r="BQ57"/>
      <c r="BR57"/>
      <c r="BS57"/>
      <c r="BT57"/>
      <c r="BU57"/>
      <c r="BV57"/>
      <c r="BW57"/>
      <c r="BX57"/>
      <c r="BY57"/>
      <c r="BZ57"/>
      <c r="CA57"/>
      <c r="CB57"/>
      <c r="CC57"/>
      <c r="CD57"/>
      <c r="CE57"/>
      <c r="CF57"/>
    </row>
    <row r="58" spans="1:84" s="19" customFormat="1" x14ac:dyDescent="0.25">
      <c r="A58" s="61">
        <v>2070</v>
      </c>
      <c r="B58" s="62">
        <f>$B$6*Yield!M53</f>
        <v>-1.4498196085459535E-2</v>
      </c>
      <c r="C58" s="62">
        <f>$C$6*Yield!M52</f>
        <v>-1.8188495242085986E-2</v>
      </c>
      <c r="D58" s="62">
        <f>$D$6*Yield!M51</f>
        <v>-7.0554506656454602E-3</v>
      </c>
      <c r="E58" s="62">
        <f>$E$6*Yield!M50</f>
        <v>-6.0993444256855437E-3</v>
      </c>
      <c r="F58" s="62">
        <f>$F$6*Yield!M49</f>
        <v>-9.9261426004203495E-4</v>
      </c>
      <c r="G58" s="62">
        <f>$G$6*Yield!M48</f>
        <v>-5.5672303224279553E-4</v>
      </c>
      <c r="H58" s="62">
        <f>$H$6*Yield!M47</f>
        <v>-3.0204709966281007E-4</v>
      </c>
      <c r="I58" s="62">
        <f>$I$6*Yield!M46</f>
        <v>-3.3663574973128753E-4</v>
      </c>
      <c r="J58" s="62">
        <f>$J$6*Yield!M45</f>
        <v>-3.6157509144907427E-4</v>
      </c>
      <c r="K58" s="62">
        <f>$K$6*Yield!M44</f>
        <v>-3.5383654141590338E-4</v>
      </c>
      <c r="L58" s="62">
        <f>$L$6*Yield!M43</f>
        <v>-3.8565385319212038E-4</v>
      </c>
      <c r="M58" s="62">
        <f>$M$6*Yield!M42</f>
        <v>-4.6679394193556477E-4</v>
      </c>
      <c r="N58" s="62">
        <f>$N$6*Yield!M41</f>
        <v>-4.249017818525741E-4</v>
      </c>
      <c r="O58" s="62">
        <f>$O$6*Yield!M40</f>
        <v>-5.0403526613723194E-4</v>
      </c>
      <c r="P58" s="62">
        <f>$P$6*Yield!M39</f>
        <v>-5.1212540442199263E-4</v>
      </c>
      <c r="Q58" s="62">
        <f>$Q$6*Yield!M38</f>
        <v>-5.9329419830360039E-4</v>
      </c>
      <c r="R58" s="62">
        <f>$R$6*Yield!M37</f>
        <v>-5.6854543496951391E-4</v>
      </c>
      <c r="S58" s="62">
        <f>$S$6*Yield!M36</f>
        <v>-6.5747946747271948E-4</v>
      </c>
      <c r="T58" s="62">
        <f>$T$6*Yield!M35</f>
        <v>-6.7624803863035993E-4</v>
      </c>
      <c r="U58" s="62">
        <f>$U$6*Yield!M34</f>
        <v>-7.3084236208521337E-4</v>
      </c>
      <c r="V58" s="62">
        <f>$V$6*Yield!M33</f>
        <v>-7.8055971241014911E-4</v>
      </c>
      <c r="W58" s="62">
        <f>$W$6*Yield!M32</f>
        <v>-8.0521125805622874E-4</v>
      </c>
      <c r="X58" s="62">
        <f>$X$6*Yield!M31</f>
        <v>-8.8112672643379743E-4</v>
      </c>
      <c r="Y58" s="62">
        <f>$Y$6*Yield!M30</f>
        <v>-8.9893717747154694E-4</v>
      </c>
      <c r="Z58" s="62">
        <f>$Z$6*Yield!M29</f>
        <v>-9.2715366825739647E-4</v>
      </c>
      <c r="AA58" s="62">
        <f>$AA$6*Yield!M28</f>
        <v>-9.8951074852962444E-4</v>
      </c>
      <c r="AB58" s="62">
        <f>$AB$6*Yield!M27</f>
        <v>-1.0244218846918308E-3</v>
      </c>
      <c r="AC58" s="62">
        <f>$AC$6*Yield!M26</f>
        <v>-1.0354809808351577E-3</v>
      </c>
      <c r="AD58" s="62">
        <f>AD$6*Yield!M25</f>
        <v>-1.0799779316950329E-3</v>
      </c>
      <c r="AE58" s="62">
        <f>AE$6*Yield!M24</f>
        <v>-1.1540026687392219E-3</v>
      </c>
      <c r="AF58" s="62">
        <f>AF$6*Yield!M23</f>
        <v>-1.1815854742604067E-3</v>
      </c>
      <c r="AG58" s="62">
        <f>AG$6*Yield!M22</f>
        <v>-1.1815434376664094E-3</v>
      </c>
      <c r="AH58" s="62">
        <f>AH$6*Yield!M21</f>
        <v>-1.1587161913430536E-3</v>
      </c>
      <c r="AI58" s="62">
        <f>AI$6*Yield!M20</f>
        <v>-1.142245888483287E-3</v>
      </c>
      <c r="AJ58" s="62">
        <f>AJ$6*Yield!M19</f>
        <v>-1.1079978481301823E-3</v>
      </c>
      <c r="AK58" s="62">
        <f>AK$6*Yield!M18</f>
        <v>-1.0584522192053439E-3</v>
      </c>
      <c r="AL58" s="62">
        <f>AL$6*Yield!M17</f>
        <v>-1.016118510336534E-3</v>
      </c>
      <c r="AM58" s="62">
        <f>AM$6*Yield!M16</f>
        <v>-8.9458286485683794E-4</v>
      </c>
      <c r="AN58" s="62">
        <f>AN$6*Yield!M15</f>
        <v>-8.5707815816541267E-4</v>
      </c>
      <c r="AO58" s="62">
        <f>AO$6*Yield!M14</f>
        <v>-7.8598001125651518E-4</v>
      </c>
      <c r="AP58" s="62">
        <f>AP$6*Yield!M13</f>
        <v>-6.9504055648827296E-4</v>
      </c>
      <c r="AQ58" s="62">
        <f>AQ$6*Yield!M12</f>
        <v>-6.0459393498919658E-4</v>
      </c>
      <c r="AR58" s="62">
        <f>AR$6*Yield!M11</f>
        <v>-5.1134380123309142E-4</v>
      </c>
      <c r="AS58" s="62">
        <f>AS$6*Yield!M10</f>
        <v>-4.1685801991537879E-4</v>
      </c>
      <c r="AT58" s="62">
        <f>AT$6*Yield!M9</f>
        <v>-3.2189952264036523E-4</v>
      </c>
      <c r="AU58" s="62">
        <f>AU$6*Yield!M8</f>
        <v>-2.2852468894006165E-4</v>
      </c>
      <c r="AV58" s="62">
        <f>AV$6*Yield!M7</f>
        <v>-1.4913497554132707E-4</v>
      </c>
      <c r="AW58" s="62">
        <f>AW$6*Yield!M6</f>
        <v>-8.2254037137867911E-5</v>
      </c>
      <c r="AX58" s="62">
        <f>AX$6*Yield!M5</f>
        <v>-6.9095443440379741E-5</v>
      </c>
      <c r="AY58" s="62"/>
      <c r="AZ58" s="62"/>
      <c r="BA58" s="62"/>
      <c r="BB58" s="62"/>
      <c r="BC58" s="62"/>
      <c r="BD58" s="62"/>
      <c r="BE58" s="62"/>
      <c r="BF58" s="62"/>
      <c r="BG58" s="62"/>
      <c r="BH58" s="62"/>
      <c r="BI58"/>
      <c r="BJ58" s="61">
        <v>2070</v>
      </c>
      <c r="BK58" s="65">
        <f t="shared" si="8"/>
        <v>-7.7304266283571219E-2</v>
      </c>
      <c r="BL58" s="65">
        <f t="shared" si="9"/>
        <v>-15.893095826746615</v>
      </c>
      <c r="BM58" s="60">
        <f t="shared" ca="1" si="10"/>
        <v>-8.6465657535649694</v>
      </c>
      <c r="BN58" s="65">
        <f t="shared" ca="1" si="11"/>
        <v>-24.616965846595157</v>
      </c>
      <c r="BO58"/>
      <c r="BP58"/>
      <c r="BQ58"/>
      <c r="BR58"/>
      <c r="BS58"/>
      <c r="BT58"/>
      <c r="BU58"/>
      <c r="BV58"/>
      <c r="BW58"/>
      <c r="BX58"/>
      <c r="BY58"/>
      <c r="BZ58"/>
      <c r="CA58"/>
      <c r="CB58"/>
      <c r="CC58"/>
      <c r="CD58"/>
      <c r="CE58"/>
      <c r="CF58"/>
    </row>
    <row r="59" spans="1:84" s="19" customFormat="1" x14ac:dyDescent="0.25">
      <c r="A59" s="61">
        <v>2071</v>
      </c>
      <c r="B59" s="62">
        <f>$B$6*Yield!M54</f>
        <v>-1.3246245700605888E-2</v>
      </c>
      <c r="C59" s="62">
        <f>$C$6*Yield!M53</f>
        <v>-1.6421518955933686E-2</v>
      </c>
      <c r="D59" s="62">
        <f>$D$6*Yield!M52</f>
        <v>-8.1760905606173655E-3</v>
      </c>
      <c r="E59" s="62">
        <f>$E$6*Yield!M51</f>
        <v>-4.4348547041200038E-3</v>
      </c>
      <c r="F59" s="62">
        <f>$F$6*Yield!M50</f>
        <v>-1.108971713761008E-3</v>
      </c>
      <c r="G59" s="62">
        <f>$G$6*Yield!M49</f>
        <v>-4.9630713002101748E-4</v>
      </c>
      <c r="H59" s="62">
        <f>$H$6*Yield!M48</f>
        <v>-2.7836151612139776E-4</v>
      </c>
      <c r="I59" s="62">
        <f>$I$6*Yield!M47</f>
        <v>-3.0204709966281007E-4</v>
      </c>
      <c r="J59" s="62">
        <f>$J$6*Yield!M46</f>
        <v>-3.3663574973128753E-4</v>
      </c>
      <c r="K59" s="62">
        <f>$K$6*Yield!M45</f>
        <v>-3.6157509144907427E-4</v>
      </c>
      <c r="L59" s="62">
        <f>$L$6*Yield!M44</f>
        <v>-3.5383654141590338E-4</v>
      </c>
      <c r="M59" s="62">
        <f>$M$6*Yield!M43</f>
        <v>-3.8565385319212038E-4</v>
      </c>
      <c r="N59" s="62">
        <f>$N$6*Yield!M42</f>
        <v>-4.6679394193556477E-4</v>
      </c>
      <c r="O59" s="62">
        <f>$O$6*Yield!M41</f>
        <v>-4.249017818525741E-4</v>
      </c>
      <c r="P59" s="62">
        <f>$P$6*Yield!M40</f>
        <v>-5.0403526613723194E-4</v>
      </c>
      <c r="Q59" s="62">
        <f>$Q$6*Yield!M39</f>
        <v>-5.1212540442199263E-4</v>
      </c>
      <c r="R59" s="62">
        <f>$R$6*Yield!M38</f>
        <v>-5.9329419830360039E-4</v>
      </c>
      <c r="S59" s="62">
        <f>$S$6*Yield!M37</f>
        <v>-5.6854543496951391E-4</v>
      </c>
      <c r="T59" s="62">
        <f>$T$6*Yield!M36</f>
        <v>-6.5747946747271948E-4</v>
      </c>
      <c r="U59" s="62">
        <f>$U$6*Yield!M35</f>
        <v>-6.7624803863035993E-4</v>
      </c>
      <c r="V59" s="62">
        <f>$V$6*Yield!M34</f>
        <v>-7.3084236208521337E-4</v>
      </c>
      <c r="W59" s="62">
        <f>$W$6*Yield!M33</f>
        <v>-7.8055971241014911E-4</v>
      </c>
      <c r="X59" s="62">
        <f>$X$6*Yield!M32</f>
        <v>-8.0521125805622874E-4</v>
      </c>
      <c r="Y59" s="62">
        <f>$Y$6*Yield!M31</f>
        <v>-8.8112672643379743E-4</v>
      </c>
      <c r="Z59" s="62">
        <f>$Z$6*Yield!M30</f>
        <v>-8.9893717747154694E-4</v>
      </c>
      <c r="AA59" s="62">
        <f>$AA$6*Yield!M29</f>
        <v>-9.2715366825739647E-4</v>
      </c>
      <c r="AB59" s="62">
        <f>$AB$6*Yield!M28</f>
        <v>-9.8951074852962444E-4</v>
      </c>
      <c r="AC59" s="62">
        <f>$AC$6*Yield!M27</f>
        <v>-1.0244218846918308E-3</v>
      </c>
      <c r="AD59" s="62">
        <f>AD$6*Yield!M26</f>
        <v>-1.0354809808351577E-3</v>
      </c>
      <c r="AE59" s="62">
        <f>AE$6*Yield!M25</f>
        <v>-1.0799779316950329E-3</v>
      </c>
      <c r="AF59" s="62">
        <f>AF$6*Yield!M24</f>
        <v>-1.1540026687392219E-3</v>
      </c>
      <c r="AG59" s="62">
        <f>AG$6*Yield!M23</f>
        <v>-1.1815854742604067E-3</v>
      </c>
      <c r="AH59" s="62">
        <f>AH$6*Yield!M22</f>
        <v>-1.1815434376664094E-3</v>
      </c>
      <c r="AI59" s="62">
        <f>AI$6*Yield!M21</f>
        <v>-1.1587161913430536E-3</v>
      </c>
      <c r="AJ59" s="62">
        <f>AJ$6*Yield!M20</f>
        <v>-1.142245888483287E-3</v>
      </c>
      <c r="AK59" s="62">
        <f>AK$6*Yield!M19</f>
        <v>-1.1079978481301823E-3</v>
      </c>
      <c r="AL59" s="62">
        <f>AL$6*Yield!M18</f>
        <v>-1.0584522192053439E-3</v>
      </c>
      <c r="AM59" s="62">
        <f>AM$6*Yield!M17</f>
        <v>-1.016118510336534E-3</v>
      </c>
      <c r="AN59" s="62">
        <f>AN$6*Yield!M16</f>
        <v>-8.9458286485683794E-4</v>
      </c>
      <c r="AO59" s="62">
        <f>AO$6*Yield!M15</f>
        <v>-8.5707815816541267E-4</v>
      </c>
      <c r="AP59" s="62">
        <f>AP$6*Yield!M14</f>
        <v>-7.8598001125651518E-4</v>
      </c>
      <c r="AQ59" s="62">
        <f>AQ$6*Yield!M13</f>
        <v>-6.9504055648827296E-4</v>
      </c>
      <c r="AR59" s="62">
        <f>AR$6*Yield!M12</f>
        <v>-6.0459393498919658E-4</v>
      </c>
      <c r="AS59" s="62">
        <f>AS$6*Yield!M11</f>
        <v>-5.1134380123309142E-4</v>
      </c>
      <c r="AT59" s="62">
        <f>AT$6*Yield!M10</f>
        <v>-4.1685801991537879E-4</v>
      </c>
      <c r="AU59" s="62">
        <f>AU$6*Yield!M9</f>
        <v>-3.2189952264036523E-4</v>
      </c>
      <c r="AV59" s="62">
        <f>AV$6*Yield!M8</f>
        <v>-2.2852468894006165E-4</v>
      </c>
      <c r="AW59" s="62">
        <f>AW$6*Yield!M7</f>
        <v>-1.4913497554132707E-4</v>
      </c>
      <c r="AX59" s="62">
        <f>AX$6*Yield!M6</f>
        <v>-8.2254037137867911E-5</v>
      </c>
      <c r="AY59" s="62">
        <f>AY$6*Yield!M5</f>
        <v>-6.9095443440379741E-5</v>
      </c>
      <c r="AZ59" s="62"/>
      <c r="BA59" s="62"/>
      <c r="BB59" s="62"/>
      <c r="BC59" s="62"/>
      <c r="BD59" s="62"/>
      <c r="BE59" s="62"/>
      <c r="BF59" s="62"/>
      <c r="BG59" s="62"/>
      <c r="BH59" s="62"/>
      <c r="BI59"/>
      <c r="BJ59" s="61">
        <v>2071</v>
      </c>
      <c r="BK59" s="65">
        <f t="shared" si="8"/>
        <v>-7.4075792853590228E-2</v>
      </c>
      <c r="BL59" s="65">
        <f t="shared" si="9"/>
        <v>-16.131322489057645</v>
      </c>
      <c r="BM59" s="60">
        <f t="shared" ca="1" si="10"/>
        <v>-8.6465657535649694</v>
      </c>
      <c r="BN59" s="65">
        <f t="shared" ca="1" si="11"/>
        <v>-24.851964035476207</v>
      </c>
      <c r="BO59"/>
      <c r="BP59"/>
      <c r="BQ59"/>
      <c r="BR59"/>
      <c r="BS59"/>
      <c r="BT59"/>
      <c r="BU59"/>
      <c r="BV59"/>
      <c r="BW59"/>
      <c r="BX59"/>
      <c r="BY59"/>
      <c r="BZ59"/>
      <c r="CA59"/>
      <c r="CB59"/>
      <c r="CC59"/>
      <c r="CD59"/>
      <c r="CE59"/>
      <c r="CF59"/>
    </row>
    <row r="60" spans="1:84" s="19" customFormat="1" x14ac:dyDescent="0.25">
      <c r="A60" s="61">
        <v>2072</v>
      </c>
      <c r="B60" s="62">
        <f>$B$6*Yield!M55</f>
        <v>-1.53352351987791E-2</v>
      </c>
      <c r="C60" s="62">
        <f>$C$6*Yield!M54</f>
        <v>-1.5003485508491109E-2</v>
      </c>
      <c r="D60" s="62">
        <f>$D$6*Yield!M53</f>
        <v>-7.3817995573343658E-3</v>
      </c>
      <c r="E60" s="62">
        <f>$E$6*Yield!M52</f>
        <v>-5.13925692381663E-3</v>
      </c>
      <c r="F60" s="62">
        <f>$F$6*Yield!M51</f>
        <v>-8.0633721893090971E-4</v>
      </c>
      <c r="G60" s="62">
        <f>$G$6*Yield!M50</f>
        <v>-5.5448585688050401E-4</v>
      </c>
      <c r="H60" s="62">
        <f>$H$6*Yield!M49</f>
        <v>-2.4815356501050874E-4</v>
      </c>
      <c r="I60" s="62">
        <f>$I$6*Yield!M48</f>
        <v>-2.7836151612139776E-4</v>
      </c>
      <c r="J60" s="62">
        <f>$J$6*Yield!M47</f>
        <v>-3.0204709966281007E-4</v>
      </c>
      <c r="K60" s="62">
        <f>$K$6*Yield!M46</f>
        <v>-3.3663574973128753E-4</v>
      </c>
      <c r="L60" s="62">
        <f>$L$6*Yield!M45</f>
        <v>-3.6157509144907427E-4</v>
      </c>
      <c r="M60" s="62">
        <f>$M$6*Yield!M44</f>
        <v>-3.5383654141590338E-4</v>
      </c>
      <c r="N60" s="62">
        <f>$N$6*Yield!M43</f>
        <v>-3.8565385319212038E-4</v>
      </c>
      <c r="O60" s="62">
        <f>$O$6*Yield!M42</f>
        <v>-4.6679394193556477E-4</v>
      </c>
      <c r="P60" s="62">
        <f>$P$6*Yield!M41</f>
        <v>-4.249017818525741E-4</v>
      </c>
      <c r="Q60" s="62">
        <f>$Q$6*Yield!M40</f>
        <v>-5.0403526613723194E-4</v>
      </c>
      <c r="R60" s="62">
        <f>$R$6*Yield!M39</f>
        <v>-5.1212540442199263E-4</v>
      </c>
      <c r="S60" s="62">
        <f>$S$6*Yield!M38</f>
        <v>-5.9329419830360039E-4</v>
      </c>
      <c r="T60" s="62">
        <f>$T$6*Yield!M37</f>
        <v>-5.6854543496951391E-4</v>
      </c>
      <c r="U60" s="62">
        <f>$U$6*Yield!M36</f>
        <v>-6.5747946747271948E-4</v>
      </c>
      <c r="V60" s="62">
        <f>$V$6*Yield!M35</f>
        <v>-6.7624803863035993E-4</v>
      </c>
      <c r="W60" s="62">
        <f>$W$6*Yield!M34</f>
        <v>-7.3084236208521337E-4</v>
      </c>
      <c r="X60" s="62">
        <f>$X$6*Yield!M33</f>
        <v>-7.8055971241014911E-4</v>
      </c>
      <c r="Y60" s="62">
        <f>$Y$6*Yield!M32</f>
        <v>-8.0521125805622874E-4</v>
      </c>
      <c r="Z60" s="62">
        <f>$Z$6*Yield!M31</f>
        <v>-8.8112672643379743E-4</v>
      </c>
      <c r="AA60" s="62">
        <f>$AA$6*Yield!M30</f>
        <v>-8.9893717747154694E-4</v>
      </c>
      <c r="AB60" s="62">
        <f>$AB$6*Yield!M29</f>
        <v>-9.2715366825739647E-4</v>
      </c>
      <c r="AC60" s="62">
        <f>$AC$6*Yield!M28</f>
        <v>-9.8951074852962444E-4</v>
      </c>
      <c r="AD60" s="62">
        <f>AD$6*Yield!M27</f>
        <v>-1.0244218846918308E-3</v>
      </c>
      <c r="AE60" s="62">
        <f>AE$6*Yield!M26</f>
        <v>-1.0354809808351577E-3</v>
      </c>
      <c r="AF60" s="62">
        <f>AF$6*Yield!M25</f>
        <v>-1.0799779316950329E-3</v>
      </c>
      <c r="AG60" s="62">
        <f>AG$6*Yield!M24</f>
        <v>-1.1540026687392219E-3</v>
      </c>
      <c r="AH60" s="62">
        <f>AH$6*Yield!M23</f>
        <v>-1.1815854742604067E-3</v>
      </c>
      <c r="AI60" s="62">
        <f>AI$6*Yield!M22</f>
        <v>-1.1815434376664094E-3</v>
      </c>
      <c r="AJ60" s="62">
        <f>AJ$6*Yield!M21</f>
        <v>-1.1587161913430536E-3</v>
      </c>
      <c r="AK60" s="62">
        <f>AK$6*Yield!M20</f>
        <v>-1.142245888483287E-3</v>
      </c>
      <c r="AL60" s="62">
        <f>AL$6*Yield!M19</f>
        <v>-1.1079978481301823E-3</v>
      </c>
      <c r="AM60" s="62">
        <f>AM$6*Yield!M18</f>
        <v>-1.0584522192053439E-3</v>
      </c>
      <c r="AN60" s="62">
        <f>AN$6*Yield!M17</f>
        <v>-1.016118510336534E-3</v>
      </c>
      <c r="AO60" s="62">
        <f>AO$6*Yield!M16</f>
        <v>-8.9458286485683794E-4</v>
      </c>
      <c r="AP60" s="62">
        <f>AP$6*Yield!M15</f>
        <v>-8.5707815816541267E-4</v>
      </c>
      <c r="AQ60" s="62">
        <f>AQ$6*Yield!M14</f>
        <v>-7.8598001125651518E-4</v>
      </c>
      <c r="AR60" s="62">
        <f>AR$6*Yield!M13</f>
        <v>-6.9504055648827296E-4</v>
      </c>
      <c r="AS60" s="62">
        <f>AS$6*Yield!M12</f>
        <v>-6.0459393498919658E-4</v>
      </c>
      <c r="AT60" s="62">
        <f>AT$6*Yield!M11</f>
        <v>-5.1134380123309142E-4</v>
      </c>
      <c r="AU60" s="62">
        <f>AU$6*Yield!M10</f>
        <v>-4.1685801991537879E-4</v>
      </c>
      <c r="AV60" s="62">
        <f>AV$6*Yield!M9</f>
        <v>-3.2189952264036523E-4</v>
      </c>
      <c r="AW60" s="62">
        <f>AW$6*Yield!M8</f>
        <v>-2.2852468894006165E-4</v>
      </c>
      <c r="AX60" s="62">
        <f>AX$6*Yield!M7</f>
        <v>-1.4913497554132707E-4</v>
      </c>
      <c r="AY60" s="62">
        <f>AY$6*Yield!M6</f>
        <v>-8.2254037137867911E-5</v>
      </c>
      <c r="AZ60" s="62">
        <f>AZ$6*Yield!M5</f>
        <v>-6.9095443440379741E-5</v>
      </c>
      <c r="BA60" s="62"/>
      <c r="BB60" s="62"/>
      <c r="BC60" s="62"/>
      <c r="BD60" s="62"/>
      <c r="BE60" s="62"/>
      <c r="BF60" s="62"/>
      <c r="BG60" s="62"/>
      <c r="BH60" s="62"/>
      <c r="BI60"/>
      <c r="BJ60" s="61">
        <v>2072</v>
      </c>
      <c r="BK60" s="65">
        <f t="shared" si="8"/>
        <v>-7.4660557917774401E-2</v>
      </c>
      <c r="BL60" s="65">
        <f t="shared" si="9"/>
        <v>-16.372214800861876</v>
      </c>
      <c r="BM60" s="60">
        <f t="shared" ca="1" si="10"/>
        <v>-8.6465657535649694</v>
      </c>
      <c r="BN60" s="65">
        <f t="shared" ca="1" si="11"/>
        <v>-25.093441112344621</v>
      </c>
      <c r="BO60"/>
      <c r="BP60"/>
      <c r="BQ60"/>
      <c r="BR60"/>
      <c r="BS60"/>
      <c r="BT60"/>
      <c r="BU60"/>
      <c r="BV60"/>
      <c r="BW60"/>
      <c r="BX60"/>
      <c r="BY60"/>
      <c r="BZ60"/>
      <c r="CA60"/>
      <c r="CB60"/>
      <c r="CC60"/>
      <c r="CD60"/>
      <c r="CE60"/>
      <c r="CF60"/>
    </row>
    <row r="61" spans="1:84" s="19" customFormat="1" x14ac:dyDescent="0.25">
      <c r="A61" s="61">
        <v>2073</v>
      </c>
      <c r="B61" s="62">
        <f>$B$6*Yield!M56</f>
        <v>-1.5335235198779473E-2</v>
      </c>
      <c r="C61" s="62">
        <f>$C$6*Yield!M55</f>
        <v>-1.7369599226417867E-2</v>
      </c>
      <c r="D61" s="62">
        <f>$D$6*Yield!M54</f>
        <v>-6.7443653039801956E-3</v>
      </c>
      <c r="E61" s="62">
        <f>$E$6*Yield!M53</f>
        <v>-4.6399882931816017E-3</v>
      </c>
      <c r="F61" s="62">
        <f>$F$6*Yield!M52</f>
        <v>-9.3441034978484182E-4</v>
      </c>
      <c r="G61" s="62">
        <f>$G$6*Yield!M51</f>
        <v>-4.0316860946545486E-4</v>
      </c>
      <c r="H61" s="62">
        <f>$H$6*Yield!M50</f>
        <v>-2.7724292844025201E-4</v>
      </c>
      <c r="I61" s="62">
        <f>$I$6*Yield!M49</f>
        <v>-2.4815356501050874E-4</v>
      </c>
      <c r="J61" s="62">
        <f>$J$6*Yield!M48</f>
        <v>-2.7836151612139776E-4</v>
      </c>
      <c r="K61" s="62">
        <f>$K$6*Yield!M47</f>
        <v>-3.0204709966281007E-4</v>
      </c>
      <c r="L61" s="62">
        <f>$L$6*Yield!M46</f>
        <v>-3.3663574973128753E-4</v>
      </c>
      <c r="M61" s="62">
        <f>$M$6*Yield!M45</f>
        <v>-3.6157509144907427E-4</v>
      </c>
      <c r="N61" s="62">
        <f>$N$6*Yield!M44</f>
        <v>-3.5383654141590338E-4</v>
      </c>
      <c r="O61" s="62">
        <f>$O$6*Yield!M43</f>
        <v>-3.8565385319212038E-4</v>
      </c>
      <c r="P61" s="62">
        <f>$P$6*Yield!M42</f>
        <v>-4.6679394193556477E-4</v>
      </c>
      <c r="Q61" s="62">
        <f>$Q$6*Yield!M41</f>
        <v>-4.249017818525741E-4</v>
      </c>
      <c r="R61" s="62">
        <f>$R$6*Yield!M40</f>
        <v>-5.0403526613723194E-4</v>
      </c>
      <c r="S61" s="62">
        <f>$S$6*Yield!M39</f>
        <v>-5.1212540442199263E-4</v>
      </c>
      <c r="T61" s="62">
        <f>$T$6*Yield!M38</f>
        <v>-5.9329419830360039E-4</v>
      </c>
      <c r="U61" s="62">
        <f>$U$6*Yield!M37</f>
        <v>-5.6854543496951391E-4</v>
      </c>
      <c r="V61" s="62">
        <f>$V$6*Yield!M36</f>
        <v>-6.5747946747271948E-4</v>
      </c>
      <c r="W61" s="62">
        <f>$W$6*Yield!M35</f>
        <v>-6.7624803863035993E-4</v>
      </c>
      <c r="X61" s="62">
        <f>$X$6*Yield!M34</f>
        <v>-7.3084236208521337E-4</v>
      </c>
      <c r="Y61" s="62">
        <f>$Y$6*Yield!M33</f>
        <v>-7.8055971241014911E-4</v>
      </c>
      <c r="Z61" s="62">
        <f>$Z$6*Yield!M32</f>
        <v>-8.0521125805622874E-4</v>
      </c>
      <c r="AA61" s="62">
        <f>$AA$6*Yield!M31</f>
        <v>-8.8112672643379743E-4</v>
      </c>
      <c r="AB61" s="62">
        <f>$AB$6*Yield!M30</f>
        <v>-8.9893717747154694E-4</v>
      </c>
      <c r="AC61" s="62">
        <f>$AC$6*Yield!M29</f>
        <v>-9.2715366825739647E-4</v>
      </c>
      <c r="AD61" s="62">
        <f>AD$6*Yield!M28</f>
        <v>-9.8951074852962444E-4</v>
      </c>
      <c r="AE61" s="62">
        <f>AE$6*Yield!M27</f>
        <v>-1.0244218846918308E-3</v>
      </c>
      <c r="AF61" s="62">
        <f>AF$6*Yield!M26</f>
        <v>-1.0354809808351577E-3</v>
      </c>
      <c r="AG61" s="62">
        <f>AG$6*Yield!M25</f>
        <v>-1.0799779316950329E-3</v>
      </c>
      <c r="AH61" s="62">
        <f>AH$6*Yield!M24</f>
        <v>-1.1540026687392219E-3</v>
      </c>
      <c r="AI61" s="62">
        <f>AI$6*Yield!M23</f>
        <v>-1.1815854742604067E-3</v>
      </c>
      <c r="AJ61" s="62">
        <f>AJ$6*Yield!M22</f>
        <v>-1.1815434376664094E-3</v>
      </c>
      <c r="AK61" s="62">
        <f>AK$6*Yield!M21</f>
        <v>-1.1587161913430536E-3</v>
      </c>
      <c r="AL61" s="62">
        <f>AL$6*Yield!M20</f>
        <v>-1.142245888483287E-3</v>
      </c>
      <c r="AM61" s="62">
        <f>AM$6*Yield!M19</f>
        <v>-1.1079978481301823E-3</v>
      </c>
      <c r="AN61" s="62">
        <f>AN$6*Yield!M18</f>
        <v>-1.0584522192053439E-3</v>
      </c>
      <c r="AO61" s="62">
        <f>AO$6*Yield!M17</f>
        <v>-1.016118510336534E-3</v>
      </c>
      <c r="AP61" s="62">
        <f>AP$6*Yield!M16</f>
        <v>-8.9458286485683794E-4</v>
      </c>
      <c r="AQ61" s="62">
        <f>AQ$6*Yield!M15</f>
        <v>-8.5707815816541267E-4</v>
      </c>
      <c r="AR61" s="62">
        <f>AR$6*Yield!M14</f>
        <v>-7.8598001125651518E-4</v>
      </c>
      <c r="AS61" s="62">
        <f>AS$6*Yield!M13</f>
        <v>-6.9504055648827296E-4</v>
      </c>
      <c r="AT61" s="62">
        <f>AT$6*Yield!M12</f>
        <v>-6.0459393498919658E-4</v>
      </c>
      <c r="AU61" s="62">
        <f>AU$6*Yield!M11</f>
        <v>-5.1134380123309142E-4</v>
      </c>
      <c r="AV61" s="62">
        <f>AV$6*Yield!M10</f>
        <v>-4.1685801991537879E-4</v>
      </c>
      <c r="AW61" s="62">
        <f>AW$6*Yield!M9</f>
        <v>-3.2189952264036523E-4</v>
      </c>
      <c r="AX61" s="62">
        <f>AX$6*Yield!M8</f>
        <v>-2.2852468894006165E-4</v>
      </c>
      <c r="AY61" s="62">
        <f>AY$6*Yield!M7</f>
        <v>-1.4913497554132707E-4</v>
      </c>
      <c r="AZ61" s="62">
        <f>AZ$6*Yield!M6</f>
        <v>-8.2254037137867911E-5</v>
      </c>
      <c r="BA61" s="62">
        <f>BA$6*Yield!M5</f>
        <v>-6.9095443440379741E-5</v>
      </c>
      <c r="BB61" s="62"/>
      <c r="BC61" s="62"/>
      <c r="BD61" s="62"/>
      <c r="BE61" s="62"/>
      <c r="BF61" s="62"/>
      <c r="BG61" s="62"/>
      <c r="BH61" s="62"/>
      <c r="BI61"/>
      <c r="BJ61" s="61">
        <v>2073</v>
      </c>
      <c r="BK61" s="65">
        <f t="shared" si="8"/>
        <v>-7.6143967563591458E-2</v>
      </c>
      <c r="BL61" s="65">
        <f t="shared" si="9"/>
        <v>-16.61312644687505</v>
      </c>
      <c r="BM61" s="60">
        <f t="shared" ca="1" si="10"/>
        <v>-8.6465657535649694</v>
      </c>
      <c r="BN61" s="65">
        <f t="shared" ca="1" si="11"/>
        <v>-25.33583616800361</v>
      </c>
      <c r="BO61"/>
      <c r="BP61"/>
      <c r="BQ61"/>
      <c r="BR61"/>
      <c r="BS61"/>
      <c r="BT61"/>
      <c r="BU61"/>
      <c r="BV61"/>
      <c r="BW61"/>
      <c r="BX61"/>
      <c r="BY61"/>
      <c r="BZ61"/>
      <c r="CA61"/>
      <c r="CB61"/>
      <c r="CC61"/>
      <c r="CD61"/>
      <c r="CE61"/>
      <c r="CF61"/>
    </row>
    <row r="62" spans="1:84" s="19" customFormat="1" x14ac:dyDescent="0.25">
      <c r="A62" s="61">
        <v>2074</v>
      </c>
      <c r="B62" s="62">
        <f>$B$6*Yield!M57</f>
        <v>-1.5335235198779473E-2</v>
      </c>
      <c r="C62" s="62">
        <f>$C$6*Yield!M56</f>
        <v>-1.7369599226418286E-2</v>
      </c>
      <c r="D62" s="62">
        <f>$D$6*Yield!M55</f>
        <v>-7.807980505622876E-3</v>
      </c>
      <c r="E62" s="62">
        <f>$E$6*Yield!M54</f>
        <v>-4.2393153339304089E-3</v>
      </c>
      <c r="F62" s="62">
        <f>$F$6*Yield!M53</f>
        <v>-8.436342351239275E-4</v>
      </c>
      <c r="G62" s="62">
        <f>$G$6*Yield!M52</f>
        <v>-4.6720517489242091E-4</v>
      </c>
      <c r="H62" s="62">
        <f>$H$6*Yield!M51</f>
        <v>-2.0158430473272743E-4</v>
      </c>
      <c r="I62" s="62">
        <f>$I$6*Yield!M50</f>
        <v>-2.7724292844025201E-4</v>
      </c>
      <c r="J62" s="62">
        <f>$J$6*Yield!M49</f>
        <v>-2.4815356501050874E-4</v>
      </c>
      <c r="K62" s="62">
        <f>$K$6*Yield!M48</f>
        <v>-2.7836151612139776E-4</v>
      </c>
      <c r="L62" s="62">
        <f>$L$6*Yield!M47</f>
        <v>-3.0204709966281007E-4</v>
      </c>
      <c r="M62" s="62">
        <f>$M$6*Yield!M46</f>
        <v>-3.3663574973128753E-4</v>
      </c>
      <c r="N62" s="62">
        <f>$N$6*Yield!M45</f>
        <v>-3.6157509144907427E-4</v>
      </c>
      <c r="O62" s="62">
        <f>$O$6*Yield!M44</f>
        <v>-3.5383654141590338E-4</v>
      </c>
      <c r="P62" s="62">
        <f>$P$6*Yield!M43</f>
        <v>-3.8565385319212038E-4</v>
      </c>
      <c r="Q62" s="62">
        <f>$Q$6*Yield!M42</f>
        <v>-4.6679394193556477E-4</v>
      </c>
      <c r="R62" s="62">
        <f>$R$6*Yield!M41</f>
        <v>-4.249017818525741E-4</v>
      </c>
      <c r="S62" s="62">
        <f>$S$6*Yield!M40</f>
        <v>-5.0403526613723194E-4</v>
      </c>
      <c r="T62" s="62">
        <f>$T$6*Yield!M39</f>
        <v>-5.1212540442199263E-4</v>
      </c>
      <c r="U62" s="62">
        <f>$U$6*Yield!M38</f>
        <v>-5.9329419830360039E-4</v>
      </c>
      <c r="V62" s="62">
        <f>$V$6*Yield!M37</f>
        <v>-5.6854543496951391E-4</v>
      </c>
      <c r="W62" s="62">
        <f>$W$6*Yield!M36</f>
        <v>-6.5747946747271948E-4</v>
      </c>
      <c r="X62" s="62">
        <f>$X$6*Yield!M35</f>
        <v>-6.7624803863035993E-4</v>
      </c>
      <c r="Y62" s="62">
        <f>$Y$6*Yield!M34</f>
        <v>-7.3084236208521337E-4</v>
      </c>
      <c r="Z62" s="62">
        <f>$Z$6*Yield!M33</f>
        <v>-7.8055971241014911E-4</v>
      </c>
      <c r="AA62" s="62">
        <f>$AA$6*Yield!M32</f>
        <v>-8.0521125805622874E-4</v>
      </c>
      <c r="AB62" s="62">
        <f>$AB$6*Yield!M31</f>
        <v>-8.8112672643379743E-4</v>
      </c>
      <c r="AC62" s="62">
        <f>$AC$6*Yield!M30</f>
        <v>-8.9893717747154694E-4</v>
      </c>
      <c r="AD62" s="62">
        <f>AD$6*Yield!M29</f>
        <v>-9.2715366825739647E-4</v>
      </c>
      <c r="AE62" s="62">
        <f>AE$6*Yield!M28</f>
        <v>-9.8951074852962444E-4</v>
      </c>
      <c r="AF62" s="62">
        <f>AF$6*Yield!M27</f>
        <v>-1.0244218846918308E-3</v>
      </c>
      <c r="AG62" s="62">
        <f>AG$6*Yield!M26</f>
        <v>-1.0354809808351577E-3</v>
      </c>
      <c r="AH62" s="62">
        <f>AH$6*Yield!M25</f>
        <v>-1.0799779316950329E-3</v>
      </c>
      <c r="AI62" s="62">
        <f>AI$6*Yield!M24</f>
        <v>-1.1540026687392219E-3</v>
      </c>
      <c r="AJ62" s="62">
        <f>AJ$6*Yield!M23</f>
        <v>-1.1815854742604067E-3</v>
      </c>
      <c r="AK62" s="62">
        <f>AK$6*Yield!M22</f>
        <v>-1.1815434376664094E-3</v>
      </c>
      <c r="AL62" s="62">
        <f>AL$6*Yield!M21</f>
        <v>-1.1587161913430536E-3</v>
      </c>
      <c r="AM62" s="62">
        <f>AM$6*Yield!M20</f>
        <v>-1.142245888483287E-3</v>
      </c>
      <c r="AN62" s="62">
        <f>AN$6*Yield!M19</f>
        <v>-1.1079978481301823E-3</v>
      </c>
      <c r="AO62" s="62">
        <f>AO$6*Yield!M18</f>
        <v>-1.0584522192053439E-3</v>
      </c>
      <c r="AP62" s="62">
        <f>AP$6*Yield!M17</f>
        <v>-1.016118510336534E-3</v>
      </c>
      <c r="AQ62" s="62">
        <f>AQ$6*Yield!M16</f>
        <v>-8.9458286485683794E-4</v>
      </c>
      <c r="AR62" s="62">
        <f>AR$6*Yield!M15</f>
        <v>-8.5707815816541267E-4</v>
      </c>
      <c r="AS62" s="62">
        <f>AS$6*Yield!M14</f>
        <v>-7.8598001125651518E-4</v>
      </c>
      <c r="AT62" s="62">
        <f>AT$6*Yield!M13</f>
        <v>-6.9504055648827296E-4</v>
      </c>
      <c r="AU62" s="62">
        <f>AU$6*Yield!M12</f>
        <v>-6.0459393498919658E-4</v>
      </c>
      <c r="AV62" s="62">
        <f>AV$6*Yield!M11</f>
        <v>-5.1134380123309142E-4</v>
      </c>
      <c r="AW62" s="62">
        <f>AW$6*Yield!M10</f>
        <v>-4.1685801991537879E-4</v>
      </c>
      <c r="AX62" s="62">
        <f>AX$6*Yield!M9</f>
        <v>-3.2189952264036523E-4</v>
      </c>
      <c r="AY62" s="62">
        <f>AY$6*Yield!M8</f>
        <v>-2.2852468894006165E-4</v>
      </c>
      <c r="AZ62" s="62">
        <f>AZ$6*Yield!M7</f>
        <v>-1.4913497554132707E-4</v>
      </c>
      <c r="BA62" s="62">
        <f>BA$6*Yield!M6</f>
        <v>-8.2254037137867911E-5</v>
      </c>
      <c r="BB62" s="62">
        <f>BB$6*Yield!M5</f>
        <v>-6.9095443440379741E-5</v>
      </c>
      <c r="BC62" s="62"/>
      <c r="BD62" s="62"/>
      <c r="BE62" s="62"/>
      <c r="BF62" s="62"/>
      <c r="BG62" s="62"/>
      <c r="BH62" s="62"/>
      <c r="BI62"/>
      <c r="BJ62" s="61">
        <v>2074</v>
      </c>
      <c r="BK62" s="65">
        <f t="shared" si="8"/>
        <v>-7.6981754561482152E-2</v>
      </c>
      <c r="BL62" s="65">
        <f t="shared" si="9"/>
        <v>-16.856391915386368</v>
      </c>
      <c r="BM62" s="60">
        <f t="shared" ca="1" si="10"/>
        <v>-8.6465657535649694</v>
      </c>
      <c r="BN62" s="65">
        <f t="shared" ca="1" si="11"/>
        <v>-25.579939423512819</v>
      </c>
      <c r="BO62"/>
      <c r="BP62"/>
      <c r="BQ62"/>
      <c r="BR62"/>
      <c r="BS62"/>
      <c r="BT62"/>
      <c r="BU62"/>
      <c r="BV62"/>
      <c r="BW62"/>
      <c r="BX62"/>
      <c r="BY62"/>
      <c r="BZ62"/>
      <c r="CA62"/>
      <c r="CB62"/>
      <c r="CC62"/>
      <c r="CD62"/>
      <c r="CE62"/>
      <c r="CF62"/>
    </row>
    <row r="63" spans="1:84" s="19" customFormat="1" x14ac:dyDescent="0.25">
      <c r="A63" s="61">
        <v>2075</v>
      </c>
      <c r="B63" s="62">
        <f>$B$6*Yield!M58</f>
        <v>-1.5335235198779473E-2</v>
      </c>
      <c r="C63" s="62">
        <f>$C$6*Yield!M57</f>
        <v>-1.7369599226418286E-2</v>
      </c>
      <c r="D63" s="62">
        <f>$D$6*Yield!M56</f>
        <v>-7.8079805056230659E-3</v>
      </c>
      <c r="E63" s="62">
        <f>$E$6*Yield!M55</f>
        <v>-4.907873460677236E-3</v>
      </c>
      <c r="F63" s="62">
        <f>$F$6*Yield!M54</f>
        <v>-7.7078460616916526E-4</v>
      </c>
      <c r="G63" s="62">
        <f>$G$6*Yield!M53</f>
        <v>-4.2181711756196375E-4</v>
      </c>
      <c r="H63" s="62">
        <f>$H$6*Yield!M52</f>
        <v>-2.3360258744621045E-4</v>
      </c>
      <c r="I63" s="62">
        <f>$I$6*Yield!M51</f>
        <v>-2.0158430473272743E-4</v>
      </c>
      <c r="J63" s="62">
        <f>$J$6*Yield!M50</f>
        <v>-2.7724292844025201E-4</v>
      </c>
      <c r="K63" s="62">
        <f>$K$6*Yield!M49</f>
        <v>-2.4815356501050874E-4</v>
      </c>
      <c r="L63" s="62">
        <f>$L$6*Yield!M48</f>
        <v>-2.7836151612139776E-4</v>
      </c>
      <c r="M63" s="62">
        <f>$M$6*Yield!M47</f>
        <v>-3.0204709966281007E-4</v>
      </c>
      <c r="N63" s="62">
        <f>$N$6*Yield!M46</f>
        <v>-3.3663574973128753E-4</v>
      </c>
      <c r="O63" s="62">
        <f>$O$6*Yield!M45</f>
        <v>-3.6157509144907427E-4</v>
      </c>
      <c r="P63" s="62">
        <f>$P$6*Yield!M44</f>
        <v>-3.5383654141590338E-4</v>
      </c>
      <c r="Q63" s="62">
        <f>$Q$6*Yield!M43</f>
        <v>-3.8565385319212038E-4</v>
      </c>
      <c r="R63" s="62">
        <f>$R$6*Yield!M42</f>
        <v>-4.6679394193556477E-4</v>
      </c>
      <c r="S63" s="62">
        <f>$S$6*Yield!M41</f>
        <v>-4.249017818525741E-4</v>
      </c>
      <c r="T63" s="62">
        <f>$T$6*Yield!M40</f>
        <v>-5.0403526613723194E-4</v>
      </c>
      <c r="U63" s="62">
        <f>$U$6*Yield!M39</f>
        <v>-5.1212540442199263E-4</v>
      </c>
      <c r="V63" s="62">
        <f>$V$6*Yield!M38</f>
        <v>-5.9329419830360039E-4</v>
      </c>
      <c r="W63" s="62">
        <f>$W$6*Yield!M37</f>
        <v>-5.6854543496951391E-4</v>
      </c>
      <c r="X63" s="62">
        <f>$X$6*Yield!M36</f>
        <v>-6.5747946747271948E-4</v>
      </c>
      <c r="Y63" s="62">
        <f>$Y$6*Yield!M35</f>
        <v>-6.7624803863035993E-4</v>
      </c>
      <c r="Z63" s="62">
        <f>$Z$6*Yield!M34</f>
        <v>-7.3084236208521337E-4</v>
      </c>
      <c r="AA63" s="62">
        <f>$AA$6*Yield!M33</f>
        <v>-7.8055971241014911E-4</v>
      </c>
      <c r="AB63" s="62">
        <f>$AB$6*Yield!M32</f>
        <v>-8.0521125805622874E-4</v>
      </c>
      <c r="AC63" s="62">
        <f>$AC$6*Yield!M31</f>
        <v>-8.8112672643379743E-4</v>
      </c>
      <c r="AD63" s="62">
        <f>AD$6*Yield!M30</f>
        <v>-8.9893717747154694E-4</v>
      </c>
      <c r="AE63" s="62">
        <f>AE$6*Yield!M29</f>
        <v>-9.2715366825739647E-4</v>
      </c>
      <c r="AF63" s="62">
        <f>AF$6*Yield!M28</f>
        <v>-9.8951074852962444E-4</v>
      </c>
      <c r="AG63" s="62">
        <f>AG$6*Yield!M27</f>
        <v>-1.0244218846918308E-3</v>
      </c>
      <c r="AH63" s="62">
        <f>AH$6*Yield!M26</f>
        <v>-1.0354809808351577E-3</v>
      </c>
      <c r="AI63" s="62">
        <f>AI$6*Yield!M25</f>
        <v>-1.0799779316950329E-3</v>
      </c>
      <c r="AJ63" s="62">
        <f>AJ$6*Yield!M24</f>
        <v>-1.1540026687392219E-3</v>
      </c>
      <c r="AK63" s="62">
        <f>AK$6*Yield!M23</f>
        <v>-1.1815854742604067E-3</v>
      </c>
      <c r="AL63" s="62">
        <f>AL$6*Yield!M22</f>
        <v>-1.1815434376664094E-3</v>
      </c>
      <c r="AM63" s="62">
        <f>AM$6*Yield!M21</f>
        <v>-1.1587161913430536E-3</v>
      </c>
      <c r="AN63" s="62">
        <f>AN$6*Yield!M20</f>
        <v>-1.142245888483287E-3</v>
      </c>
      <c r="AO63" s="62">
        <f>AO$6*Yield!M19</f>
        <v>-1.1079978481301823E-3</v>
      </c>
      <c r="AP63" s="62">
        <f>AP$6*Yield!M18</f>
        <v>-1.0584522192053439E-3</v>
      </c>
      <c r="AQ63" s="62">
        <f>AQ$6*Yield!M17</f>
        <v>-1.016118510336534E-3</v>
      </c>
      <c r="AR63" s="62">
        <f>AR$6*Yield!M16</f>
        <v>-8.9458286485683794E-4</v>
      </c>
      <c r="AS63" s="62">
        <f>AS$6*Yield!M15</f>
        <v>-8.5707815816541267E-4</v>
      </c>
      <c r="AT63" s="62">
        <f>AT$6*Yield!M14</f>
        <v>-7.8598001125651518E-4</v>
      </c>
      <c r="AU63" s="62">
        <f>AU$6*Yield!M13</f>
        <v>-6.9504055648827296E-4</v>
      </c>
      <c r="AV63" s="62">
        <f>AV$6*Yield!M12</f>
        <v>-6.0459393498919658E-4</v>
      </c>
      <c r="AW63" s="62">
        <f>AW$6*Yield!M11</f>
        <v>-5.1134380123309142E-4</v>
      </c>
      <c r="AX63" s="62">
        <f>AX$6*Yield!M10</f>
        <v>-4.1685801991537879E-4</v>
      </c>
      <c r="AY63" s="62">
        <f>AY$6*Yield!M9</f>
        <v>-3.2189952264036523E-4</v>
      </c>
      <c r="AZ63" s="62">
        <f>AZ$6*Yield!M8</f>
        <v>-2.2852468894006165E-4</v>
      </c>
      <c r="BA63" s="62">
        <f>BA$6*Yield!M7</f>
        <v>-1.4913497554132707E-4</v>
      </c>
      <c r="BB63" s="62">
        <f>BB$6*Yield!M6</f>
        <v>-8.2254037137867911E-5</v>
      </c>
      <c r="BC63" s="62">
        <f>BC$6*Yield!M5</f>
        <v>-6.9095443440379741E-5</v>
      </c>
      <c r="BD63" s="62"/>
      <c r="BE63" s="62"/>
      <c r="BF63" s="62"/>
      <c r="BG63" s="62"/>
      <c r="BH63" s="62"/>
      <c r="BI63"/>
      <c r="BJ63" s="61">
        <v>2075</v>
      </c>
      <c r="BK63" s="65">
        <f t="shared" si="8"/>
        <v>-7.7765677589390153E-2</v>
      </c>
      <c r="BL63" s="65">
        <f t="shared" si="9"/>
        <v>-17.101383712997251</v>
      </c>
      <c r="BM63" s="60">
        <f t="shared" ca="1" si="10"/>
        <v>-8.6465657535649694</v>
      </c>
      <c r="BN63" s="65">
        <f t="shared" ca="1" si="11"/>
        <v>-25.825715144151609</v>
      </c>
      <c r="BO63"/>
      <c r="BP63"/>
      <c r="BQ63"/>
      <c r="BR63"/>
      <c r="BS63"/>
      <c r="BT63"/>
      <c r="BU63"/>
      <c r="BV63"/>
      <c r="BW63"/>
      <c r="BX63"/>
      <c r="BY63"/>
      <c r="BZ63"/>
      <c r="CA63"/>
      <c r="CB63"/>
      <c r="CC63"/>
      <c r="CD63"/>
      <c r="CE63"/>
      <c r="CF63"/>
    </row>
    <row r="64" spans="1:84" s="19" customFormat="1" x14ac:dyDescent="0.25">
      <c r="A64" s="61">
        <v>2076</v>
      </c>
      <c r="B64" s="62">
        <f>$B$6*Yield!M59</f>
        <v>-1.5335235198779473E-2</v>
      </c>
      <c r="C64" s="62">
        <f>$C$6*Yield!M58</f>
        <v>-1.7369599226418286E-2</v>
      </c>
      <c r="D64" s="62">
        <f>$D$6*Yield!M57</f>
        <v>-7.8079805056230659E-3</v>
      </c>
      <c r="E64" s="62">
        <f>$E$6*Yield!M56</f>
        <v>-4.9078734606773557E-3</v>
      </c>
      <c r="F64" s="62">
        <f>$F$6*Yield!M55</f>
        <v>-8.9234062921404299E-4</v>
      </c>
      <c r="G64" s="62">
        <f>$G$6*Yield!M54</f>
        <v>-3.8539230308458263E-4</v>
      </c>
      <c r="H64" s="62">
        <f>$H$6*Yield!M53</f>
        <v>-2.1090855878098187E-4</v>
      </c>
      <c r="I64" s="62">
        <f>$I$6*Yield!M52</f>
        <v>-2.3360258744621045E-4</v>
      </c>
      <c r="J64" s="62">
        <f>$J$6*Yield!M51</f>
        <v>-2.0158430473272743E-4</v>
      </c>
      <c r="K64" s="62">
        <f>$K$6*Yield!M50</f>
        <v>-2.7724292844025201E-4</v>
      </c>
      <c r="L64" s="62">
        <f>$L$6*Yield!M49</f>
        <v>-2.4815356501050874E-4</v>
      </c>
      <c r="M64" s="62">
        <f>$M$6*Yield!M48</f>
        <v>-2.7836151612139776E-4</v>
      </c>
      <c r="N64" s="62">
        <f>$N$6*Yield!M47</f>
        <v>-3.0204709966281007E-4</v>
      </c>
      <c r="O64" s="62">
        <f>$O$6*Yield!M46</f>
        <v>-3.3663574973128753E-4</v>
      </c>
      <c r="P64" s="62">
        <f>$P$6*Yield!M45</f>
        <v>-3.6157509144907427E-4</v>
      </c>
      <c r="Q64" s="62">
        <f>$Q$6*Yield!M44</f>
        <v>-3.5383654141590338E-4</v>
      </c>
      <c r="R64" s="62">
        <f>$R$6*Yield!M43</f>
        <v>-3.8565385319212038E-4</v>
      </c>
      <c r="S64" s="62">
        <f>$S$6*Yield!M42</f>
        <v>-4.6679394193556477E-4</v>
      </c>
      <c r="T64" s="62">
        <f>$T$6*Yield!M41</f>
        <v>-4.249017818525741E-4</v>
      </c>
      <c r="U64" s="62">
        <f>$U$6*Yield!M40</f>
        <v>-5.0403526613723194E-4</v>
      </c>
      <c r="V64" s="62">
        <f>$V$6*Yield!M39</f>
        <v>-5.1212540442199263E-4</v>
      </c>
      <c r="W64" s="62">
        <f>$W$6*Yield!M38</f>
        <v>-5.9329419830360039E-4</v>
      </c>
      <c r="X64" s="62">
        <f>$X$6*Yield!M37</f>
        <v>-5.6854543496951391E-4</v>
      </c>
      <c r="Y64" s="62">
        <f>$Y$6*Yield!M36</f>
        <v>-6.5747946747271948E-4</v>
      </c>
      <c r="Z64" s="62">
        <f>$Z$6*Yield!M35</f>
        <v>-6.7624803863035993E-4</v>
      </c>
      <c r="AA64" s="62">
        <f>$AA$6*Yield!M34</f>
        <v>-7.3084236208521337E-4</v>
      </c>
      <c r="AB64" s="62">
        <f>$AB$6*Yield!M33</f>
        <v>-7.8055971241014911E-4</v>
      </c>
      <c r="AC64" s="62">
        <f>$AC$6*Yield!M32</f>
        <v>-8.0521125805622874E-4</v>
      </c>
      <c r="AD64" s="62">
        <f>AD$6*Yield!M31</f>
        <v>-8.8112672643379743E-4</v>
      </c>
      <c r="AE64" s="62">
        <f>AE$6*Yield!M30</f>
        <v>-8.9893717747154694E-4</v>
      </c>
      <c r="AF64" s="62">
        <f>AF$6*Yield!M29</f>
        <v>-9.2715366825739647E-4</v>
      </c>
      <c r="AG64" s="62">
        <f>AG$6*Yield!M28</f>
        <v>-9.8951074852962444E-4</v>
      </c>
      <c r="AH64" s="62">
        <f>AH$6*Yield!M27</f>
        <v>-1.0244218846918308E-3</v>
      </c>
      <c r="AI64" s="62">
        <f>AI$6*Yield!M26</f>
        <v>-1.0354809808351577E-3</v>
      </c>
      <c r="AJ64" s="62">
        <f>AJ$6*Yield!M25</f>
        <v>-1.0799779316950329E-3</v>
      </c>
      <c r="AK64" s="62">
        <f>AK$6*Yield!M24</f>
        <v>-1.1540026687392219E-3</v>
      </c>
      <c r="AL64" s="62">
        <f>AL$6*Yield!M23</f>
        <v>-1.1815854742604067E-3</v>
      </c>
      <c r="AM64" s="62">
        <f>AM$6*Yield!M22</f>
        <v>-1.1815434376664094E-3</v>
      </c>
      <c r="AN64" s="62">
        <f>AN$6*Yield!M21</f>
        <v>-1.1587161913430536E-3</v>
      </c>
      <c r="AO64" s="62">
        <f>AO$6*Yield!M20</f>
        <v>-1.142245888483287E-3</v>
      </c>
      <c r="AP64" s="62">
        <f>AP$6*Yield!M19</f>
        <v>-1.1079978481301823E-3</v>
      </c>
      <c r="AQ64" s="62">
        <f>AQ$6*Yield!M18</f>
        <v>-1.0584522192053439E-3</v>
      </c>
      <c r="AR64" s="62">
        <f>AR$6*Yield!M17</f>
        <v>-1.016118510336534E-3</v>
      </c>
      <c r="AS64" s="62">
        <f>AS$6*Yield!M16</f>
        <v>-8.9458286485683794E-4</v>
      </c>
      <c r="AT64" s="62">
        <f>AT$6*Yield!M15</f>
        <v>-8.5707815816541267E-4</v>
      </c>
      <c r="AU64" s="62">
        <f>AU$6*Yield!M14</f>
        <v>-7.8598001125651518E-4</v>
      </c>
      <c r="AV64" s="62">
        <f>AV$6*Yield!M13</f>
        <v>-6.9504055648827296E-4</v>
      </c>
      <c r="AW64" s="62">
        <f>AW$6*Yield!M12</f>
        <v>-6.0459393498919658E-4</v>
      </c>
      <c r="AX64" s="62">
        <f>AX$6*Yield!M11</f>
        <v>-5.1134380123309142E-4</v>
      </c>
      <c r="AY64" s="62">
        <f>AY$6*Yield!M10</f>
        <v>-4.1685801991537879E-4</v>
      </c>
      <c r="AZ64" s="62">
        <f>AZ$6*Yield!M9</f>
        <v>-3.2189952264036523E-4</v>
      </c>
      <c r="BA64" s="62">
        <f>BA$6*Yield!M8</f>
        <v>-2.2852468894006165E-4</v>
      </c>
      <c r="BB64" s="62">
        <f>BB$6*Yield!M7</f>
        <v>-1.4913497554132707E-4</v>
      </c>
      <c r="BC64" s="62">
        <f>BC$6*Yield!M6</f>
        <v>-8.2254037137867911E-5</v>
      </c>
      <c r="BD64" s="62">
        <f>BD$6*Yield!M5</f>
        <v>-6.9095443440379741E-5</v>
      </c>
      <c r="BE64" s="62"/>
      <c r="BF64" s="62"/>
      <c r="BG64" s="62"/>
      <c r="BH64" s="62"/>
      <c r="BI64"/>
      <c r="BJ64" s="61">
        <v>2076</v>
      </c>
      <c r="BK64" s="65">
        <f t="shared" si="8"/>
        <v>-7.8061717356738752E-2</v>
      </c>
      <c r="BL64" s="65">
        <f t="shared" si="9"/>
        <v>-17.34637551060813</v>
      </c>
      <c r="BM64" s="60">
        <f t="shared" ca="1" si="10"/>
        <v>-8.6465657535649694</v>
      </c>
      <c r="BN64" s="65">
        <f t="shared" ca="1" si="11"/>
        <v>-26.071002981529837</v>
      </c>
      <c r="BO64"/>
      <c r="BP64"/>
      <c r="BQ64"/>
      <c r="BR64"/>
      <c r="BS64"/>
      <c r="BT64"/>
      <c r="BU64"/>
      <c r="BV64"/>
      <c r="BW64"/>
      <c r="BX64"/>
      <c r="BY64"/>
      <c r="BZ64"/>
      <c r="CA64"/>
      <c r="CB64"/>
      <c r="CC64"/>
      <c r="CD64"/>
      <c r="CE64"/>
      <c r="CF64"/>
    </row>
    <row r="65" spans="1:84" s="19" customFormat="1" x14ac:dyDescent="0.25">
      <c r="A65" s="61">
        <v>2077</v>
      </c>
      <c r="B65" s="62">
        <f>$B$6*Yield!M60</f>
        <v>-1.5335235198779473E-2</v>
      </c>
      <c r="C65" s="62">
        <f>$C$6*Yield!M59</f>
        <v>-1.7369599226418286E-2</v>
      </c>
      <c r="D65" s="62">
        <f>$D$6*Yield!M58</f>
        <v>-7.8079805056230659E-3</v>
      </c>
      <c r="E65" s="62">
        <f>$E$6*Yield!M57</f>
        <v>-4.9078734606773557E-3</v>
      </c>
      <c r="F65" s="62">
        <f>$F$6*Yield!M56</f>
        <v>-8.9234062921406468E-4</v>
      </c>
      <c r="G65" s="62">
        <f>$G$6*Yield!M55</f>
        <v>-4.461703146070215E-4</v>
      </c>
      <c r="H65" s="62">
        <f>$H$6*Yield!M54</f>
        <v>-1.9269615154229132E-4</v>
      </c>
      <c r="I65" s="62">
        <f>$I$6*Yield!M53</f>
        <v>-2.1090855878098187E-4</v>
      </c>
      <c r="J65" s="62">
        <f>$J$6*Yield!M52</f>
        <v>-2.3360258744621045E-4</v>
      </c>
      <c r="K65" s="62">
        <f>$K$6*Yield!M51</f>
        <v>-2.0158430473272743E-4</v>
      </c>
      <c r="L65" s="62">
        <f>$L$6*Yield!M50</f>
        <v>-2.7724292844025201E-4</v>
      </c>
      <c r="M65" s="62">
        <f>$M$6*Yield!M49</f>
        <v>-2.4815356501050874E-4</v>
      </c>
      <c r="N65" s="62">
        <f>$N$6*Yield!M48</f>
        <v>-2.7836151612139776E-4</v>
      </c>
      <c r="O65" s="62">
        <f>$O$6*Yield!M47</f>
        <v>-3.0204709966281007E-4</v>
      </c>
      <c r="P65" s="62">
        <f>$P$6*Yield!M46</f>
        <v>-3.3663574973128753E-4</v>
      </c>
      <c r="Q65" s="62">
        <f>$Q$6*Yield!M45</f>
        <v>-3.6157509144907427E-4</v>
      </c>
      <c r="R65" s="62">
        <f>$R$6*Yield!M44</f>
        <v>-3.5383654141590338E-4</v>
      </c>
      <c r="S65" s="62">
        <f>$S$6*Yield!M43</f>
        <v>-3.8565385319212038E-4</v>
      </c>
      <c r="T65" s="62">
        <f>$T$6*Yield!M42</f>
        <v>-4.6679394193556477E-4</v>
      </c>
      <c r="U65" s="62">
        <f>$U$6*Yield!M41</f>
        <v>-4.249017818525741E-4</v>
      </c>
      <c r="V65" s="62">
        <f>$V$6*Yield!M40</f>
        <v>-5.0403526613723194E-4</v>
      </c>
      <c r="W65" s="62">
        <f>$W$6*Yield!M39</f>
        <v>-5.1212540442199263E-4</v>
      </c>
      <c r="X65" s="62">
        <f>$X$6*Yield!M38</f>
        <v>-5.9329419830360039E-4</v>
      </c>
      <c r="Y65" s="62">
        <f>$Y$6*Yield!M37</f>
        <v>-5.6854543496951391E-4</v>
      </c>
      <c r="Z65" s="62">
        <f>$Z$6*Yield!M36</f>
        <v>-6.5747946747271948E-4</v>
      </c>
      <c r="AA65" s="62">
        <f>$AA$6*Yield!M35</f>
        <v>-6.7624803863035993E-4</v>
      </c>
      <c r="AB65" s="62">
        <f>$AB$6*Yield!M34</f>
        <v>-7.3084236208521337E-4</v>
      </c>
      <c r="AC65" s="62">
        <f>$AC$6*Yield!M33</f>
        <v>-7.8055971241014911E-4</v>
      </c>
      <c r="AD65" s="62">
        <f>AD$6*Yield!M32</f>
        <v>-8.0521125805622874E-4</v>
      </c>
      <c r="AE65" s="62">
        <f>AE$6*Yield!M31</f>
        <v>-8.8112672643379743E-4</v>
      </c>
      <c r="AF65" s="62">
        <f>AF$6*Yield!M30</f>
        <v>-8.9893717747154694E-4</v>
      </c>
      <c r="AG65" s="62">
        <f>AG$6*Yield!M29</f>
        <v>-9.2715366825739647E-4</v>
      </c>
      <c r="AH65" s="62">
        <f>AH$6*Yield!M28</f>
        <v>-9.8951074852962444E-4</v>
      </c>
      <c r="AI65" s="62">
        <f>AI$6*Yield!M27</f>
        <v>-1.0244218846918308E-3</v>
      </c>
      <c r="AJ65" s="62">
        <f>AJ$6*Yield!M26</f>
        <v>-1.0354809808351577E-3</v>
      </c>
      <c r="AK65" s="62">
        <f>AK$6*Yield!M25</f>
        <v>-1.0799779316950329E-3</v>
      </c>
      <c r="AL65" s="62">
        <f>AL$6*Yield!M24</f>
        <v>-1.1540026687392219E-3</v>
      </c>
      <c r="AM65" s="62">
        <f>AM$6*Yield!M23</f>
        <v>-1.1815854742604067E-3</v>
      </c>
      <c r="AN65" s="62">
        <f>AN$6*Yield!M22</f>
        <v>-1.1815434376664094E-3</v>
      </c>
      <c r="AO65" s="62">
        <f>AO$6*Yield!M21</f>
        <v>-1.1587161913430536E-3</v>
      </c>
      <c r="AP65" s="62">
        <f>AP$6*Yield!M20</f>
        <v>-1.142245888483287E-3</v>
      </c>
      <c r="AQ65" s="62">
        <f>AQ$6*Yield!M19</f>
        <v>-1.1079978481301823E-3</v>
      </c>
      <c r="AR65" s="62">
        <f>AR$6*Yield!M18</f>
        <v>-1.0584522192053439E-3</v>
      </c>
      <c r="AS65" s="62">
        <f>AS$6*Yield!M17</f>
        <v>-1.016118510336534E-3</v>
      </c>
      <c r="AT65" s="62">
        <f>AT$6*Yield!M16</f>
        <v>-8.9458286485683794E-4</v>
      </c>
      <c r="AU65" s="62">
        <f>AU$6*Yield!M15</f>
        <v>-8.5707815816541267E-4</v>
      </c>
      <c r="AV65" s="62">
        <f>AV$6*Yield!M14</f>
        <v>-7.8598001125651518E-4</v>
      </c>
      <c r="AW65" s="62">
        <f>AW$6*Yield!M13</f>
        <v>-6.9504055648827296E-4</v>
      </c>
      <c r="AX65" s="62">
        <f>AX$6*Yield!M12</f>
        <v>-6.0459393498919658E-4</v>
      </c>
      <c r="AY65" s="62">
        <f>AY$6*Yield!M11</f>
        <v>-5.1134380123309142E-4</v>
      </c>
      <c r="AZ65" s="62">
        <f>AZ$6*Yield!M10</f>
        <v>-4.1685801991537879E-4</v>
      </c>
      <c r="BA65" s="62">
        <f>BA$6*Yield!M9</f>
        <v>-3.2189952264036523E-4</v>
      </c>
      <c r="BB65" s="62">
        <f>BB$6*Yield!M8</f>
        <v>-2.2852468894006165E-4</v>
      </c>
      <c r="BC65" s="62">
        <f>BC$6*Yield!M7</f>
        <v>-1.4913497554132707E-4</v>
      </c>
      <c r="BD65" s="62">
        <f>BD$6*Yield!M6</f>
        <v>-8.2254037137867911E-5</v>
      </c>
      <c r="BE65" s="62">
        <f>BE$6*Yield!M5</f>
        <v>-6.9095443440379741E-5</v>
      </c>
      <c r="BF65" s="62"/>
      <c r="BG65" s="62"/>
      <c r="BH65" s="62"/>
      <c r="BI65"/>
      <c r="BJ65" s="61">
        <v>2077</v>
      </c>
      <c r="BK65" s="65">
        <f t="shared" si="8"/>
        <v>-7.8315191519803512E-2</v>
      </c>
      <c r="BL65" s="65">
        <f t="shared" si="9"/>
        <v>-17.591367308219013</v>
      </c>
      <c r="BM65" s="60">
        <f t="shared" ca="1" si="10"/>
        <v>-8.6465657535649694</v>
      </c>
      <c r="BN65" s="65">
        <f t="shared" ca="1" si="11"/>
        <v>-26.316248253303783</v>
      </c>
      <c r="BO65"/>
      <c r="BP65"/>
      <c r="BQ65"/>
      <c r="BR65"/>
      <c r="BS65"/>
      <c r="BT65"/>
      <c r="BU65"/>
      <c r="BV65"/>
      <c r="BW65"/>
      <c r="BX65"/>
      <c r="BY65"/>
      <c r="BZ65"/>
      <c r="CA65"/>
      <c r="CB65"/>
      <c r="CC65"/>
      <c r="CD65"/>
      <c r="CE65"/>
      <c r="CF65"/>
    </row>
    <row r="66" spans="1:84" s="19" customFormat="1" x14ac:dyDescent="0.25">
      <c r="A66" s="61">
        <v>2078</v>
      </c>
      <c r="B66" s="62">
        <f>$B$6*Yield!M61</f>
        <v>-1.53352351987791E-2</v>
      </c>
      <c r="C66" s="62">
        <f>$C$6*Yield!M60</f>
        <v>-1.7369599226418286E-2</v>
      </c>
      <c r="D66" s="62">
        <f>$D$6*Yield!M59</f>
        <v>-7.8079805056230659E-3</v>
      </c>
      <c r="E66" s="62">
        <f>$E$6*Yield!M58</f>
        <v>-4.9078734606773557E-3</v>
      </c>
      <c r="F66" s="62">
        <f>$F$6*Yield!M57</f>
        <v>-8.9234062921406468E-4</v>
      </c>
      <c r="G66" s="62">
        <f>$G$6*Yield!M56</f>
        <v>-4.4617031460703234E-4</v>
      </c>
      <c r="H66" s="62">
        <f>$H$6*Yield!M55</f>
        <v>-2.2308515730351075E-4</v>
      </c>
      <c r="I66" s="62">
        <f>$I$6*Yield!M54</f>
        <v>-1.9269615154229132E-4</v>
      </c>
      <c r="J66" s="62">
        <f>$J$6*Yield!M53</f>
        <v>-2.1090855878098187E-4</v>
      </c>
      <c r="K66" s="62">
        <f>$K$6*Yield!M52</f>
        <v>-2.3360258744621045E-4</v>
      </c>
      <c r="L66" s="62">
        <f>$L$6*Yield!M51</f>
        <v>-2.0158430473272743E-4</v>
      </c>
      <c r="M66" s="62">
        <f>$M$6*Yield!M50</f>
        <v>-2.7724292844025201E-4</v>
      </c>
      <c r="N66" s="62">
        <f>$N$6*Yield!M49</f>
        <v>-2.4815356501050874E-4</v>
      </c>
      <c r="O66" s="62">
        <f>$O$6*Yield!M48</f>
        <v>-2.7836151612139776E-4</v>
      </c>
      <c r="P66" s="62">
        <f>$P$6*Yield!M47</f>
        <v>-3.0204709966281007E-4</v>
      </c>
      <c r="Q66" s="62">
        <f>$Q$6*Yield!M46</f>
        <v>-3.3663574973128753E-4</v>
      </c>
      <c r="R66" s="62">
        <f>$R$6*Yield!M45</f>
        <v>-3.6157509144907427E-4</v>
      </c>
      <c r="S66" s="62">
        <f>$S$6*Yield!M44</f>
        <v>-3.5383654141590338E-4</v>
      </c>
      <c r="T66" s="62">
        <f>$T$6*Yield!M43</f>
        <v>-3.8565385319212038E-4</v>
      </c>
      <c r="U66" s="62">
        <f>$U$6*Yield!M42</f>
        <v>-4.6679394193556477E-4</v>
      </c>
      <c r="V66" s="62">
        <f>$V$6*Yield!M41</f>
        <v>-4.249017818525741E-4</v>
      </c>
      <c r="W66" s="62">
        <f>$W$6*Yield!M40</f>
        <v>-5.0403526613723194E-4</v>
      </c>
      <c r="X66" s="62">
        <f>$X$6*Yield!M39</f>
        <v>-5.1212540442199263E-4</v>
      </c>
      <c r="Y66" s="62">
        <f>$Y$6*Yield!M38</f>
        <v>-5.9329419830360039E-4</v>
      </c>
      <c r="Z66" s="62">
        <f>$Z$6*Yield!M37</f>
        <v>-5.6854543496951391E-4</v>
      </c>
      <c r="AA66" s="62">
        <f>$AA$6*Yield!M36</f>
        <v>-6.5747946747271948E-4</v>
      </c>
      <c r="AB66" s="62">
        <f>$AB$6*Yield!M35</f>
        <v>-6.7624803863035993E-4</v>
      </c>
      <c r="AC66" s="62">
        <f>$AC$6*Yield!M34</f>
        <v>-7.3084236208521337E-4</v>
      </c>
      <c r="AD66" s="62">
        <f>AD$6*Yield!M33</f>
        <v>-7.8055971241014911E-4</v>
      </c>
      <c r="AE66" s="62">
        <f>AE$6*Yield!M32</f>
        <v>-8.0521125805622874E-4</v>
      </c>
      <c r="AF66" s="62">
        <f>AF$6*Yield!M31</f>
        <v>-8.8112672643379743E-4</v>
      </c>
      <c r="AG66" s="62">
        <f>AG$6*Yield!M30</f>
        <v>-8.9893717747154694E-4</v>
      </c>
      <c r="AH66" s="62">
        <f>AH$6*Yield!M29</f>
        <v>-9.2715366825739647E-4</v>
      </c>
      <c r="AI66" s="62">
        <f>AI$6*Yield!M28</f>
        <v>-9.8951074852962444E-4</v>
      </c>
      <c r="AJ66" s="62">
        <f>AJ$6*Yield!M27</f>
        <v>-1.0244218846918308E-3</v>
      </c>
      <c r="AK66" s="62">
        <f>AK$6*Yield!M26</f>
        <v>-1.0354809808351577E-3</v>
      </c>
      <c r="AL66" s="62">
        <f>AL$6*Yield!M25</f>
        <v>-1.0799779316950329E-3</v>
      </c>
      <c r="AM66" s="62">
        <f>AM$6*Yield!M24</f>
        <v>-1.1540026687392219E-3</v>
      </c>
      <c r="AN66" s="62">
        <f>AN$6*Yield!M23</f>
        <v>-1.1815854742604067E-3</v>
      </c>
      <c r="AO66" s="62">
        <f>AO$6*Yield!M22</f>
        <v>-1.1815434376664094E-3</v>
      </c>
      <c r="AP66" s="62">
        <f>AP$6*Yield!M21</f>
        <v>-1.1587161913430536E-3</v>
      </c>
      <c r="AQ66" s="62">
        <f>AQ$6*Yield!M20</f>
        <v>-1.142245888483287E-3</v>
      </c>
      <c r="AR66" s="62">
        <f>AR$6*Yield!M19</f>
        <v>-1.1079978481301823E-3</v>
      </c>
      <c r="AS66" s="62">
        <f>AS$6*Yield!M18</f>
        <v>-1.0584522192053439E-3</v>
      </c>
      <c r="AT66" s="62">
        <f>AT$6*Yield!M17</f>
        <v>-1.016118510336534E-3</v>
      </c>
      <c r="AU66" s="62">
        <f>AU$6*Yield!M16</f>
        <v>-8.9458286485683794E-4</v>
      </c>
      <c r="AV66" s="62">
        <f>AV$6*Yield!M15</f>
        <v>-8.5707815816541267E-4</v>
      </c>
      <c r="AW66" s="62">
        <f>AW$6*Yield!M14</f>
        <v>-7.8598001125651518E-4</v>
      </c>
      <c r="AX66" s="62">
        <f>AX$6*Yield!M13</f>
        <v>-6.9504055648827296E-4</v>
      </c>
      <c r="AY66" s="62">
        <f>AY$6*Yield!M12</f>
        <v>-6.0459393498919658E-4</v>
      </c>
      <c r="AZ66" s="62">
        <f>AZ$6*Yield!M11</f>
        <v>-5.1134380123309142E-4</v>
      </c>
      <c r="BA66" s="62">
        <f>BA$6*Yield!M10</f>
        <v>-4.1685801991537879E-4</v>
      </c>
      <c r="BB66" s="62">
        <f>BB$6*Yield!M9</f>
        <v>-3.2189952264036523E-4</v>
      </c>
      <c r="BC66" s="62">
        <f>BC$6*Yield!M8</f>
        <v>-2.2852468894006165E-4</v>
      </c>
      <c r="BD66" s="62">
        <f>BD$6*Yield!M7</f>
        <v>-1.4913497554132707E-4</v>
      </c>
      <c r="BE66" s="62">
        <f>BE$6*Yield!M6</f>
        <v>-8.2254037137867911E-5</v>
      </c>
      <c r="BF66" s="62">
        <f>BF$6*Yield!M5</f>
        <v>-6.9095443440379741E-5</v>
      </c>
      <c r="BG66" s="62"/>
      <c r="BH66" s="62"/>
      <c r="BI66"/>
      <c r="BJ66" s="61">
        <v>2078</v>
      </c>
      <c r="BK66" s="65">
        <f t="shared" si="8"/>
        <v>-7.8538276677106653E-2</v>
      </c>
      <c r="BL66" s="65">
        <f t="shared" si="9"/>
        <v>-17.836359105829892</v>
      </c>
      <c r="BM66" s="60">
        <f t="shared" ca="1" si="10"/>
        <v>-8.6465657535649694</v>
      </c>
      <c r="BN66" s="65">
        <f t="shared" ca="1" si="11"/>
        <v>-26.561463136071971</v>
      </c>
      <c r="BO66"/>
      <c r="BP66"/>
      <c r="BQ66"/>
      <c r="BR66"/>
      <c r="BS66"/>
      <c r="BT66"/>
      <c r="BU66"/>
      <c r="BV66"/>
      <c r="BW66"/>
      <c r="BX66"/>
      <c r="BY66"/>
      <c r="BZ66"/>
      <c r="CA66"/>
      <c r="CB66"/>
      <c r="CC66"/>
      <c r="CD66"/>
      <c r="CE66"/>
      <c r="CF66"/>
    </row>
    <row r="67" spans="1:84" s="19" customFormat="1" x14ac:dyDescent="0.25">
      <c r="A67" s="61">
        <v>2079</v>
      </c>
      <c r="B67" s="62">
        <f>$B$6*Yield!M62</f>
        <v>-1.5335235198779473E-2</v>
      </c>
      <c r="C67" s="62">
        <f>$C$6*Yield!M61</f>
        <v>-1.7369599226417867E-2</v>
      </c>
      <c r="D67" s="62">
        <f>$D$6*Yield!M60</f>
        <v>-7.8079805056230659E-3</v>
      </c>
      <c r="E67" s="62">
        <f>$E$6*Yield!M59</f>
        <v>-4.9078734606773557E-3</v>
      </c>
      <c r="F67" s="62">
        <f>$F$6*Yield!M58</f>
        <v>-8.9234062921406468E-4</v>
      </c>
      <c r="G67" s="62">
        <f>$G$6*Yield!M57</f>
        <v>-4.4617031460703234E-4</v>
      </c>
      <c r="H67" s="62">
        <f>$H$6*Yield!M56</f>
        <v>-2.2308515730351617E-4</v>
      </c>
      <c r="I67" s="62">
        <f>$I$6*Yield!M55</f>
        <v>-2.2308515730351075E-4</v>
      </c>
      <c r="J67" s="62">
        <f>$J$6*Yield!M54</f>
        <v>-1.9269615154229132E-4</v>
      </c>
      <c r="K67" s="62">
        <f>$K$6*Yield!M53</f>
        <v>-2.1090855878098187E-4</v>
      </c>
      <c r="L67" s="62">
        <f>$L$6*Yield!M52</f>
        <v>-2.3360258744621045E-4</v>
      </c>
      <c r="M67" s="62">
        <f>$M$6*Yield!M51</f>
        <v>-2.0158430473272743E-4</v>
      </c>
      <c r="N67" s="62">
        <f>$N$6*Yield!M50</f>
        <v>-2.7724292844025201E-4</v>
      </c>
      <c r="O67" s="62">
        <f>$O$6*Yield!M49</f>
        <v>-2.4815356501050874E-4</v>
      </c>
      <c r="P67" s="62">
        <f>$P$6*Yield!M48</f>
        <v>-2.7836151612139776E-4</v>
      </c>
      <c r="Q67" s="62">
        <f>$Q$6*Yield!M47</f>
        <v>-3.0204709966281007E-4</v>
      </c>
      <c r="R67" s="62">
        <f>$R$6*Yield!M46</f>
        <v>-3.3663574973128753E-4</v>
      </c>
      <c r="S67" s="62">
        <f>$S$6*Yield!M45</f>
        <v>-3.6157509144907427E-4</v>
      </c>
      <c r="T67" s="62">
        <f>$T$6*Yield!M44</f>
        <v>-3.5383654141590338E-4</v>
      </c>
      <c r="U67" s="62">
        <f>$U$6*Yield!M43</f>
        <v>-3.8565385319212038E-4</v>
      </c>
      <c r="V67" s="62">
        <f>$V$6*Yield!M42</f>
        <v>-4.6679394193556477E-4</v>
      </c>
      <c r="W67" s="62">
        <f>$W$6*Yield!M41</f>
        <v>-4.249017818525741E-4</v>
      </c>
      <c r="X67" s="62">
        <f>$X$6*Yield!M40</f>
        <v>-5.0403526613723194E-4</v>
      </c>
      <c r="Y67" s="62">
        <f>$Y$6*Yield!M39</f>
        <v>-5.1212540442199263E-4</v>
      </c>
      <c r="Z67" s="62">
        <f>$Z$6*Yield!M38</f>
        <v>-5.9329419830360039E-4</v>
      </c>
      <c r="AA67" s="62">
        <f>$AA$6*Yield!M37</f>
        <v>-5.6854543496951391E-4</v>
      </c>
      <c r="AB67" s="62">
        <f>$AB$6*Yield!M36</f>
        <v>-6.5747946747271948E-4</v>
      </c>
      <c r="AC67" s="62">
        <f>$AC$6*Yield!M35</f>
        <v>-6.7624803863035993E-4</v>
      </c>
      <c r="AD67" s="62">
        <f>AD$6*Yield!M34</f>
        <v>-7.3084236208521337E-4</v>
      </c>
      <c r="AE67" s="62">
        <f>AE$6*Yield!M33</f>
        <v>-7.8055971241014911E-4</v>
      </c>
      <c r="AF67" s="62">
        <f>AF$6*Yield!M32</f>
        <v>-8.0521125805622874E-4</v>
      </c>
      <c r="AG67" s="62">
        <f>AG$6*Yield!M31</f>
        <v>-8.8112672643379743E-4</v>
      </c>
      <c r="AH67" s="62">
        <f>AH$6*Yield!M30</f>
        <v>-8.9893717747154694E-4</v>
      </c>
      <c r="AI67" s="62">
        <f>AI$6*Yield!M29</f>
        <v>-9.2715366825739647E-4</v>
      </c>
      <c r="AJ67" s="62">
        <f>AJ$6*Yield!M28</f>
        <v>-9.8951074852962444E-4</v>
      </c>
      <c r="AK67" s="62">
        <f>AK$6*Yield!M27</f>
        <v>-1.0244218846918308E-3</v>
      </c>
      <c r="AL67" s="62">
        <f>AL$6*Yield!M26</f>
        <v>-1.0354809808351577E-3</v>
      </c>
      <c r="AM67" s="62">
        <f>AM$6*Yield!M25</f>
        <v>-1.0799779316950329E-3</v>
      </c>
      <c r="AN67" s="62">
        <f>AN$6*Yield!M24</f>
        <v>-1.1540026687392219E-3</v>
      </c>
      <c r="AO67" s="62">
        <f>AO$6*Yield!M23</f>
        <v>-1.1815854742604067E-3</v>
      </c>
      <c r="AP67" s="62">
        <f>AP$6*Yield!M22</f>
        <v>-1.1815434376664094E-3</v>
      </c>
      <c r="AQ67" s="62">
        <f>AQ$6*Yield!M21</f>
        <v>-1.1587161913430536E-3</v>
      </c>
      <c r="AR67" s="62">
        <f>AR$6*Yield!M20</f>
        <v>-1.142245888483287E-3</v>
      </c>
      <c r="AS67" s="62">
        <f>AS$6*Yield!M19</f>
        <v>-1.1079978481301823E-3</v>
      </c>
      <c r="AT67" s="62">
        <f>AT$6*Yield!M18</f>
        <v>-1.0584522192053439E-3</v>
      </c>
      <c r="AU67" s="62">
        <f>AU$6*Yield!M17</f>
        <v>-1.016118510336534E-3</v>
      </c>
      <c r="AV67" s="62">
        <f>AV$6*Yield!M16</f>
        <v>-8.9458286485683794E-4</v>
      </c>
      <c r="AW67" s="62">
        <f>AW$6*Yield!M15</f>
        <v>-8.5707815816541267E-4</v>
      </c>
      <c r="AX67" s="62">
        <f>AX$6*Yield!M14</f>
        <v>-7.8598001125651518E-4</v>
      </c>
      <c r="AY67" s="62">
        <f>AY$6*Yield!M13</f>
        <v>-6.9504055648827296E-4</v>
      </c>
      <c r="AZ67" s="62">
        <f>AZ$6*Yield!M12</f>
        <v>-6.0459393498919658E-4</v>
      </c>
      <c r="BA67" s="62">
        <f>BA$6*Yield!M11</f>
        <v>-5.1134380123309142E-4</v>
      </c>
      <c r="BB67" s="62">
        <f>BB$6*Yield!M10</f>
        <v>-4.1685801991537879E-4</v>
      </c>
      <c r="BC67" s="62">
        <f>BC$6*Yield!M9</f>
        <v>-3.2189952264036523E-4</v>
      </c>
      <c r="BD67" s="62">
        <f>BD$6*Yield!M8</f>
        <v>-2.2852468894006165E-4</v>
      </c>
      <c r="BE67" s="62">
        <f>BE$6*Yield!M7</f>
        <v>-1.4913497554132707E-4</v>
      </c>
      <c r="BF67" s="62">
        <f>BF$6*Yield!M6</f>
        <v>-8.2254037137867911E-5</v>
      </c>
      <c r="BG67" s="62">
        <f>BG$6*Yield!M5</f>
        <v>-6.9095443440379741E-5</v>
      </c>
      <c r="BH67" s="62"/>
      <c r="BI67"/>
      <c r="BJ67" s="61">
        <v>2079</v>
      </c>
      <c r="BK67" s="65">
        <f t="shared" si="8"/>
        <v>-7.8761361834410126E-2</v>
      </c>
      <c r="BL67" s="65">
        <f t="shared" si="9"/>
        <v>-18.081350903440779</v>
      </c>
      <c r="BM67" s="60">
        <f t="shared" ca="1" si="10"/>
        <v>-8.6465657535649694</v>
      </c>
      <c r="BN67" s="65">
        <f t="shared" ca="1" si="11"/>
        <v>-26.806678018840159</v>
      </c>
      <c r="BO67"/>
      <c r="BP67"/>
      <c r="BQ67"/>
      <c r="BR67"/>
      <c r="BS67"/>
      <c r="BT67"/>
      <c r="BU67"/>
      <c r="BV67"/>
      <c r="BW67"/>
      <c r="BX67"/>
      <c r="BY67"/>
      <c r="BZ67"/>
      <c r="CA67"/>
      <c r="CB67"/>
      <c r="CC67"/>
      <c r="CD67"/>
      <c r="CE67"/>
      <c r="CF67"/>
    </row>
    <row r="68" spans="1:84" s="19" customFormat="1" x14ac:dyDescent="0.25">
      <c r="A68" s="61">
        <v>2080</v>
      </c>
      <c r="B68" s="62">
        <f>$B$6*Yield!M63</f>
        <v>-1.5335235198779473E-2</v>
      </c>
      <c r="C68" s="62">
        <f>$C$6*Yield!M62</f>
        <v>-1.7369599226418286E-2</v>
      </c>
      <c r="D68" s="62">
        <f>$D$6*Yield!M61</f>
        <v>-7.807980505622876E-3</v>
      </c>
      <c r="E68" s="62">
        <f>$E$6*Yield!M60</f>
        <v>-4.9078734606773557E-3</v>
      </c>
      <c r="F68" s="62">
        <f>$F$6*Yield!M59</f>
        <v>-8.9234062921406468E-4</v>
      </c>
      <c r="G68" s="62">
        <f>$G$6*Yield!M58</f>
        <v>-4.4617031460703234E-4</v>
      </c>
      <c r="H68" s="62">
        <f>$H$6*Yield!M57</f>
        <v>-2.2308515730351617E-4</v>
      </c>
      <c r="I68" s="62">
        <f>$I$6*Yield!M56</f>
        <v>-2.2308515730351617E-4</v>
      </c>
      <c r="J68" s="62">
        <f>$J$6*Yield!M55</f>
        <v>-2.2308515730351075E-4</v>
      </c>
      <c r="K68" s="62">
        <f>$K$6*Yield!M54</f>
        <v>-1.9269615154229132E-4</v>
      </c>
      <c r="L68" s="62">
        <f>$L$6*Yield!M53</f>
        <v>-2.1090855878098187E-4</v>
      </c>
      <c r="M68" s="62">
        <f>$M$6*Yield!M52</f>
        <v>-2.3360258744621045E-4</v>
      </c>
      <c r="N68" s="62">
        <f>$N$6*Yield!M51</f>
        <v>-2.0158430473272743E-4</v>
      </c>
      <c r="O68" s="62">
        <f>$O$6*Yield!M50</f>
        <v>-2.7724292844025201E-4</v>
      </c>
      <c r="P68" s="62">
        <f>$P$6*Yield!M49</f>
        <v>-2.4815356501050874E-4</v>
      </c>
      <c r="Q68" s="62">
        <f>$Q$6*Yield!M48</f>
        <v>-2.7836151612139776E-4</v>
      </c>
      <c r="R68" s="62">
        <f>$R$6*Yield!M47</f>
        <v>-3.0204709966281007E-4</v>
      </c>
      <c r="S68" s="62">
        <f>$S$6*Yield!M46</f>
        <v>-3.3663574973128753E-4</v>
      </c>
      <c r="T68" s="62">
        <f>$T$6*Yield!M45</f>
        <v>-3.6157509144907427E-4</v>
      </c>
      <c r="U68" s="62">
        <f>$U$6*Yield!M44</f>
        <v>-3.5383654141590338E-4</v>
      </c>
      <c r="V68" s="62">
        <f>$V$6*Yield!M43</f>
        <v>-3.8565385319212038E-4</v>
      </c>
      <c r="W68" s="62">
        <f>$W$6*Yield!M42</f>
        <v>-4.6679394193556477E-4</v>
      </c>
      <c r="X68" s="62">
        <f>$X$6*Yield!M41</f>
        <v>-4.249017818525741E-4</v>
      </c>
      <c r="Y68" s="62">
        <f>$Y$6*Yield!M40</f>
        <v>-5.0403526613723194E-4</v>
      </c>
      <c r="Z68" s="62">
        <f>$Z$6*Yield!M39</f>
        <v>-5.1212540442199263E-4</v>
      </c>
      <c r="AA68" s="62">
        <f>$AA$6*Yield!M38</f>
        <v>-5.9329419830360039E-4</v>
      </c>
      <c r="AB68" s="62">
        <f>$AB$6*Yield!M37</f>
        <v>-5.6854543496951391E-4</v>
      </c>
      <c r="AC68" s="62">
        <f>$AC$6*Yield!M36</f>
        <v>-6.5747946747271948E-4</v>
      </c>
      <c r="AD68" s="62">
        <f>AD$6*Yield!M35</f>
        <v>-6.7624803863035993E-4</v>
      </c>
      <c r="AE68" s="62">
        <f>AE$6*Yield!M34</f>
        <v>-7.3084236208521337E-4</v>
      </c>
      <c r="AF68" s="62">
        <f>AF$6*Yield!M33</f>
        <v>-7.8055971241014911E-4</v>
      </c>
      <c r="AG68" s="62">
        <f>AG$6*Yield!M32</f>
        <v>-8.0521125805622874E-4</v>
      </c>
      <c r="AH68" s="62">
        <f>AH$6*Yield!M31</f>
        <v>-8.8112672643379743E-4</v>
      </c>
      <c r="AI68" s="62">
        <f>AI$6*Yield!M30</f>
        <v>-8.9893717747154694E-4</v>
      </c>
      <c r="AJ68" s="62">
        <f>AJ$6*Yield!M29</f>
        <v>-9.2715366825739647E-4</v>
      </c>
      <c r="AK68" s="62">
        <f>AK$6*Yield!M28</f>
        <v>-9.8951074852962444E-4</v>
      </c>
      <c r="AL68" s="62">
        <f>AL$6*Yield!M27</f>
        <v>-1.0244218846918308E-3</v>
      </c>
      <c r="AM68" s="62">
        <f>AM$6*Yield!M26</f>
        <v>-1.0354809808351577E-3</v>
      </c>
      <c r="AN68" s="62">
        <f>AN$6*Yield!M25</f>
        <v>-1.0799779316950329E-3</v>
      </c>
      <c r="AO68" s="62">
        <f>AO$6*Yield!M24</f>
        <v>-1.1540026687392219E-3</v>
      </c>
      <c r="AP68" s="62">
        <f>AP$6*Yield!M23</f>
        <v>-1.1815854742604067E-3</v>
      </c>
      <c r="AQ68" s="62">
        <f>AQ$6*Yield!M22</f>
        <v>-1.1815434376664094E-3</v>
      </c>
      <c r="AR68" s="62">
        <f>AR$6*Yield!M21</f>
        <v>-1.1587161913430536E-3</v>
      </c>
      <c r="AS68" s="62">
        <f>AS$6*Yield!M20</f>
        <v>-1.142245888483287E-3</v>
      </c>
      <c r="AT68" s="62">
        <f>AT$6*Yield!M19</f>
        <v>-1.1079978481301823E-3</v>
      </c>
      <c r="AU68" s="62">
        <f>AU$6*Yield!M18</f>
        <v>-1.0584522192053439E-3</v>
      </c>
      <c r="AV68" s="62">
        <f>AV$6*Yield!M17</f>
        <v>-1.016118510336534E-3</v>
      </c>
      <c r="AW68" s="62">
        <f>AW$6*Yield!M16</f>
        <v>-8.9458286485683794E-4</v>
      </c>
      <c r="AX68" s="62">
        <f>AX$6*Yield!M15</f>
        <v>-8.5707815816541267E-4</v>
      </c>
      <c r="AY68" s="62">
        <f>AY$6*Yield!M14</f>
        <v>-7.8598001125651518E-4</v>
      </c>
      <c r="AZ68" s="62">
        <f>AZ$6*Yield!M13</f>
        <v>-6.9504055648827296E-4</v>
      </c>
      <c r="BA68" s="62">
        <f>BA$6*Yield!M12</f>
        <v>-6.0459393498919658E-4</v>
      </c>
      <c r="BB68" s="62">
        <f>BB$6*Yield!M11</f>
        <v>-5.1134380123309142E-4</v>
      </c>
      <c r="BC68" s="62">
        <f>BC$6*Yield!M10</f>
        <v>-4.1685801991537879E-4</v>
      </c>
      <c r="BD68" s="62">
        <f>BD$6*Yield!M9</f>
        <v>-3.2189952264036523E-4</v>
      </c>
      <c r="BE68" s="62">
        <f>BE$6*Yield!M8</f>
        <v>-2.2852468894006165E-4</v>
      </c>
      <c r="BF68" s="62">
        <f>BF$6*Yield!M7</f>
        <v>-1.4913497554132707E-4</v>
      </c>
      <c r="BG68" s="62">
        <f>BG$6*Yield!M6</f>
        <v>-8.2254037137867911E-5</v>
      </c>
      <c r="BH68" s="62">
        <f>BH$6*Yield!M5</f>
        <v>-6.9095443440379741E-5</v>
      </c>
      <c r="BI68" s="23"/>
      <c r="BJ68" s="61">
        <v>2080</v>
      </c>
      <c r="BK68" s="65">
        <f t="shared" si="8"/>
        <v>-7.8984446991713878E-2</v>
      </c>
      <c r="BL68" s="65">
        <f t="shared" si="9"/>
        <v>-18.326342701051665</v>
      </c>
      <c r="BM68" s="60">
        <f t="shared" ca="1" si="10"/>
        <v>-8.6465657535649694</v>
      </c>
      <c r="BN68" s="65">
        <f t="shared" ca="1" si="11"/>
        <v>-27.051892901608348</v>
      </c>
      <c r="BO68"/>
      <c r="BP68"/>
      <c r="BQ68"/>
      <c r="BR68"/>
      <c r="BS68"/>
      <c r="BT68"/>
      <c r="BU68"/>
      <c r="BV68"/>
      <c r="BW68"/>
      <c r="BX68"/>
      <c r="BY68"/>
      <c r="BZ68"/>
      <c r="CA68"/>
      <c r="CB68"/>
      <c r="CC68"/>
      <c r="CD68"/>
      <c r="CE68"/>
      <c r="CF68"/>
    </row>
    <row r="69" spans="1:84" x14ac:dyDescent="0.25">
      <c r="BL69" s="59"/>
      <c r="BM69" s="59"/>
    </row>
    <row r="70" spans="1:84" s="19" customFormat="1" x14ac:dyDescent="0.25">
      <c r="A70" s="64" t="s">
        <v>358</v>
      </c>
      <c r="B70" s="4">
        <f t="shared" ref="B70:AG70" si="12">B9</f>
        <v>2022</v>
      </c>
      <c r="C70" s="4">
        <f t="shared" si="12"/>
        <v>2023</v>
      </c>
      <c r="D70" s="4">
        <f t="shared" si="12"/>
        <v>2024</v>
      </c>
      <c r="E70" s="4">
        <f t="shared" si="12"/>
        <v>2025</v>
      </c>
      <c r="F70" s="4">
        <f t="shared" si="12"/>
        <v>2026</v>
      </c>
      <c r="G70" s="4">
        <f t="shared" si="12"/>
        <v>2027</v>
      </c>
      <c r="H70" s="4">
        <f t="shared" si="12"/>
        <v>2028</v>
      </c>
      <c r="I70" s="4">
        <f t="shared" si="12"/>
        <v>2029</v>
      </c>
      <c r="J70" s="4">
        <f t="shared" si="12"/>
        <v>2030</v>
      </c>
      <c r="K70" s="4">
        <f t="shared" si="12"/>
        <v>2031</v>
      </c>
      <c r="L70" s="4">
        <f t="shared" si="12"/>
        <v>2032</v>
      </c>
      <c r="M70" s="4">
        <f t="shared" si="12"/>
        <v>2033</v>
      </c>
      <c r="N70" s="4">
        <f t="shared" si="12"/>
        <v>2034</v>
      </c>
      <c r="O70" s="4">
        <f t="shared" si="12"/>
        <v>2035</v>
      </c>
      <c r="P70" s="4">
        <f t="shared" si="12"/>
        <v>2036</v>
      </c>
      <c r="Q70" s="4">
        <f t="shared" si="12"/>
        <v>2037</v>
      </c>
      <c r="R70" s="4">
        <f t="shared" si="12"/>
        <v>2038</v>
      </c>
      <c r="S70" s="4">
        <f t="shared" si="12"/>
        <v>2039</v>
      </c>
      <c r="T70" s="4">
        <f t="shared" si="12"/>
        <v>2040</v>
      </c>
      <c r="U70" s="4">
        <f t="shared" si="12"/>
        <v>2041</v>
      </c>
      <c r="V70" s="4">
        <f t="shared" si="12"/>
        <v>2042</v>
      </c>
      <c r="W70" s="4">
        <f t="shared" si="12"/>
        <v>2043</v>
      </c>
      <c r="X70" s="4">
        <f t="shared" si="12"/>
        <v>2044</v>
      </c>
      <c r="Y70" s="4">
        <f t="shared" si="12"/>
        <v>2045</v>
      </c>
      <c r="Z70" s="4">
        <f t="shared" si="12"/>
        <v>2046</v>
      </c>
      <c r="AA70" s="4">
        <f t="shared" si="12"/>
        <v>2047</v>
      </c>
      <c r="AB70" s="4">
        <f t="shared" si="12"/>
        <v>2048</v>
      </c>
      <c r="AC70" s="4">
        <f t="shared" si="12"/>
        <v>2049</v>
      </c>
      <c r="AD70" s="4">
        <f t="shared" si="12"/>
        <v>2050</v>
      </c>
      <c r="AE70" s="4">
        <f t="shared" si="12"/>
        <v>2051</v>
      </c>
      <c r="AF70" s="4">
        <f t="shared" si="12"/>
        <v>2052</v>
      </c>
      <c r="AG70" s="4">
        <f t="shared" si="12"/>
        <v>2053</v>
      </c>
      <c r="AH70" s="4">
        <f t="shared" ref="AH70:BH70" si="13">AH9</f>
        <v>2054</v>
      </c>
      <c r="AI70" s="4">
        <f t="shared" si="13"/>
        <v>2055</v>
      </c>
      <c r="AJ70" s="4">
        <f t="shared" si="13"/>
        <v>2056</v>
      </c>
      <c r="AK70" s="4">
        <f t="shared" si="13"/>
        <v>2057</v>
      </c>
      <c r="AL70" s="4">
        <f t="shared" si="13"/>
        <v>2058</v>
      </c>
      <c r="AM70" s="4">
        <f t="shared" si="13"/>
        <v>2059</v>
      </c>
      <c r="AN70" s="4">
        <f t="shared" si="13"/>
        <v>2060</v>
      </c>
      <c r="AO70" s="4">
        <f t="shared" si="13"/>
        <v>2061</v>
      </c>
      <c r="AP70" s="4">
        <f t="shared" si="13"/>
        <v>2062</v>
      </c>
      <c r="AQ70" s="4">
        <f t="shared" si="13"/>
        <v>2063</v>
      </c>
      <c r="AR70" s="4">
        <f t="shared" si="13"/>
        <v>2064</v>
      </c>
      <c r="AS70" s="4">
        <f t="shared" si="13"/>
        <v>2065</v>
      </c>
      <c r="AT70" s="4">
        <f t="shared" si="13"/>
        <v>2066</v>
      </c>
      <c r="AU70" s="4">
        <f t="shared" si="13"/>
        <v>2067</v>
      </c>
      <c r="AV70" s="4">
        <f t="shared" si="13"/>
        <v>2068</v>
      </c>
      <c r="AW70" s="4">
        <f t="shared" si="13"/>
        <v>2069</v>
      </c>
      <c r="AX70" s="4">
        <f t="shared" si="13"/>
        <v>2070</v>
      </c>
      <c r="AY70" s="4">
        <f t="shared" si="13"/>
        <v>2071</v>
      </c>
      <c r="AZ70" s="4">
        <f t="shared" si="13"/>
        <v>2072</v>
      </c>
      <c r="BA70" s="4">
        <f t="shared" si="13"/>
        <v>2073</v>
      </c>
      <c r="BB70" s="4">
        <f t="shared" si="13"/>
        <v>2074</v>
      </c>
      <c r="BC70" s="4">
        <f t="shared" si="13"/>
        <v>2075</v>
      </c>
      <c r="BD70" s="4">
        <f t="shared" si="13"/>
        <v>2076</v>
      </c>
      <c r="BE70" s="4">
        <f t="shared" si="13"/>
        <v>2077</v>
      </c>
      <c r="BF70" s="4">
        <f t="shared" si="13"/>
        <v>2078</v>
      </c>
      <c r="BG70" s="4">
        <f t="shared" si="13"/>
        <v>2079</v>
      </c>
      <c r="BH70" s="4">
        <f t="shared" si="13"/>
        <v>2080</v>
      </c>
      <c r="BI70"/>
      <c r="BJ70" s="61" t="s">
        <v>246</v>
      </c>
      <c r="BK70" s="61" t="s">
        <v>359</v>
      </c>
      <c r="BL70" s="59"/>
      <c r="BM70" s="59"/>
      <c r="BO70"/>
      <c r="BP70"/>
      <c r="BQ70"/>
      <c r="BR70"/>
      <c r="BS70"/>
      <c r="BT70"/>
      <c r="BU70"/>
      <c r="BV70"/>
      <c r="BW70"/>
      <c r="BX70"/>
      <c r="BY70"/>
      <c r="BZ70"/>
      <c r="CA70"/>
      <c r="CB70"/>
      <c r="CC70"/>
      <c r="CD70"/>
      <c r="CE70"/>
      <c r="CF70"/>
    </row>
    <row r="71" spans="1:84" s="63" customFormat="1" x14ac:dyDescent="0.25">
      <c r="A71" s="61">
        <v>2022</v>
      </c>
      <c r="B71" s="62">
        <f>B$5*Yield!R5</f>
        <v>-6.361364183532503E-3</v>
      </c>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23"/>
      <c r="BJ71" s="61">
        <v>2022</v>
      </c>
      <c r="BK71" s="65">
        <f t="shared" ref="BK71:BK102" si="14">SUM(B71:BH71)</f>
        <v>-6.361364183532503E-3</v>
      </c>
      <c r="BL71" s="59"/>
      <c r="BM71" s="59"/>
      <c r="BN71" s="19"/>
      <c r="BO71"/>
      <c r="BP71"/>
      <c r="BQ71"/>
      <c r="BR71"/>
      <c r="BS71"/>
      <c r="BT71"/>
      <c r="BU71"/>
      <c r="BV71"/>
      <c r="BW71"/>
      <c r="BX71"/>
      <c r="BY71"/>
      <c r="BZ71"/>
      <c r="CA71"/>
      <c r="CB71"/>
      <c r="CC71"/>
      <c r="CD71"/>
      <c r="CE71"/>
      <c r="CF71"/>
    </row>
    <row r="72" spans="1:84" s="63" customFormat="1" x14ac:dyDescent="0.25">
      <c r="A72" s="61">
        <v>2023</v>
      </c>
      <c r="B72" s="62">
        <f>B$5*Yield!R6</f>
        <v>-2.6342273340642069E-2</v>
      </c>
      <c r="C72" s="62">
        <f>C$5*Yield!R5</f>
        <v>-5.0822855851425661E-3</v>
      </c>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23"/>
      <c r="BJ72" s="61">
        <v>2023</v>
      </c>
      <c r="BK72" s="65">
        <f t="shared" si="14"/>
        <v>-3.1424558925784635E-2</v>
      </c>
      <c r="BL72" s="59"/>
      <c r="BM72" s="59"/>
      <c r="BN72" s="19"/>
      <c r="BO72"/>
      <c r="BP72"/>
      <c r="BQ72"/>
      <c r="BR72"/>
      <c r="BS72"/>
      <c r="BT72"/>
      <c r="BU72"/>
      <c r="BV72"/>
      <c r="BW72"/>
      <c r="BX72"/>
      <c r="BY72"/>
      <c r="BZ72"/>
      <c r="CA72"/>
      <c r="CB72"/>
      <c r="CC72"/>
      <c r="CD72"/>
      <c r="CE72"/>
      <c r="CF72"/>
    </row>
    <row r="73" spans="1:84" s="63" customFormat="1" x14ac:dyDescent="0.25">
      <c r="A73" s="61">
        <v>2024</v>
      </c>
      <c r="B73" s="62">
        <f>B$5*Yield!R7</f>
        <v>-6.7644250209448489E-2</v>
      </c>
      <c r="C73" s="62">
        <f>C$5*Yield!R6</f>
        <v>-2.1045636158608785E-2</v>
      </c>
      <c r="D73" s="62">
        <f>D$5*Yield!R5</f>
        <v>-7.2466286749891537E-3</v>
      </c>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23"/>
      <c r="BJ73" s="61">
        <v>2024</v>
      </c>
      <c r="BK73" s="65">
        <f t="shared" si="14"/>
        <v>-9.5936515043046428E-2</v>
      </c>
      <c r="BL73" s="59"/>
      <c r="BM73" s="59"/>
      <c r="BN73" s="19"/>
      <c r="BO73"/>
      <c r="BP73"/>
      <c r="BQ73"/>
      <c r="BR73"/>
      <c r="BS73"/>
      <c r="BT73"/>
      <c r="BU73"/>
      <c r="BV73"/>
      <c r="BW73"/>
      <c r="BX73"/>
      <c r="BY73"/>
      <c r="BZ73"/>
      <c r="CA73"/>
      <c r="CB73"/>
      <c r="CC73"/>
      <c r="CD73"/>
      <c r="CE73"/>
      <c r="CF73"/>
    </row>
    <row r="74" spans="1:84" s="63" customFormat="1" x14ac:dyDescent="0.25">
      <c r="A74" s="61">
        <v>2025</v>
      </c>
      <c r="B74" s="62">
        <f>B$5*Yield!R8</f>
        <v>-0.23109647984404683</v>
      </c>
      <c r="C74" s="62">
        <f>C$5*Yield!R7</f>
        <v>-5.4043030368739219E-2</v>
      </c>
      <c r="D74" s="62">
        <f>D$5*Yield!R6</f>
        <v>-3.0008134709353384E-2</v>
      </c>
      <c r="E74" s="62">
        <f>E$5*Yield!R5</f>
        <v>-6.14714018637011E-3</v>
      </c>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23"/>
      <c r="BJ74" s="61">
        <v>2025</v>
      </c>
      <c r="BK74" s="65">
        <f t="shared" si="14"/>
        <v>-0.32129478510850956</v>
      </c>
      <c r="BL74" s="59"/>
      <c r="BM74" s="59"/>
      <c r="BN74" s="19"/>
      <c r="BO74"/>
      <c r="BP74"/>
      <c r="BQ74"/>
      <c r="BR74"/>
      <c r="BS74"/>
      <c r="BT74"/>
      <c r="BU74"/>
      <c r="BV74"/>
      <c r="BW74"/>
      <c r="BX74"/>
      <c r="BY74"/>
      <c r="BZ74"/>
      <c r="CA74"/>
      <c r="CB74"/>
      <c r="CC74"/>
      <c r="CD74"/>
      <c r="CE74"/>
      <c r="CF74"/>
    </row>
    <row r="75" spans="1:84" s="63" customFormat="1" x14ac:dyDescent="0.25">
      <c r="A75" s="61">
        <v>2026</v>
      </c>
      <c r="B75" s="62">
        <f>B$5*Yield!R9</f>
        <v>-0.39534428106651714</v>
      </c>
      <c r="C75" s="62">
        <f>C$5*Yield!R8</f>
        <v>-0.18462994326421081</v>
      </c>
      <c r="D75" s="62">
        <f>D$5*Yield!R7</f>
        <v>-7.705780538942883E-2</v>
      </c>
      <c r="E75" s="62">
        <f>E$5*Yield!R6</f>
        <v>-2.5455176339658388E-2</v>
      </c>
      <c r="F75" s="62">
        <f>F$5*Yield!R5</f>
        <v>-4.5978609524069116E-3</v>
      </c>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23"/>
      <c r="BJ75" s="61">
        <v>2026</v>
      </c>
      <c r="BK75" s="65">
        <f t="shared" si="14"/>
        <v>-0.68708506701222216</v>
      </c>
      <c r="BL75" s="59"/>
      <c r="BM75" s="59"/>
      <c r="BN75" s="19"/>
      <c r="BO75"/>
      <c r="BP75"/>
      <c r="BQ75"/>
      <c r="BR75"/>
      <c r="BS75"/>
      <c r="BT75"/>
      <c r="BU75"/>
      <c r="BV75"/>
      <c r="BW75"/>
      <c r="BX75"/>
      <c r="BY75"/>
      <c r="BZ75"/>
      <c r="CA75"/>
      <c r="CB75"/>
      <c r="CC75"/>
      <c r="CD75"/>
      <c r="CE75"/>
      <c r="CF75"/>
    </row>
    <row r="76" spans="1:84" s="63" customFormat="1" x14ac:dyDescent="0.25">
      <c r="A76" s="61">
        <v>2027</v>
      </c>
      <c r="B76" s="62">
        <f>B$5*Yield!R10</f>
        <v>-0.540317242905617</v>
      </c>
      <c r="C76" s="62">
        <f>C$5*Yield!R9</f>
        <v>-0.3158524622806867</v>
      </c>
      <c r="D76" s="62">
        <f>D$5*Yield!R8</f>
        <v>-0.26325648543469621</v>
      </c>
      <c r="E76" s="62">
        <f>E$5*Yield!R7</f>
        <v>-6.5366276295860323E-2</v>
      </c>
      <c r="F76" s="62">
        <f>F$5*Yield!R6</f>
        <v>-1.9039644091451802E-2</v>
      </c>
      <c r="G76" s="62">
        <f>G$5*Yield!R5</f>
        <v>-4.5978609524069116E-3</v>
      </c>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23"/>
      <c r="BJ76" s="61">
        <v>2027</v>
      </c>
      <c r="BK76" s="65">
        <f t="shared" si="14"/>
        <v>-1.2084299719607188</v>
      </c>
      <c r="BL76" s="59"/>
      <c r="BM76" s="59"/>
      <c r="BN76" s="19"/>
      <c r="BO76"/>
      <c r="BP76"/>
      <c r="BQ76"/>
      <c r="BR76"/>
      <c r="BS76"/>
      <c r="BT76"/>
      <c r="BU76"/>
      <c r="BV76"/>
      <c r="BW76"/>
      <c r="BX76"/>
      <c r="BY76"/>
      <c r="BZ76"/>
      <c r="CA76"/>
      <c r="CB76"/>
      <c r="CC76"/>
      <c r="CD76"/>
      <c r="CE76"/>
      <c r="CF76"/>
    </row>
    <row r="77" spans="1:84" s="63" customFormat="1" x14ac:dyDescent="0.25">
      <c r="A77" s="61">
        <v>2028</v>
      </c>
      <c r="B77" s="62">
        <f>B$5*Yield!R11</f>
        <v>-0.61354311810960305</v>
      </c>
      <c r="C77" s="62">
        <f>C$5*Yield!R10</f>
        <v>-0.43167573114770114</v>
      </c>
      <c r="D77" s="62">
        <f>D$5*Yield!R9</f>
        <v>-0.45036145094253849</v>
      </c>
      <c r="E77" s="62">
        <f>E$5*Yield!R8</f>
        <v>-0.22331412212736301</v>
      </c>
      <c r="F77" s="62">
        <f>F$5*Yield!R7</f>
        <v>-4.8891848936741054E-2</v>
      </c>
      <c r="G77" s="62">
        <f>G$5*Yield!R6</f>
        <v>-1.9039644091451802E-2</v>
      </c>
      <c r="H77" s="62">
        <f>H$5*Yield!R5</f>
        <v>-4.5978609524069116E-3</v>
      </c>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23"/>
      <c r="BJ77" s="61">
        <v>2028</v>
      </c>
      <c r="BK77" s="65">
        <f t="shared" si="14"/>
        <v>-1.7914237763078056</v>
      </c>
      <c r="BL77" s="59"/>
      <c r="BM77" s="59"/>
      <c r="BN77" s="19"/>
      <c r="BO77"/>
      <c r="BP77"/>
      <c r="BQ77"/>
      <c r="BR77"/>
      <c r="BS77"/>
      <c r="BT77"/>
      <c r="BU77"/>
      <c r="BV77"/>
      <c r="BW77"/>
      <c r="BX77"/>
      <c r="BY77"/>
      <c r="BZ77"/>
      <c r="CA77"/>
      <c r="CB77"/>
      <c r="CC77"/>
      <c r="CD77"/>
      <c r="CE77"/>
      <c r="CF77"/>
    </row>
    <row r="78" spans="1:84" s="63" customFormat="1" x14ac:dyDescent="0.25">
      <c r="A78" s="61">
        <v>2029</v>
      </c>
      <c r="B78" s="62">
        <f>B$5*Yield!R12</f>
        <v>-0.60035849580944978</v>
      </c>
      <c r="C78" s="62">
        <f>C$5*Yield!R11</f>
        <v>-0.49017808996124834</v>
      </c>
      <c r="D78" s="62">
        <f>D$5*Yield!R10</f>
        <v>-0.61550923875209362</v>
      </c>
      <c r="E78" s="62">
        <f>E$5*Yield!R9</f>
        <v>-0.38203074804091197</v>
      </c>
      <c r="F78" s="62">
        <f>F$5*Yield!R8</f>
        <v>-0.16703170110339347</v>
      </c>
      <c r="G78" s="62">
        <f>G$5*Yield!R7</f>
        <v>-4.8891848936741054E-2</v>
      </c>
      <c r="H78" s="62">
        <f>H$5*Yield!R6</f>
        <v>-1.9039644091451802E-2</v>
      </c>
      <c r="I78" s="62">
        <f>I$5*Yield!R5</f>
        <v>-4.5978609524069116E-3</v>
      </c>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23"/>
      <c r="BJ78" s="61">
        <v>2029</v>
      </c>
      <c r="BK78" s="65">
        <f t="shared" si="14"/>
        <v>-2.3276376276476975</v>
      </c>
      <c r="BL78" s="59"/>
      <c r="BM78" s="59"/>
      <c r="BN78" s="19"/>
      <c r="BO78"/>
      <c r="BP78"/>
      <c r="BQ78"/>
      <c r="BR78"/>
      <c r="BS78"/>
      <c r="BT78"/>
      <c r="BU78"/>
      <c r="BV78"/>
      <c r="BW78"/>
      <c r="BX78"/>
      <c r="BY78"/>
      <c r="BZ78"/>
      <c r="CA78"/>
      <c r="CB78"/>
      <c r="CC78"/>
      <c r="CD78"/>
      <c r="CE78"/>
      <c r="CF78"/>
    </row>
    <row r="79" spans="1:84" s="63" customFormat="1" x14ac:dyDescent="0.25">
      <c r="A79" s="61">
        <v>2030</v>
      </c>
      <c r="B79" s="62">
        <f>B$5*Yield!R13</f>
        <v>-0.53097486144843498</v>
      </c>
      <c r="C79" s="62">
        <f>C$5*Yield!R12</f>
        <v>-0.47964449780579849</v>
      </c>
      <c r="D79" s="62">
        <f>D$5*Yield!R11</f>
        <v>-0.69892542303188032</v>
      </c>
      <c r="E79" s="62">
        <f>E$5*Yield!R10</f>
        <v>-0.52212163011384494</v>
      </c>
      <c r="F79" s="62">
        <f>F$5*Yield!R9</f>
        <v>-0.28574657577043822</v>
      </c>
      <c r="G79" s="62">
        <f>G$5*Yield!R8</f>
        <v>-0.16703170110339347</v>
      </c>
      <c r="H79" s="62">
        <f>H$5*Yield!R7</f>
        <v>-4.8891848936741054E-2</v>
      </c>
      <c r="I79" s="62">
        <f>I$5*Yield!R6</f>
        <v>-1.9039644091451802E-2</v>
      </c>
      <c r="J79" s="62">
        <f>J$5*Yield!R5</f>
        <v>-4.5978609524069116E-3</v>
      </c>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23"/>
      <c r="BJ79" s="61">
        <v>2030</v>
      </c>
      <c r="BK79" s="65">
        <f t="shared" si="14"/>
        <v>-2.7569740432543903</v>
      </c>
      <c r="BL79" s="59"/>
      <c r="BM79" s="59"/>
      <c r="BN79" s="19"/>
      <c r="BO79"/>
      <c r="BP79"/>
      <c r="BQ79"/>
      <c r="BR79"/>
      <c r="BS79"/>
      <c r="BT79"/>
      <c r="BU79"/>
      <c r="BV79"/>
      <c r="BW79"/>
      <c r="BX79"/>
      <c r="BY79"/>
      <c r="BZ79"/>
      <c r="CA79"/>
      <c r="CB79"/>
      <c r="CC79"/>
      <c r="CD79"/>
      <c r="CE79"/>
      <c r="CF79"/>
    </row>
    <row r="80" spans="1:84" s="63" customFormat="1" x14ac:dyDescent="0.25">
      <c r="A80" s="61">
        <v>2031</v>
      </c>
      <c r="B80" s="62">
        <f>B$5*Yield!R14</f>
        <v>-0.48397152160210405</v>
      </c>
      <c r="C80" s="62">
        <f>C$5*Yield!R13</f>
        <v>-0.42421182101131061</v>
      </c>
      <c r="D80" s="62">
        <f>D$5*Yield!R12</f>
        <v>-0.68390599335097568</v>
      </c>
      <c r="E80" s="62">
        <f>E$5*Yield!R11</f>
        <v>-0.59288156574428463</v>
      </c>
      <c r="F80" s="62">
        <f>F$5*Yield!R10</f>
        <v>-0.39052999975994906</v>
      </c>
      <c r="G80" s="62">
        <f>G$5*Yield!R9</f>
        <v>-0.28574657577043822</v>
      </c>
      <c r="H80" s="62">
        <f>H$5*Yield!R8</f>
        <v>-0.16703170110339347</v>
      </c>
      <c r="I80" s="62">
        <f>I$5*Yield!R7</f>
        <v>-4.8891848936741054E-2</v>
      </c>
      <c r="J80" s="62">
        <f>J$5*Yield!R6</f>
        <v>-1.9039644091451802E-2</v>
      </c>
      <c r="K80" s="62">
        <f>K$5*Yield!R5</f>
        <v>-4.5978609524069116E-3</v>
      </c>
      <c r="L80" s="62"/>
      <c r="M80" s="62"/>
      <c r="N80" s="62"/>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23"/>
      <c r="BJ80" s="61">
        <v>2031</v>
      </c>
      <c r="BK80" s="65">
        <f t="shared" si="14"/>
        <v>-3.1008085323230556</v>
      </c>
      <c r="BL80" s="59"/>
      <c r="BM80" s="59"/>
      <c r="BN80" s="19"/>
      <c r="BO80"/>
      <c r="BP80"/>
      <c r="BQ80"/>
      <c r="BR80"/>
      <c r="BS80"/>
      <c r="BT80"/>
      <c r="BU80"/>
      <c r="BV80"/>
      <c r="BW80"/>
      <c r="BX80"/>
      <c r="BY80"/>
      <c r="BZ80"/>
      <c r="CA80"/>
      <c r="CB80"/>
      <c r="CC80"/>
      <c r="CD80"/>
      <c r="CE80"/>
      <c r="CF80"/>
    </row>
    <row r="81" spans="1:84" s="63" customFormat="1" x14ac:dyDescent="0.25">
      <c r="A81" s="61">
        <v>2032</v>
      </c>
      <c r="B81" s="62">
        <f>B$5*Yield!R15</f>
        <v>-0.43379792735992828</v>
      </c>
      <c r="C81" s="62">
        <f>C$5*Yield!R14</f>
        <v>-0.38665943607272169</v>
      </c>
      <c r="D81" s="62">
        <f>D$5*Yield!R13</f>
        <v>-0.60486674644901839</v>
      </c>
      <c r="E81" s="62">
        <f>E$5*Yield!R12</f>
        <v>-0.58014094608393107</v>
      </c>
      <c r="F81" s="62">
        <f>F$5*Yield!R11</f>
        <v>-0.44345613047539995</v>
      </c>
      <c r="G81" s="62">
        <f>G$5*Yield!R10</f>
        <v>-0.39052999975994906</v>
      </c>
      <c r="H81" s="62">
        <f>H$5*Yield!R9</f>
        <v>-0.28574657577043822</v>
      </c>
      <c r="I81" s="62">
        <f>I$5*Yield!R8</f>
        <v>-0.16703170110339347</v>
      </c>
      <c r="J81" s="62">
        <f>J$5*Yield!R7</f>
        <v>-4.8891848936741054E-2</v>
      </c>
      <c r="K81" s="62">
        <f>K$5*Yield!R6</f>
        <v>-1.9039644091451802E-2</v>
      </c>
      <c r="L81" s="62">
        <f>L$5*Yield!R5</f>
        <v>-4.5978609524069116E-3</v>
      </c>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23"/>
      <c r="BJ81" s="61">
        <v>2032</v>
      </c>
      <c r="BK81" s="65">
        <f t="shared" si="14"/>
        <v>-3.3647588170553799</v>
      </c>
      <c r="BL81" s="59"/>
      <c r="BM81" s="59"/>
      <c r="BN81" s="19"/>
      <c r="BO81"/>
      <c r="BP81"/>
      <c r="BQ81"/>
      <c r="BR81"/>
      <c r="BS81"/>
      <c r="BT81"/>
      <c r="BU81"/>
      <c r="BV81"/>
      <c r="BW81"/>
      <c r="BX81"/>
      <c r="BY81"/>
      <c r="BZ81"/>
      <c r="CA81"/>
      <c r="CB81"/>
      <c r="CC81"/>
      <c r="CD81"/>
      <c r="CE81"/>
      <c r="CF81"/>
    </row>
    <row r="82" spans="1:84" s="63" customFormat="1" x14ac:dyDescent="0.25">
      <c r="A82" s="61">
        <v>2033</v>
      </c>
      <c r="B82" s="62">
        <f>B$5*Yield!R16</f>
        <v>-0.45013675104513678</v>
      </c>
      <c r="C82" s="62">
        <f>C$5*Yield!R15</f>
        <v>-0.34657423934213605</v>
      </c>
      <c r="D82" s="62">
        <f>D$5*Yield!R14</f>
        <v>-0.55132229583692727</v>
      </c>
      <c r="E82" s="62">
        <f>E$5*Yield!R13</f>
        <v>-0.51309386078089148</v>
      </c>
      <c r="F82" s="62">
        <f>F$5*Yield!R12</f>
        <v>-0.43392656129855006</v>
      </c>
      <c r="G82" s="62">
        <f>G$5*Yield!R11</f>
        <v>-0.44345613047539995</v>
      </c>
      <c r="H82" s="62">
        <f>H$5*Yield!R10</f>
        <v>-0.39052999975994906</v>
      </c>
      <c r="I82" s="62">
        <f>I$5*Yield!R9</f>
        <v>-0.28574657577043822</v>
      </c>
      <c r="J82" s="62">
        <f>J$5*Yield!R8</f>
        <v>-0.16703170110339347</v>
      </c>
      <c r="K82" s="62">
        <f>K$5*Yield!R7</f>
        <v>-4.8891848936741054E-2</v>
      </c>
      <c r="L82" s="62">
        <f>L$5*Yield!R6</f>
        <v>-1.9039644091451802E-2</v>
      </c>
      <c r="M82" s="62">
        <f>M$5*Yield!R5</f>
        <v>-4.5978609524069116E-3</v>
      </c>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23"/>
      <c r="BJ82" s="61">
        <v>2033</v>
      </c>
      <c r="BK82" s="65">
        <f t="shared" si="14"/>
        <v>-3.6543474693934224</v>
      </c>
      <c r="BL82" s="59"/>
      <c r="BM82" s="59"/>
      <c r="BN82" s="19"/>
      <c r="BO82"/>
      <c r="BP82"/>
      <c r="BQ82"/>
      <c r="BR82"/>
      <c r="BS82"/>
      <c r="BT82"/>
      <c r="BU82"/>
      <c r="BV82"/>
      <c r="BW82"/>
      <c r="BX82"/>
      <c r="BY82"/>
      <c r="BZ82"/>
      <c r="CA82"/>
      <c r="CB82"/>
      <c r="CC82"/>
      <c r="CD82"/>
      <c r="CE82"/>
      <c r="CF82"/>
    </row>
    <row r="83" spans="1:84" s="63" customFormat="1" x14ac:dyDescent="0.25">
      <c r="A83" s="61">
        <v>2034</v>
      </c>
      <c r="B83" s="62">
        <f>B$5*Yield!R17</f>
        <v>-0.47019444990721826</v>
      </c>
      <c r="C83" s="62">
        <f>C$5*Yield!R16</f>
        <v>-0.3596278180554065</v>
      </c>
      <c r="D83" s="62">
        <f>D$5*Yield!R15</f>
        <v>-0.49416640972937881</v>
      </c>
      <c r="E83" s="62">
        <f>E$5*Yield!R14</f>
        <v>-0.46767339577891071</v>
      </c>
      <c r="F83" s="62">
        <f>F$5*Yield!R13</f>
        <v>-0.38377752188489445</v>
      </c>
      <c r="G83" s="62">
        <f>G$5*Yield!R12</f>
        <v>-0.43392656129855006</v>
      </c>
      <c r="H83" s="62">
        <f>H$5*Yield!R11</f>
        <v>-0.44345613047539995</v>
      </c>
      <c r="I83" s="62">
        <f>I$5*Yield!R10</f>
        <v>-0.39052999975994906</v>
      </c>
      <c r="J83" s="62">
        <f>J$5*Yield!R9</f>
        <v>-0.28574657577043822</v>
      </c>
      <c r="K83" s="62">
        <f>K$5*Yield!R8</f>
        <v>-0.16703170110339347</v>
      </c>
      <c r="L83" s="62">
        <f>L$5*Yield!R7</f>
        <v>-4.8891848936741054E-2</v>
      </c>
      <c r="M83" s="62">
        <f>M$5*Yield!R6</f>
        <v>-1.9039644091451802E-2</v>
      </c>
      <c r="N83" s="62">
        <f>N$5*Yield!R5</f>
        <v>-4.5978609524069116E-3</v>
      </c>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23"/>
      <c r="BJ83" s="61">
        <v>2034</v>
      </c>
      <c r="BK83" s="65">
        <f t="shared" si="14"/>
        <v>-3.9686599177441395</v>
      </c>
      <c r="BL83" s="59"/>
      <c r="BM83" s="59"/>
      <c r="BN83" s="19"/>
      <c r="BO83"/>
      <c r="BP83"/>
      <c r="BQ83"/>
      <c r="BR83"/>
      <c r="BS83"/>
      <c r="BT83"/>
      <c r="BU83"/>
      <c r="BV83"/>
      <c r="BW83"/>
      <c r="BX83"/>
      <c r="BY83"/>
      <c r="BZ83"/>
      <c r="CA83"/>
      <c r="CB83"/>
      <c r="CC83"/>
      <c r="CD83"/>
      <c r="CE83"/>
      <c r="CF83"/>
    </row>
    <row r="84" spans="1:84" s="63" customFormat="1" x14ac:dyDescent="0.25">
      <c r="A84" s="61">
        <v>2035</v>
      </c>
      <c r="B84" s="62">
        <f>B$5*Yield!R18</f>
        <v>-0.49332437532862911</v>
      </c>
      <c r="C84" s="62">
        <f>C$5*Yield!R17</f>
        <v>-0.37565251823870588</v>
      </c>
      <c r="D84" s="62">
        <f>D$5*Yield!R16</f>
        <v>-0.51277898791493948</v>
      </c>
      <c r="E84" s="62">
        <f>E$5*Yield!R15</f>
        <v>-0.41918943721871443</v>
      </c>
      <c r="F84" s="62">
        <f>F$5*Yield!R14</f>
        <v>-0.34980449115170553</v>
      </c>
      <c r="G84" s="62">
        <f>G$5*Yield!R13</f>
        <v>-0.38377752188489445</v>
      </c>
      <c r="H84" s="62">
        <f>H$5*Yield!R12</f>
        <v>-0.43392656129855006</v>
      </c>
      <c r="I84" s="62">
        <f>I$5*Yield!R11</f>
        <v>-0.44345613047539995</v>
      </c>
      <c r="J84" s="62">
        <f>J$5*Yield!R10</f>
        <v>-0.39052999975994906</v>
      </c>
      <c r="K84" s="62">
        <f>K$5*Yield!R9</f>
        <v>-0.28574657577043822</v>
      </c>
      <c r="L84" s="62">
        <f>L$5*Yield!R8</f>
        <v>-0.16703170110339347</v>
      </c>
      <c r="M84" s="62">
        <f>M$5*Yield!R7</f>
        <v>-4.8891848936741054E-2</v>
      </c>
      <c r="N84" s="62">
        <f>N$5*Yield!R6</f>
        <v>-1.9039644091451802E-2</v>
      </c>
      <c r="O84" s="62">
        <f>O$5*Yield!R5</f>
        <v>-4.5978609524069116E-3</v>
      </c>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23"/>
      <c r="BJ84" s="61">
        <v>2035</v>
      </c>
      <c r="BK84" s="65">
        <f t="shared" si="14"/>
        <v>-4.3277476541259192</v>
      </c>
      <c r="BL84" s="59"/>
      <c r="BM84" s="59"/>
      <c r="BN84" s="19"/>
      <c r="BO84"/>
      <c r="BP84"/>
      <c r="BQ84"/>
      <c r="BR84"/>
      <c r="BS84"/>
      <c r="BT84"/>
      <c r="BU84"/>
      <c r="BV84"/>
      <c r="BW84"/>
      <c r="BX84"/>
      <c r="BY84"/>
      <c r="BZ84"/>
      <c r="CA84"/>
      <c r="CB84"/>
      <c r="CC84"/>
      <c r="CD84"/>
      <c r="CE84"/>
      <c r="CF84"/>
    </row>
    <row r="85" spans="1:84" s="63" customFormat="1" x14ac:dyDescent="0.25">
      <c r="A85" s="61">
        <v>2036</v>
      </c>
      <c r="B85" s="62">
        <f>B$5*Yield!R19</f>
        <v>-0.51034997069177568</v>
      </c>
      <c r="C85" s="62">
        <f>C$5*Yield!R18</f>
        <v>-0.39413171282073672</v>
      </c>
      <c r="D85" s="62">
        <f>D$5*Yield!R17</f>
        <v>-0.5356279699154548</v>
      </c>
      <c r="E85" s="62">
        <f>E$5*Yield!R16</f>
        <v>-0.43497803802439694</v>
      </c>
      <c r="F85" s="62">
        <f>F$5*Yield!R15</f>
        <v>-0.3135400668627783</v>
      </c>
      <c r="G85" s="62">
        <f>G$5*Yield!R14</f>
        <v>-0.34980449115170553</v>
      </c>
      <c r="H85" s="62">
        <f>H$5*Yield!R13</f>
        <v>-0.38377752188489445</v>
      </c>
      <c r="I85" s="62">
        <f>I$5*Yield!R12</f>
        <v>-0.43392656129855006</v>
      </c>
      <c r="J85" s="62">
        <f>J$5*Yield!R11</f>
        <v>-0.44345613047539995</v>
      </c>
      <c r="K85" s="62">
        <f>K$5*Yield!R10</f>
        <v>-0.39052999975994906</v>
      </c>
      <c r="L85" s="62">
        <f>L$5*Yield!R9</f>
        <v>-0.28574657577043822</v>
      </c>
      <c r="M85" s="62">
        <f>M$5*Yield!R8</f>
        <v>-0.16703170110339347</v>
      </c>
      <c r="N85" s="62">
        <f>N$5*Yield!R7</f>
        <v>-4.8891848936741054E-2</v>
      </c>
      <c r="O85" s="62">
        <f>O$5*Yield!R6</f>
        <v>-1.9039644091451802E-2</v>
      </c>
      <c r="P85" s="62">
        <f>P$5*Yield!R5</f>
        <v>-4.5978609524069116E-3</v>
      </c>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23"/>
      <c r="BJ85" s="61">
        <v>2036</v>
      </c>
      <c r="BK85" s="65">
        <f t="shared" si="14"/>
        <v>-4.715430093740073</v>
      </c>
      <c r="BL85" s="59"/>
      <c r="BM85" s="59"/>
      <c r="BN85" s="19"/>
      <c r="BO85"/>
      <c r="BP85"/>
      <c r="BQ85"/>
      <c r="BR85"/>
      <c r="BS85"/>
      <c r="BT85"/>
      <c r="BU85"/>
      <c r="BV85"/>
      <c r="BW85"/>
      <c r="BX85"/>
      <c r="BY85"/>
      <c r="BZ85"/>
      <c r="CA85"/>
      <c r="CB85"/>
      <c r="CC85"/>
      <c r="CD85"/>
      <c r="CE85"/>
      <c r="CF85"/>
    </row>
    <row r="86" spans="1:84" s="63" customFormat="1" x14ac:dyDescent="0.25">
      <c r="A86" s="61">
        <v>2037</v>
      </c>
      <c r="B86" s="62">
        <f>B$5*Yield!R20</f>
        <v>-0.52423654981512313</v>
      </c>
      <c r="C86" s="62">
        <f>C$5*Yield!R19</f>
        <v>-0.40773397412760942</v>
      </c>
      <c r="D86" s="62">
        <f>D$5*Yield!R18</f>
        <v>-0.56197671775841818</v>
      </c>
      <c r="E86" s="62">
        <f>E$5*Yield!R17</f>
        <v>-0.45436027792828232</v>
      </c>
      <c r="F86" s="62">
        <f>F$5*Yield!R16</f>
        <v>-0.32534942681499607</v>
      </c>
      <c r="G86" s="62">
        <f>G$5*Yield!R15</f>
        <v>-0.3135400668627783</v>
      </c>
      <c r="H86" s="62">
        <f>H$5*Yield!R14</f>
        <v>-0.34980449115170553</v>
      </c>
      <c r="I86" s="62">
        <f>I$5*Yield!R13</f>
        <v>-0.38377752188489445</v>
      </c>
      <c r="J86" s="62">
        <f>J$5*Yield!R12</f>
        <v>-0.43392656129855006</v>
      </c>
      <c r="K86" s="62">
        <f>K$5*Yield!R11</f>
        <v>-0.44345613047539995</v>
      </c>
      <c r="L86" s="62">
        <f>L$5*Yield!R10</f>
        <v>-0.39052999975994906</v>
      </c>
      <c r="M86" s="62">
        <f>M$5*Yield!R9</f>
        <v>-0.28574657577043822</v>
      </c>
      <c r="N86" s="62">
        <f>N$5*Yield!R8</f>
        <v>-0.16703170110339347</v>
      </c>
      <c r="O86" s="62">
        <f>O$5*Yield!R7</f>
        <v>-4.8891848936741054E-2</v>
      </c>
      <c r="P86" s="62">
        <f>P$5*Yield!R6</f>
        <v>-1.9039644091451802E-2</v>
      </c>
      <c r="Q86" s="62">
        <f>Q$5*Yield!R5</f>
        <v>-4.5978609524069116E-3</v>
      </c>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23"/>
      <c r="BJ86" s="61">
        <v>2037</v>
      </c>
      <c r="BK86" s="65">
        <f t="shared" si="14"/>
        <v>-5.1139993487321371</v>
      </c>
      <c r="BL86" s="59"/>
      <c r="BM86" s="59"/>
      <c r="BN86" s="19"/>
      <c r="BO86"/>
      <c r="BP86"/>
      <c r="BQ86"/>
      <c r="BR86"/>
      <c r="BS86"/>
      <c r="BT86"/>
      <c r="BU86"/>
      <c r="BV86"/>
      <c r="BW86"/>
      <c r="BX86"/>
      <c r="BY86"/>
      <c r="BZ86"/>
      <c r="CA86"/>
      <c r="CB86"/>
      <c r="CC86"/>
      <c r="CD86"/>
      <c r="CE86"/>
      <c r="CF86"/>
    </row>
    <row r="87" spans="1:84" s="63" customFormat="1" x14ac:dyDescent="0.25">
      <c r="A87" s="61">
        <v>2038</v>
      </c>
      <c r="B87" s="62">
        <f>B$5*Yield!R21</f>
        <v>-0.53462137868827919</v>
      </c>
      <c r="C87" s="62">
        <f>C$5*Yield!R20</f>
        <v>-0.41882838074690459</v>
      </c>
      <c r="D87" s="62">
        <f>D$5*Yield!R19</f>
        <v>-0.58137164060951452</v>
      </c>
      <c r="E87" s="62">
        <f>E$5*Yield!R18</f>
        <v>-0.47671128471920987</v>
      </c>
      <c r="F87" s="62">
        <f>F$5*Yield!R17</f>
        <v>-0.33984671194635752</v>
      </c>
      <c r="G87" s="62">
        <f>G$5*Yield!R16</f>
        <v>-0.32534942681499607</v>
      </c>
      <c r="H87" s="62">
        <f>H$5*Yield!R15</f>
        <v>-0.3135400668627783</v>
      </c>
      <c r="I87" s="62">
        <f>I$5*Yield!R14</f>
        <v>-0.34980449115170553</v>
      </c>
      <c r="J87" s="62">
        <f>J$5*Yield!R13</f>
        <v>-0.38377752188489445</v>
      </c>
      <c r="K87" s="62">
        <f>K$5*Yield!R12</f>
        <v>-0.43392656129855006</v>
      </c>
      <c r="L87" s="62">
        <f>L$5*Yield!R11</f>
        <v>-0.44345613047539995</v>
      </c>
      <c r="M87" s="62">
        <f>M$5*Yield!R10</f>
        <v>-0.39052999975994906</v>
      </c>
      <c r="N87" s="62">
        <f>N$5*Yield!R9</f>
        <v>-0.28574657577043822</v>
      </c>
      <c r="O87" s="62">
        <f>O$5*Yield!R8</f>
        <v>-0.16703170110339347</v>
      </c>
      <c r="P87" s="62">
        <f>P$5*Yield!R7</f>
        <v>-4.8891848936741054E-2</v>
      </c>
      <c r="Q87" s="62">
        <f>Q$5*Yield!R6</f>
        <v>-1.9039644091451802E-2</v>
      </c>
      <c r="R87" s="62">
        <f>R$5*Yield!R5</f>
        <v>-4.5978609524069116E-3</v>
      </c>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23"/>
      <c r="BJ87" s="61">
        <v>2038</v>
      </c>
      <c r="BK87" s="65">
        <f t="shared" si="14"/>
        <v>-5.5170712258129697</v>
      </c>
      <c r="BL87" s="59"/>
      <c r="BM87" s="59"/>
      <c r="BN87" s="19"/>
      <c r="BO87"/>
      <c r="BP87"/>
      <c r="BQ87"/>
      <c r="BR87"/>
      <c r="BS87"/>
      <c r="BT87"/>
      <c r="BU87"/>
      <c r="BV87"/>
      <c r="BW87"/>
      <c r="BX87"/>
      <c r="BY87"/>
      <c r="BZ87"/>
      <c r="CA87"/>
      <c r="CB87"/>
      <c r="CC87"/>
      <c r="CD87"/>
      <c r="CE87"/>
      <c r="CF87"/>
    </row>
    <row r="88" spans="1:84" s="63" customFormat="1" x14ac:dyDescent="0.25">
      <c r="A88" s="61">
        <v>2039</v>
      </c>
      <c r="B88" s="62">
        <f>B$5*Yield!R22</f>
        <v>-0.53870629633651301</v>
      </c>
      <c r="C88" s="62">
        <f>C$5*Yield!R21</f>
        <v>-0.42712513354449477</v>
      </c>
      <c r="D88" s="62">
        <f>D$5*Yield!R20</f>
        <v>-0.59719071330672868</v>
      </c>
      <c r="E88" s="62">
        <f>E$5*Yield!R19</f>
        <v>-0.49316352962048471</v>
      </c>
      <c r="F88" s="62">
        <f>F$5*Yield!R18</f>
        <v>-0.35656453816396189</v>
      </c>
      <c r="G88" s="62">
        <f>G$5*Yield!R17</f>
        <v>-0.33984671194635752</v>
      </c>
      <c r="H88" s="62">
        <f>H$5*Yield!R16</f>
        <v>-0.32534942681499607</v>
      </c>
      <c r="I88" s="62">
        <f>I$5*Yield!R15</f>
        <v>-0.3135400668627783</v>
      </c>
      <c r="J88" s="62">
        <f>J$5*Yield!R14</f>
        <v>-0.34980449115170553</v>
      </c>
      <c r="K88" s="62">
        <f>K$5*Yield!R13</f>
        <v>-0.38377752188489445</v>
      </c>
      <c r="L88" s="62">
        <f>L$5*Yield!R12</f>
        <v>-0.43392656129855006</v>
      </c>
      <c r="M88" s="62">
        <f>M$5*Yield!R11</f>
        <v>-0.44345613047539995</v>
      </c>
      <c r="N88" s="62">
        <f>N$5*Yield!R10</f>
        <v>-0.39052999975994906</v>
      </c>
      <c r="O88" s="62">
        <f>O$5*Yield!R9</f>
        <v>-0.28574657577043822</v>
      </c>
      <c r="P88" s="62">
        <f>P$5*Yield!R8</f>
        <v>-0.16703170110339347</v>
      </c>
      <c r="Q88" s="62">
        <f>Q$5*Yield!R7</f>
        <v>-4.8891848936741054E-2</v>
      </c>
      <c r="R88" s="62">
        <f>R$5*Yield!R6</f>
        <v>-1.9039644091451802E-2</v>
      </c>
      <c r="S88" s="62">
        <f>S$5*Yield!R5</f>
        <v>-4.5978609524069116E-3</v>
      </c>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23"/>
      <c r="BJ88" s="61">
        <v>2039</v>
      </c>
      <c r="BK88" s="65">
        <f t="shared" si="14"/>
        <v>-5.9182887520212448</v>
      </c>
      <c r="BL88" s="59"/>
      <c r="BM88" s="59"/>
      <c r="BN88" s="19"/>
      <c r="BO88"/>
      <c r="BP88"/>
      <c r="BQ88"/>
      <c r="BR88"/>
      <c r="BS88"/>
      <c r="BT88"/>
      <c r="BU88"/>
      <c r="BV88"/>
      <c r="BW88"/>
      <c r="BX88"/>
      <c r="BY88"/>
      <c r="BZ88"/>
      <c r="CA88"/>
      <c r="CB88"/>
      <c r="CC88"/>
      <c r="CD88"/>
      <c r="CE88"/>
      <c r="CF88"/>
    </row>
    <row r="89" spans="1:84" s="63" customFormat="1" x14ac:dyDescent="0.25">
      <c r="A89" s="61">
        <v>2040</v>
      </c>
      <c r="B89" s="62">
        <f>B$5*Yield!R23</f>
        <v>-0.5392773248349968</v>
      </c>
      <c r="C89" s="62">
        <f>C$5*Yield!R22</f>
        <v>-0.43038869737783986</v>
      </c>
      <c r="D89" s="62">
        <f>D$5*Yield!R21</f>
        <v>-0.60902072280247155</v>
      </c>
      <c r="E89" s="62">
        <f>E$5*Yield!R20</f>
        <v>-0.50658246714984567</v>
      </c>
      <c r="F89" s="62">
        <f>F$5*Yield!R19</f>
        <v>-0.36887028231776092</v>
      </c>
      <c r="G89" s="62">
        <f>G$5*Yield!R18</f>
        <v>-0.35656453816396189</v>
      </c>
      <c r="H89" s="62">
        <f>H$5*Yield!R17</f>
        <v>-0.33984671194635752</v>
      </c>
      <c r="I89" s="62">
        <f>I$5*Yield!R16</f>
        <v>-0.32534942681499607</v>
      </c>
      <c r="J89" s="62">
        <f>J$5*Yield!R15</f>
        <v>-0.3135400668627783</v>
      </c>
      <c r="K89" s="62">
        <f>K$5*Yield!R14</f>
        <v>-0.34980449115170553</v>
      </c>
      <c r="L89" s="62">
        <f>L$5*Yield!R13</f>
        <v>-0.38377752188489445</v>
      </c>
      <c r="M89" s="62">
        <f>M$5*Yield!R12</f>
        <v>-0.43392656129855006</v>
      </c>
      <c r="N89" s="62">
        <f>N$5*Yield!R11</f>
        <v>-0.44345613047539995</v>
      </c>
      <c r="O89" s="62">
        <f>O$5*Yield!R10</f>
        <v>-0.39052999975994906</v>
      </c>
      <c r="P89" s="62">
        <f>P$5*Yield!R9</f>
        <v>-0.28574657577043822</v>
      </c>
      <c r="Q89" s="62">
        <f>Q$5*Yield!R8</f>
        <v>-0.16703170110339347</v>
      </c>
      <c r="R89" s="62">
        <f>R$5*Yield!R7</f>
        <v>-4.8891848936741054E-2</v>
      </c>
      <c r="S89" s="62">
        <f>S$5*Yield!R6</f>
        <v>-1.9039644091451802E-2</v>
      </c>
      <c r="T89" s="62">
        <f>T$5*Yield!R5</f>
        <v>-4.5978609524069116E-3</v>
      </c>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23"/>
      <c r="BJ89" s="61">
        <v>2040</v>
      </c>
      <c r="BK89" s="65">
        <f t="shared" si="14"/>
        <v>-6.3162425736959387</v>
      </c>
      <c r="BL89" s="59"/>
      <c r="BM89" s="59"/>
      <c r="BN89" s="19"/>
      <c r="BO89"/>
      <c r="BP89"/>
      <c r="BQ89"/>
      <c r="BR89"/>
      <c r="BS89"/>
      <c r="BT89"/>
      <c r="BU89"/>
      <c r="BV89"/>
      <c r="BW89"/>
      <c r="BX89"/>
      <c r="BY89"/>
      <c r="BZ89"/>
      <c r="CA89"/>
      <c r="CB89"/>
      <c r="CC89"/>
      <c r="CD89"/>
      <c r="CE89"/>
      <c r="CF89"/>
    </row>
    <row r="90" spans="1:84" s="63" customFormat="1" x14ac:dyDescent="0.25">
      <c r="A90" s="61">
        <v>2041</v>
      </c>
      <c r="B90" s="62">
        <f>B$5*Yield!R24</f>
        <v>-0.53490537276523265</v>
      </c>
      <c r="C90" s="62">
        <f>C$5*Yield!R23</f>
        <v>-0.43084490925674196</v>
      </c>
      <c r="D90" s="62">
        <f>D$5*Yield!R22</f>
        <v>-0.61367410854028082</v>
      </c>
      <c r="E90" s="62">
        <f>E$5*Yield!R21</f>
        <v>-0.51661757865313096</v>
      </c>
      <c r="F90" s="62">
        <f>F$5*Yield!R20</f>
        <v>-0.37890721120151061</v>
      </c>
      <c r="G90" s="62">
        <f>G$5*Yield!R19</f>
        <v>-0.36887028231776092</v>
      </c>
      <c r="H90" s="62">
        <f>H$5*Yield!R18</f>
        <v>-0.35656453816396189</v>
      </c>
      <c r="I90" s="62">
        <f>I$5*Yield!R17</f>
        <v>-0.33984671194635752</v>
      </c>
      <c r="J90" s="62">
        <f>J$5*Yield!R16</f>
        <v>-0.32534942681499607</v>
      </c>
      <c r="K90" s="62">
        <f>K$5*Yield!R15</f>
        <v>-0.3135400668627783</v>
      </c>
      <c r="L90" s="62">
        <f>L$5*Yield!R14</f>
        <v>-0.34980449115170553</v>
      </c>
      <c r="M90" s="62">
        <f>M$5*Yield!R13</f>
        <v>-0.38377752188489445</v>
      </c>
      <c r="N90" s="62">
        <f>N$5*Yield!R12</f>
        <v>-0.43392656129855006</v>
      </c>
      <c r="O90" s="62">
        <f>O$5*Yield!R11</f>
        <v>-0.44345613047539995</v>
      </c>
      <c r="P90" s="62">
        <f>P$5*Yield!R10</f>
        <v>-0.39052999975994906</v>
      </c>
      <c r="Q90" s="62">
        <f>Q$5*Yield!R9</f>
        <v>-0.28574657577043822</v>
      </c>
      <c r="R90" s="62">
        <f>R$5*Yield!R8</f>
        <v>-0.16703170110339347</v>
      </c>
      <c r="S90" s="62">
        <f>S$5*Yield!R7</f>
        <v>-4.8891848936741054E-2</v>
      </c>
      <c r="T90" s="62">
        <f>T$5*Yield!R6</f>
        <v>-1.9039644091451802E-2</v>
      </c>
      <c r="U90" s="62">
        <f>U$5*Yield!R5</f>
        <v>-4.5978609524069116E-3</v>
      </c>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23"/>
      <c r="BJ90" s="61">
        <v>2041</v>
      </c>
      <c r="BK90" s="65">
        <f t="shared" si="14"/>
        <v>-6.7059225419476824</v>
      </c>
      <c r="BL90" s="59"/>
      <c r="BM90" s="59"/>
      <c r="BN90" s="19"/>
      <c r="BO90"/>
      <c r="BP90"/>
      <c r="BQ90"/>
      <c r="BR90"/>
      <c r="BS90"/>
      <c r="BT90"/>
      <c r="BU90"/>
      <c r="BV90"/>
      <c r="BW90"/>
      <c r="BX90"/>
      <c r="BY90"/>
      <c r="BZ90"/>
      <c r="CA90"/>
      <c r="CB90"/>
      <c r="CC90"/>
      <c r="CD90"/>
      <c r="CE90"/>
      <c r="CF90"/>
    </row>
    <row r="91" spans="1:84" s="63" customFormat="1" x14ac:dyDescent="0.25">
      <c r="A91" s="61">
        <v>2042</v>
      </c>
      <c r="B91" s="62">
        <f>B$5*Yield!R25</f>
        <v>-0.53118183536966046</v>
      </c>
      <c r="C91" s="62">
        <f>C$5*Yield!R24</f>
        <v>-0.42735202497248487</v>
      </c>
      <c r="D91" s="62">
        <f>D$5*Yield!R23</f>
        <v>-0.61432460289525903</v>
      </c>
      <c r="E91" s="62">
        <f>E$5*Yield!R22</f>
        <v>-0.52056493345141064</v>
      </c>
      <c r="F91" s="62">
        <f>F$5*Yield!R21</f>
        <v>-0.38641314826087847</v>
      </c>
      <c r="G91" s="62">
        <f>G$5*Yield!R20</f>
        <v>-0.37890721120151061</v>
      </c>
      <c r="H91" s="62">
        <f>H$5*Yield!R19</f>
        <v>-0.36887028231776092</v>
      </c>
      <c r="I91" s="62">
        <f>I$5*Yield!R18</f>
        <v>-0.35656453816396189</v>
      </c>
      <c r="J91" s="62">
        <f>J$5*Yield!R17</f>
        <v>-0.33984671194635752</v>
      </c>
      <c r="K91" s="62">
        <f>K$5*Yield!R16</f>
        <v>-0.32534942681499607</v>
      </c>
      <c r="L91" s="62">
        <f>L$5*Yield!R15</f>
        <v>-0.3135400668627783</v>
      </c>
      <c r="M91" s="62">
        <f>M$5*Yield!R14</f>
        <v>-0.34980449115170553</v>
      </c>
      <c r="N91" s="62">
        <f>N$5*Yield!R13</f>
        <v>-0.38377752188489445</v>
      </c>
      <c r="O91" s="62">
        <f>O$5*Yield!R12</f>
        <v>-0.43392656129855006</v>
      </c>
      <c r="P91" s="62">
        <f>P$5*Yield!R11</f>
        <v>-0.44345613047539995</v>
      </c>
      <c r="Q91" s="62">
        <f>Q$5*Yield!R10</f>
        <v>-0.39052999975994906</v>
      </c>
      <c r="R91" s="62">
        <f>R$5*Yield!R9</f>
        <v>-0.28574657577043822</v>
      </c>
      <c r="S91" s="62">
        <f>S$5*Yield!R8</f>
        <v>-0.16703170110339347</v>
      </c>
      <c r="T91" s="62">
        <f>T$5*Yield!R7</f>
        <v>-4.8891848936741054E-2</v>
      </c>
      <c r="U91" s="62">
        <f>U$5*Yield!R6</f>
        <v>-1.9039644091451802E-2</v>
      </c>
      <c r="V91" s="62">
        <f>V$5*Yield!R5</f>
        <v>-4.5978609524069116E-3</v>
      </c>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23"/>
      <c r="BJ91" s="61">
        <v>2042</v>
      </c>
      <c r="BK91" s="65">
        <f t="shared" si="14"/>
        <v>-7.0897171176819898</v>
      </c>
      <c r="BL91" s="59"/>
      <c r="BM91" s="59"/>
      <c r="BN91" s="19"/>
      <c r="BO91"/>
      <c r="BP91"/>
      <c r="BQ91"/>
      <c r="BR91"/>
      <c r="BS91"/>
      <c r="BT91"/>
      <c r="BU91"/>
      <c r="BV91"/>
      <c r="BW91"/>
      <c r="BX91"/>
      <c r="BY91"/>
      <c r="BZ91"/>
      <c r="CA91"/>
      <c r="CB91"/>
      <c r="CC91"/>
      <c r="CD91"/>
      <c r="CE91"/>
      <c r="CF91"/>
    </row>
    <row r="92" spans="1:84" s="63" customFormat="1" x14ac:dyDescent="0.25">
      <c r="A92" s="61">
        <v>2043</v>
      </c>
      <c r="B92" s="62">
        <f>B$5*Yield!R26</f>
        <v>-0.52974114697552799</v>
      </c>
      <c r="C92" s="62">
        <f>C$5*Yield!R25</f>
        <v>-0.42437717871541253</v>
      </c>
      <c r="D92" s="62">
        <f>D$5*Yield!R24</f>
        <v>-0.6093442382564217</v>
      </c>
      <c r="E92" s="62">
        <f>E$5*Yield!R23</f>
        <v>-0.52111673211115073</v>
      </c>
      <c r="F92" s="62">
        <f>F$5*Yield!R22</f>
        <v>-0.38936564128072987</v>
      </c>
      <c r="G92" s="62">
        <f>G$5*Yield!R21</f>
        <v>-0.38641314826087847</v>
      </c>
      <c r="H92" s="62">
        <f>H$5*Yield!R20</f>
        <v>-0.37890721120151061</v>
      </c>
      <c r="I92" s="62">
        <f>I$5*Yield!R19</f>
        <v>-0.36887028231776092</v>
      </c>
      <c r="J92" s="62">
        <f>J$5*Yield!R18</f>
        <v>-0.35656453816396189</v>
      </c>
      <c r="K92" s="62">
        <f>K$5*Yield!R17</f>
        <v>-0.33984671194635752</v>
      </c>
      <c r="L92" s="62">
        <f>L$5*Yield!R16</f>
        <v>-0.32534942681499607</v>
      </c>
      <c r="M92" s="62">
        <f>M$5*Yield!R15</f>
        <v>-0.3135400668627783</v>
      </c>
      <c r="N92" s="62">
        <f>N$5*Yield!R14</f>
        <v>-0.34980449115170553</v>
      </c>
      <c r="O92" s="62">
        <f>O$5*Yield!R13</f>
        <v>-0.38377752188489445</v>
      </c>
      <c r="P92" s="62">
        <f>P$5*Yield!R12</f>
        <v>-0.43392656129855006</v>
      </c>
      <c r="Q92" s="62">
        <f>Q$5*Yield!R11</f>
        <v>-0.44345613047539995</v>
      </c>
      <c r="R92" s="62">
        <f>R$5*Yield!R10</f>
        <v>-0.39052999975994906</v>
      </c>
      <c r="S92" s="62">
        <f>S$5*Yield!R9</f>
        <v>-0.28574657577043822</v>
      </c>
      <c r="T92" s="62">
        <f>T$5*Yield!R8</f>
        <v>-0.16703170110339347</v>
      </c>
      <c r="U92" s="62">
        <f>U$5*Yield!R7</f>
        <v>-4.8891848936741054E-2</v>
      </c>
      <c r="V92" s="62">
        <f>V$5*Yield!R6</f>
        <v>-1.9039644091451802E-2</v>
      </c>
      <c r="W92" s="62">
        <f>W$5*Yield!R5</f>
        <v>-4.5978609524069116E-3</v>
      </c>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23"/>
      <c r="BJ92" s="61">
        <v>2043</v>
      </c>
      <c r="BK92" s="65">
        <f t="shared" si="14"/>
        <v>-7.4702386583324172</v>
      </c>
      <c r="BL92" s="59"/>
      <c r="BM92" s="59"/>
      <c r="BN92" s="19"/>
      <c r="BO92"/>
      <c r="BP92"/>
      <c r="BQ92"/>
      <c r="BR92"/>
      <c r="BS92"/>
      <c r="BT92"/>
      <c r="BU92"/>
      <c r="BV92"/>
      <c r="BW92"/>
      <c r="BX92"/>
      <c r="BY92"/>
      <c r="BZ92"/>
      <c r="CA92"/>
      <c r="CB92"/>
      <c r="CC92"/>
      <c r="CD92"/>
      <c r="CE92"/>
      <c r="CF92"/>
    </row>
    <row r="93" spans="1:84" s="63" customFormat="1" x14ac:dyDescent="0.25">
      <c r="A93" s="61">
        <v>2044</v>
      </c>
      <c r="B93" s="62">
        <f>B$5*Yield!R27</f>
        <v>-0.52974241713873849</v>
      </c>
      <c r="C93" s="62">
        <f>C$5*Yield!R26</f>
        <v>-0.42322616933331547</v>
      </c>
      <c r="D93" s="62">
        <f>D$5*Yield!R25</f>
        <v>-0.60510252341591664</v>
      </c>
      <c r="E93" s="62">
        <f>E$5*Yield!R24</f>
        <v>-0.51689200900372323</v>
      </c>
      <c r="F93" s="62">
        <f>F$5*Yield!R23</f>
        <v>-0.38977836873354366</v>
      </c>
      <c r="G93" s="62">
        <f>G$5*Yield!R22</f>
        <v>-0.38936564128072987</v>
      </c>
      <c r="H93" s="62">
        <f>H$5*Yield!R21</f>
        <v>-0.38641314826087847</v>
      </c>
      <c r="I93" s="62">
        <f>I$5*Yield!R20</f>
        <v>-0.37890721120151061</v>
      </c>
      <c r="J93" s="62">
        <f>J$5*Yield!R19</f>
        <v>-0.36887028231776092</v>
      </c>
      <c r="K93" s="62">
        <f>K$5*Yield!R18</f>
        <v>-0.35656453816396189</v>
      </c>
      <c r="L93" s="62">
        <f>L$5*Yield!R17</f>
        <v>-0.33984671194635752</v>
      </c>
      <c r="M93" s="62">
        <f>M$5*Yield!R16</f>
        <v>-0.32534942681499607</v>
      </c>
      <c r="N93" s="62">
        <f>N$5*Yield!R15</f>
        <v>-0.3135400668627783</v>
      </c>
      <c r="O93" s="62">
        <f>O$5*Yield!R14</f>
        <v>-0.34980449115170553</v>
      </c>
      <c r="P93" s="62">
        <f>P$5*Yield!R13</f>
        <v>-0.38377752188489445</v>
      </c>
      <c r="Q93" s="62">
        <f>Q$5*Yield!R12</f>
        <v>-0.43392656129855006</v>
      </c>
      <c r="R93" s="62">
        <f>R$5*Yield!R11</f>
        <v>-0.44345613047539995</v>
      </c>
      <c r="S93" s="62">
        <f>S$5*Yield!R10</f>
        <v>-0.39052999975994906</v>
      </c>
      <c r="T93" s="62">
        <f>T$5*Yield!R9</f>
        <v>-0.28574657577043822</v>
      </c>
      <c r="U93" s="62">
        <f>U$5*Yield!R8</f>
        <v>-0.16703170110339347</v>
      </c>
      <c r="V93" s="62">
        <f>V$5*Yield!R7</f>
        <v>-4.8891848936741054E-2</v>
      </c>
      <c r="W93" s="62">
        <f>W$5*Yield!R6</f>
        <v>-1.9039644091451802E-2</v>
      </c>
      <c r="X93" s="62">
        <f>X$5*Yield!R5</f>
        <v>-4.5978609524069116E-3</v>
      </c>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23"/>
      <c r="BJ93" s="61">
        <v>2044</v>
      </c>
      <c r="BK93" s="65">
        <f t="shared" si="14"/>
        <v>-7.8504008498991418</v>
      </c>
      <c r="BL93" s="59"/>
      <c r="BM93" s="59"/>
      <c r="BN93" s="19"/>
      <c r="BO93"/>
      <c r="BP93"/>
      <c r="BQ93"/>
      <c r="BR93"/>
      <c r="BS93"/>
      <c r="BT93"/>
      <c r="BU93"/>
      <c r="BV93"/>
      <c r="BW93"/>
      <c r="BX93"/>
      <c r="BY93"/>
      <c r="BZ93"/>
      <c r="CA93"/>
      <c r="CB93"/>
      <c r="CC93"/>
      <c r="CD93"/>
      <c r="CE93"/>
      <c r="CF93"/>
    </row>
    <row r="94" spans="1:84" s="63" customFormat="1" x14ac:dyDescent="0.25">
      <c r="A94" s="61">
        <v>2045</v>
      </c>
      <c r="B94" s="62">
        <f>B$5*Yield!R28</f>
        <v>-0.52690172058212137</v>
      </c>
      <c r="C94" s="62">
        <f>C$5*Yield!R27</f>
        <v>-0.42322718410498855</v>
      </c>
      <c r="D94" s="62">
        <f>D$5*Yield!R26</f>
        <v>-0.60346134496308246</v>
      </c>
      <c r="E94" s="62">
        <f>E$5*Yield!R25</f>
        <v>-0.51329386469074301</v>
      </c>
      <c r="F94" s="62">
        <f>F$5*Yield!R24</f>
        <v>-0.38661841323855722</v>
      </c>
      <c r="G94" s="62">
        <f>G$5*Yield!R23</f>
        <v>-0.38977836873354366</v>
      </c>
      <c r="H94" s="62">
        <f>H$5*Yield!R22</f>
        <v>-0.38936564128072987</v>
      </c>
      <c r="I94" s="62">
        <f>I$5*Yield!R21</f>
        <v>-0.38641314826087847</v>
      </c>
      <c r="J94" s="62">
        <f>J$5*Yield!R20</f>
        <v>-0.37890721120151061</v>
      </c>
      <c r="K94" s="62">
        <f>K$5*Yield!R19</f>
        <v>-0.36887028231776092</v>
      </c>
      <c r="L94" s="62">
        <f>L$5*Yield!R18</f>
        <v>-0.35656453816396189</v>
      </c>
      <c r="M94" s="62">
        <f>M$5*Yield!R17</f>
        <v>-0.33984671194635752</v>
      </c>
      <c r="N94" s="62">
        <f>N$5*Yield!R16</f>
        <v>-0.32534942681499607</v>
      </c>
      <c r="O94" s="62">
        <f>O$5*Yield!R15</f>
        <v>-0.3135400668627783</v>
      </c>
      <c r="P94" s="62">
        <f>P$5*Yield!R14</f>
        <v>-0.34980449115170553</v>
      </c>
      <c r="Q94" s="62">
        <f>Q$5*Yield!R13</f>
        <v>-0.38377752188489445</v>
      </c>
      <c r="R94" s="62">
        <f>R$5*Yield!R12</f>
        <v>-0.43392656129855006</v>
      </c>
      <c r="S94" s="62">
        <f>S$5*Yield!R11</f>
        <v>-0.44345613047539995</v>
      </c>
      <c r="T94" s="62">
        <f>T$5*Yield!R10</f>
        <v>-0.39052999975994906</v>
      </c>
      <c r="U94" s="62">
        <f>U$5*Yield!R9</f>
        <v>-0.28574657577043822</v>
      </c>
      <c r="V94" s="62">
        <f>V$5*Yield!R8</f>
        <v>-0.16703170110339347</v>
      </c>
      <c r="W94" s="62">
        <f>W$5*Yield!R7</f>
        <v>-4.8891848936741054E-2</v>
      </c>
      <c r="X94" s="62">
        <f>X$5*Yield!R6</f>
        <v>-1.9039644091451802E-2</v>
      </c>
      <c r="Y94" s="62">
        <f>Y$5*Yield!R5</f>
        <v>-4.5978609524069116E-3</v>
      </c>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23"/>
      <c r="BJ94" s="61">
        <v>2045</v>
      </c>
      <c r="BK94" s="65">
        <f t="shared" si="14"/>
        <v>-8.22894025858694</v>
      </c>
      <c r="BL94" s="59"/>
      <c r="BM94" s="59"/>
      <c r="BN94" s="19"/>
      <c r="BO94"/>
      <c r="BP94"/>
      <c r="BQ94"/>
      <c r="BR94"/>
      <c r="BS94"/>
      <c r="BT94"/>
      <c r="BU94"/>
      <c r="BV94"/>
      <c r="BW94"/>
      <c r="BX94"/>
      <c r="BY94"/>
      <c r="BZ94"/>
      <c r="CA94"/>
      <c r="CB94"/>
      <c r="CC94"/>
      <c r="CD94"/>
      <c r="CE94"/>
      <c r="CF94"/>
    </row>
    <row r="95" spans="1:84" s="63" customFormat="1" x14ac:dyDescent="0.25">
      <c r="A95" s="61">
        <v>2046</v>
      </c>
      <c r="B95" s="62">
        <f>B$5*Yield!R29</f>
        <v>-0.5220529674807759</v>
      </c>
      <c r="C95" s="62">
        <f>C$5*Yield!R28</f>
        <v>-0.42095766600400758</v>
      </c>
      <c r="D95" s="62">
        <f>D$5*Yield!R27</f>
        <v>-0.60346279188560992</v>
      </c>
      <c r="E95" s="62">
        <f>E$5*Yield!R26</f>
        <v>-0.5119016926238561</v>
      </c>
      <c r="F95" s="62">
        <f>F$5*Yield!R25</f>
        <v>-0.38392711830527121</v>
      </c>
      <c r="G95" s="62">
        <f>G$5*Yield!R24</f>
        <v>-0.38661841323855722</v>
      </c>
      <c r="H95" s="62">
        <f>H$5*Yield!R23</f>
        <v>-0.38977836873354366</v>
      </c>
      <c r="I95" s="62">
        <f>I$5*Yield!R22</f>
        <v>-0.38936564128072987</v>
      </c>
      <c r="J95" s="62">
        <f>J$5*Yield!R21</f>
        <v>-0.38641314826087847</v>
      </c>
      <c r="K95" s="62">
        <f>K$5*Yield!R20</f>
        <v>-0.37890721120151061</v>
      </c>
      <c r="L95" s="62">
        <f>L$5*Yield!R19</f>
        <v>-0.36887028231776092</v>
      </c>
      <c r="M95" s="62">
        <f>M$5*Yield!R18</f>
        <v>-0.35656453816396189</v>
      </c>
      <c r="N95" s="62">
        <f>N$5*Yield!R17</f>
        <v>-0.33984671194635752</v>
      </c>
      <c r="O95" s="62">
        <f>O$5*Yield!R16</f>
        <v>-0.32534942681499607</v>
      </c>
      <c r="P95" s="62">
        <f>P$5*Yield!R15</f>
        <v>-0.3135400668627783</v>
      </c>
      <c r="Q95" s="62">
        <f>Q$5*Yield!R14</f>
        <v>-0.34980449115170553</v>
      </c>
      <c r="R95" s="62">
        <f>R$5*Yield!R13</f>
        <v>-0.38377752188489445</v>
      </c>
      <c r="S95" s="62">
        <f>S$5*Yield!R12</f>
        <v>-0.43392656129855006</v>
      </c>
      <c r="T95" s="62">
        <f>T$5*Yield!R11</f>
        <v>-0.44345613047539995</v>
      </c>
      <c r="U95" s="62">
        <f>U$5*Yield!R10</f>
        <v>-0.39052999975994906</v>
      </c>
      <c r="V95" s="62">
        <f>V$5*Yield!R9</f>
        <v>-0.28574657577043822</v>
      </c>
      <c r="W95" s="62">
        <f>W$5*Yield!R8</f>
        <v>-0.16703170110339347</v>
      </c>
      <c r="X95" s="62">
        <f>X$5*Yield!R7</f>
        <v>-4.8891848936741054E-2</v>
      </c>
      <c r="Y95" s="62">
        <f>Y$5*Yield!R6</f>
        <v>-1.9039644091451802E-2</v>
      </c>
      <c r="Z95" s="62">
        <f>Z$5*Yield!R5</f>
        <v>-4.5978609524069116E-3</v>
      </c>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23"/>
      <c r="BJ95" s="61">
        <v>2046</v>
      </c>
      <c r="BK95" s="65">
        <f t="shared" si="14"/>
        <v>-8.6043583805455253</v>
      </c>
      <c r="BL95" s="59"/>
      <c r="BM95" s="59"/>
      <c r="BN95" s="19"/>
      <c r="BO95"/>
      <c r="BP95"/>
      <c r="BQ95"/>
      <c r="BR95"/>
      <c r="BS95"/>
      <c r="BT95"/>
      <c r="BU95"/>
      <c r="BV95"/>
      <c r="BW95"/>
      <c r="BX95"/>
      <c r="BY95"/>
      <c r="BZ95"/>
      <c r="CA95"/>
      <c r="CB95"/>
      <c r="CC95"/>
      <c r="CD95"/>
      <c r="CE95"/>
      <c r="CF95"/>
    </row>
    <row r="96" spans="1:84" s="63" customFormat="1" x14ac:dyDescent="0.25">
      <c r="A96" s="61">
        <v>2047</v>
      </c>
      <c r="B96" s="62">
        <f>B$5*Yield!R30</f>
        <v>-0.51720749816845657</v>
      </c>
      <c r="C96" s="62">
        <f>C$5*Yield!R29</f>
        <v>-0.41708385100428225</v>
      </c>
      <c r="D96" s="62">
        <f>D$5*Yield!R28</f>
        <v>-0.60022677638166932</v>
      </c>
      <c r="E96" s="62">
        <f>E$5*Yield!R27</f>
        <v>-0.5119029200133105</v>
      </c>
      <c r="F96" s="62">
        <f>F$5*Yield!R26</f>
        <v>-0.38288581887312817</v>
      </c>
      <c r="G96" s="62">
        <f>G$5*Yield!R25</f>
        <v>-0.38392711830527121</v>
      </c>
      <c r="H96" s="62">
        <f>H$5*Yield!R24</f>
        <v>-0.38661841323855722</v>
      </c>
      <c r="I96" s="62">
        <f>I$5*Yield!R23</f>
        <v>-0.38977836873354366</v>
      </c>
      <c r="J96" s="62">
        <f>J$5*Yield!R22</f>
        <v>-0.38936564128072987</v>
      </c>
      <c r="K96" s="62">
        <f>K$5*Yield!R21</f>
        <v>-0.38641314826087847</v>
      </c>
      <c r="L96" s="62">
        <f>L$5*Yield!R20</f>
        <v>-0.37890721120151061</v>
      </c>
      <c r="M96" s="62">
        <f>M$5*Yield!R19</f>
        <v>-0.36887028231776092</v>
      </c>
      <c r="N96" s="62">
        <f>N$5*Yield!R18</f>
        <v>-0.35656453816396189</v>
      </c>
      <c r="O96" s="62">
        <f>O$5*Yield!R17</f>
        <v>-0.33984671194635752</v>
      </c>
      <c r="P96" s="62">
        <f>P$5*Yield!R16</f>
        <v>-0.32534942681499607</v>
      </c>
      <c r="Q96" s="62">
        <f>Q$5*Yield!R15</f>
        <v>-0.3135400668627783</v>
      </c>
      <c r="R96" s="62">
        <f>R$5*Yield!R14</f>
        <v>-0.34980449115170553</v>
      </c>
      <c r="S96" s="62">
        <f>S$5*Yield!R13</f>
        <v>-0.38377752188489445</v>
      </c>
      <c r="T96" s="62">
        <f>T$5*Yield!R12</f>
        <v>-0.43392656129855006</v>
      </c>
      <c r="U96" s="62">
        <f>U$5*Yield!R11</f>
        <v>-0.44345613047539995</v>
      </c>
      <c r="V96" s="62">
        <f>V$5*Yield!R10</f>
        <v>-0.39052999975994906</v>
      </c>
      <c r="W96" s="62">
        <f>W$5*Yield!R9</f>
        <v>-0.28574657577043822</v>
      </c>
      <c r="X96" s="62">
        <f>X$5*Yield!R8</f>
        <v>-0.16703170110339347</v>
      </c>
      <c r="Y96" s="62">
        <f>Y$5*Yield!R7</f>
        <v>-4.8891848936741054E-2</v>
      </c>
      <c r="Z96" s="62">
        <f>Z$5*Yield!R6</f>
        <v>-1.9039644091451802E-2</v>
      </c>
      <c r="AA96" s="62">
        <f>AA$5*Yield!R5</f>
        <v>-4.5978609524069116E-3</v>
      </c>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23"/>
      <c r="BJ96" s="61">
        <v>2047</v>
      </c>
      <c r="BK96" s="65">
        <f t="shared" si="14"/>
        <v>-8.9752901269921228</v>
      </c>
      <c r="BL96" s="59"/>
      <c r="BM96" s="59"/>
      <c r="BN96" s="19"/>
      <c r="BO96"/>
      <c r="BP96"/>
      <c r="BQ96"/>
      <c r="BR96"/>
      <c r="BS96"/>
      <c r="BT96"/>
      <c r="BU96"/>
      <c r="BV96"/>
      <c r="BW96"/>
      <c r="BX96"/>
      <c r="BY96"/>
      <c r="BZ96"/>
      <c r="CA96"/>
      <c r="CB96"/>
      <c r="CC96"/>
      <c r="CD96"/>
      <c r="CE96"/>
      <c r="CF96"/>
    </row>
    <row r="97" spans="1:84" s="63" customFormat="1" x14ac:dyDescent="0.25">
      <c r="A97" s="61">
        <v>2048</v>
      </c>
      <c r="B97" s="62">
        <f>B$5*Yield!R31</f>
        <v>-0.51192221554331274</v>
      </c>
      <c r="C97" s="62">
        <f>C$5*Yield!R30</f>
        <v>-0.41321265952258718</v>
      </c>
      <c r="D97" s="62">
        <f>D$5*Yield!R29</f>
        <v>-0.59470325780162769</v>
      </c>
      <c r="E97" s="62">
        <f>E$5*Yield!R28</f>
        <v>-0.50915788617203672</v>
      </c>
      <c r="F97" s="62">
        <f>F$5*Yield!R27</f>
        <v>-0.38288673692052494</v>
      </c>
      <c r="G97" s="62">
        <f>G$5*Yield!R26</f>
        <v>-0.38288581887312817</v>
      </c>
      <c r="H97" s="62">
        <f>H$5*Yield!R25</f>
        <v>-0.38392711830527121</v>
      </c>
      <c r="I97" s="62">
        <f>I$5*Yield!R24</f>
        <v>-0.38661841323855722</v>
      </c>
      <c r="J97" s="62">
        <f>J$5*Yield!R23</f>
        <v>-0.38977836873354366</v>
      </c>
      <c r="K97" s="62">
        <f>K$5*Yield!R22</f>
        <v>-0.38936564128072987</v>
      </c>
      <c r="L97" s="62">
        <f>L$5*Yield!R21</f>
        <v>-0.38641314826087847</v>
      </c>
      <c r="M97" s="62">
        <f>M$5*Yield!R20</f>
        <v>-0.37890721120151061</v>
      </c>
      <c r="N97" s="62">
        <f>N$5*Yield!R19</f>
        <v>-0.36887028231776092</v>
      </c>
      <c r="O97" s="62">
        <f>O$5*Yield!R18</f>
        <v>-0.35656453816396189</v>
      </c>
      <c r="P97" s="62">
        <f>P$5*Yield!R17</f>
        <v>-0.33984671194635752</v>
      </c>
      <c r="Q97" s="62">
        <f>Q$5*Yield!R16</f>
        <v>-0.32534942681499607</v>
      </c>
      <c r="R97" s="62">
        <f>R$5*Yield!R15</f>
        <v>-0.3135400668627783</v>
      </c>
      <c r="S97" s="62">
        <f>S$5*Yield!R14</f>
        <v>-0.34980449115170553</v>
      </c>
      <c r="T97" s="62">
        <f>T$5*Yield!R13</f>
        <v>-0.38377752188489445</v>
      </c>
      <c r="U97" s="62">
        <f>U$5*Yield!R12</f>
        <v>-0.43392656129855006</v>
      </c>
      <c r="V97" s="62">
        <f>V$5*Yield!R11</f>
        <v>-0.44345613047539995</v>
      </c>
      <c r="W97" s="62">
        <f>W$5*Yield!R10</f>
        <v>-0.39052999975994906</v>
      </c>
      <c r="X97" s="62">
        <f>X$5*Yield!R9</f>
        <v>-0.28574657577043822</v>
      </c>
      <c r="Y97" s="62">
        <f>Y$5*Yield!R8</f>
        <v>-0.16703170110339347</v>
      </c>
      <c r="Z97" s="62">
        <f>Z$5*Yield!R7</f>
        <v>-4.8891848936741054E-2</v>
      </c>
      <c r="AA97" s="62">
        <f>AA$5*Yield!R6</f>
        <v>-1.9039644091451802E-2</v>
      </c>
      <c r="AB97" s="62">
        <f>AB$5*Yield!R5</f>
        <v>-4.5978609524069116E-3</v>
      </c>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23"/>
      <c r="BJ97" s="61">
        <v>2048</v>
      </c>
      <c r="BK97" s="65">
        <f t="shared" si="14"/>
        <v>-9.3407518373844933</v>
      </c>
      <c r="BL97" s="59"/>
      <c r="BM97" s="59"/>
      <c r="BN97" s="19"/>
      <c r="BO97"/>
      <c r="BP97"/>
      <c r="BQ97"/>
      <c r="BR97"/>
      <c r="BS97"/>
      <c r="BT97"/>
      <c r="BU97"/>
      <c r="BV97"/>
      <c r="BW97"/>
      <c r="BX97"/>
      <c r="BY97"/>
      <c r="BZ97"/>
      <c r="CA97"/>
      <c r="CB97"/>
      <c r="CC97"/>
      <c r="CD97"/>
      <c r="CE97"/>
      <c r="CF97"/>
    </row>
    <row r="98" spans="1:84" s="63" customFormat="1" x14ac:dyDescent="0.25">
      <c r="A98" s="61">
        <v>2049</v>
      </c>
      <c r="B98" s="62">
        <f>B$5*Yield!R32</f>
        <v>-0.50641561835964743</v>
      </c>
      <c r="C98" s="62">
        <f>C$5*Yield!R31</f>
        <v>-0.40899008792879166</v>
      </c>
      <c r="D98" s="62">
        <f>D$5*Yield!R30</f>
        <v>-0.58918347999149534</v>
      </c>
      <c r="E98" s="62">
        <f>E$5*Yield!R29</f>
        <v>-0.50447241868689796</v>
      </c>
      <c r="F98" s="62">
        <f>F$5*Yield!R28</f>
        <v>-0.38083354087664534</v>
      </c>
      <c r="G98" s="62">
        <f>G$5*Yield!R27</f>
        <v>-0.38288673692052494</v>
      </c>
      <c r="H98" s="62">
        <f>H$5*Yield!R26</f>
        <v>-0.38288581887312817</v>
      </c>
      <c r="I98" s="62">
        <f>I$5*Yield!R25</f>
        <v>-0.38392711830527121</v>
      </c>
      <c r="J98" s="62">
        <f>J$5*Yield!R24</f>
        <v>-0.38661841323855722</v>
      </c>
      <c r="K98" s="62">
        <f>K$5*Yield!R23</f>
        <v>-0.38977836873354366</v>
      </c>
      <c r="L98" s="62">
        <f>L$5*Yield!R22</f>
        <v>-0.38936564128072987</v>
      </c>
      <c r="M98" s="62">
        <f>M$5*Yield!R21</f>
        <v>-0.38641314826087847</v>
      </c>
      <c r="N98" s="62">
        <f>N$5*Yield!R20</f>
        <v>-0.37890721120151061</v>
      </c>
      <c r="O98" s="62">
        <f>O$5*Yield!R19</f>
        <v>-0.36887028231776092</v>
      </c>
      <c r="P98" s="62">
        <f>P$5*Yield!R18</f>
        <v>-0.35656453816396189</v>
      </c>
      <c r="Q98" s="62">
        <f>Q$5*Yield!R17</f>
        <v>-0.33984671194635752</v>
      </c>
      <c r="R98" s="62">
        <f>R$5*Yield!R16</f>
        <v>-0.32534942681499607</v>
      </c>
      <c r="S98" s="62">
        <f>S$5*Yield!R15</f>
        <v>-0.3135400668627783</v>
      </c>
      <c r="T98" s="62">
        <f>T$5*Yield!R14</f>
        <v>-0.34980449115170553</v>
      </c>
      <c r="U98" s="62">
        <f>U$5*Yield!R13</f>
        <v>-0.38377752188489445</v>
      </c>
      <c r="V98" s="62">
        <f>V$5*Yield!R12</f>
        <v>-0.43392656129855006</v>
      </c>
      <c r="W98" s="62">
        <f>W$5*Yield!R11</f>
        <v>-0.44345613047539995</v>
      </c>
      <c r="X98" s="62">
        <f>X$5*Yield!R10</f>
        <v>-0.39052999975994906</v>
      </c>
      <c r="Y98" s="62">
        <f>Y$5*Yield!R9</f>
        <v>-0.28574657577043822</v>
      </c>
      <c r="Z98" s="62">
        <f>Z$5*Yield!R8</f>
        <v>-0.16703170110339347</v>
      </c>
      <c r="AA98" s="62">
        <f>AA$5*Yield!R7</f>
        <v>-4.8891848936741054E-2</v>
      </c>
      <c r="AB98" s="62">
        <f>AB$5*Yield!R6</f>
        <v>-1.9039644091451802E-2</v>
      </c>
      <c r="AC98" s="62">
        <f>AC$5*Yield!R5</f>
        <v>-4.5978609524069116E-3</v>
      </c>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23"/>
      <c r="BJ98" s="61">
        <v>2049</v>
      </c>
      <c r="BK98" s="65">
        <f t="shared" si="14"/>
        <v>-9.7016509641884063</v>
      </c>
      <c r="BL98" s="59"/>
      <c r="BM98" s="59"/>
      <c r="BN98" s="19"/>
      <c r="BO98"/>
      <c r="BP98"/>
      <c r="BQ98"/>
      <c r="BR98"/>
      <c r="BS98"/>
      <c r="BT98"/>
      <c r="BU98"/>
      <c r="BV98"/>
      <c r="BW98"/>
      <c r="BX98"/>
      <c r="BY98"/>
      <c r="BZ98"/>
      <c r="CA98"/>
      <c r="CB98"/>
      <c r="CC98"/>
      <c r="CD98"/>
      <c r="CE98"/>
      <c r="CF98"/>
    </row>
    <row r="99" spans="1:84" s="63" customFormat="1" x14ac:dyDescent="0.25">
      <c r="A99" s="61">
        <v>2050</v>
      </c>
      <c r="B99" s="62">
        <f>B$5*Yield!R33</f>
        <v>-0.50069054178932981</v>
      </c>
      <c r="C99" s="62">
        <f>C$5*Yield!R32</f>
        <v>-0.40459070146351489</v>
      </c>
      <c r="D99" s="62">
        <f>D$5*Yield!R31</f>
        <v>-0.58316268326900356</v>
      </c>
      <c r="E99" s="62">
        <f>E$5*Yield!R30</f>
        <v>-0.49979012440657877</v>
      </c>
      <c r="F99" s="62">
        <f>F$5*Yield!R29</f>
        <v>-0.3773289635706879</v>
      </c>
      <c r="G99" s="62">
        <f>G$5*Yield!R28</f>
        <v>-0.38083354087664534</v>
      </c>
      <c r="H99" s="62">
        <f>H$5*Yield!R27</f>
        <v>-0.38288673692052494</v>
      </c>
      <c r="I99" s="62">
        <f>I$5*Yield!R26</f>
        <v>-0.38288581887312817</v>
      </c>
      <c r="J99" s="62">
        <f>J$5*Yield!R25</f>
        <v>-0.38392711830527121</v>
      </c>
      <c r="K99" s="62">
        <f>K$5*Yield!R24</f>
        <v>-0.38661841323855722</v>
      </c>
      <c r="L99" s="62">
        <f>L$5*Yield!R23</f>
        <v>-0.38977836873354366</v>
      </c>
      <c r="M99" s="62">
        <f>M$5*Yield!R22</f>
        <v>-0.38936564128072987</v>
      </c>
      <c r="N99" s="62">
        <f>N$5*Yield!R21</f>
        <v>-0.38641314826087847</v>
      </c>
      <c r="O99" s="62">
        <f>O$5*Yield!R20</f>
        <v>-0.37890721120151061</v>
      </c>
      <c r="P99" s="62">
        <f>P$5*Yield!R19</f>
        <v>-0.36887028231776092</v>
      </c>
      <c r="Q99" s="62">
        <f>Q$5*Yield!R18</f>
        <v>-0.35656453816396189</v>
      </c>
      <c r="R99" s="62">
        <f>R$5*Yield!R17</f>
        <v>-0.33984671194635752</v>
      </c>
      <c r="S99" s="62">
        <f>S$5*Yield!R16</f>
        <v>-0.32534942681499607</v>
      </c>
      <c r="T99" s="62">
        <f>T$5*Yield!R15</f>
        <v>-0.3135400668627783</v>
      </c>
      <c r="U99" s="62">
        <f>U$5*Yield!R14</f>
        <v>-0.34980449115170553</v>
      </c>
      <c r="V99" s="62">
        <f>V$5*Yield!R13</f>
        <v>-0.38377752188489445</v>
      </c>
      <c r="W99" s="62">
        <f>W$5*Yield!R12</f>
        <v>-0.43392656129855006</v>
      </c>
      <c r="X99" s="62">
        <f>X$5*Yield!R11</f>
        <v>-0.44345613047539995</v>
      </c>
      <c r="Y99" s="62">
        <f>Y$5*Yield!R10</f>
        <v>-0.39052999975994906</v>
      </c>
      <c r="Z99" s="62">
        <f>Z$5*Yield!R9</f>
        <v>-0.28574657577043822</v>
      </c>
      <c r="AA99" s="62">
        <f>AA$5*Yield!R8</f>
        <v>-0.16703170110339347</v>
      </c>
      <c r="AB99" s="62">
        <f>AB$5*Yield!R7</f>
        <v>-4.8891848936741054E-2</v>
      </c>
      <c r="AC99" s="62">
        <f>AC$5*Yield!R6</f>
        <v>-1.9039644091451802E-2</v>
      </c>
      <c r="AD99" s="62">
        <f>AD$5*Yield!R5</f>
        <v>-4.5978609524069116E-3</v>
      </c>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23"/>
      <c r="BJ99" s="61">
        <v>2050</v>
      </c>
      <c r="BK99" s="65">
        <f t="shared" si="14"/>
        <v>-10.05815237372069</v>
      </c>
      <c r="BL99" s="59"/>
      <c r="BM99" s="59"/>
      <c r="BN99" s="19"/>
      <c r="BO99"/>
      <c r="BP99"/>
      <c r="BQ99"/>
      <c r="BR99"/>
      <c r="BS99"/>
      <c r="BT99"/>
      <c r="BU99"/>
      <c r="BV99"/>
      <c r="BW99"/>
      <c r="BX99"/>
      <c r="BY99"/>
      <c r="BZ99"/>
      <c r="CA99"/>
      <c r="CB99"/>
      <c r="CC99"/>
      <c r="CD99"/>
      <c r="CE99"/>
      <c r="CF99"/>
    </row>
    <row r="100" spans="1:84" s="63" customFormat="1" x14ac:dyDescent="0.25">
      <c r="A100" s="61">
        <v>2051</v>
      </c>
      <c r="B100" s="62">
        <f>B$5*Yield!R34</f>
        <v>-0.49384682138470737</v>
      </c>
      <c r="C100" s="62">
        <f>C$5*Yield!R33</f>
        <v>-0.4000167652310187</v>
      </c>
      <c r="D100" s="62">
        <f>D$5*Yield!R32</f>
        <v>-0.57688977326079138</v>
      </c>
      <c r="E100" s="62">
        <f>E$5*Yield!R31</f>
        <v>-0.49468282787646511</v>
      </c>
      <c r="F100" s="62">
        <f>F$5*Yield!R30</f>
        <v>-0.37382675971874185</v>
      </c>
      <c r="G100" s="62">
        <f>G$5*Yield!R29</f>
        <v>-0.3773289635706879</v>
      </c>
      <c r="H100" s="62">
        <f>H$5*Yield!R28</f>
        <v>-0.38083354087664534</v>
      </c>
      <c r="I100" s="62">
        <f>I$5*Yield!R27</f>
        <v>-0.38288673692052494</v>
      </c>
      <c r="J100" s="62">
        <f>J$5*Yield!R26</f>
        <v>-0.38288581887312817</v>
      </c>
      <c r="K100" s="62">
        <f>K$5*Yield!R25</f>
        <v>-0.38392711830527121</v>
      </c>
      <c r="L100" s="62">
        <f>L$5*Yield!R24</f>
        <v>-0.38661841323855722</v>
      </c>
      <c r="M100" s="62">
        <f>M$5*Yield!R23</f>
        <v>-0.38977836873354366</v>
      </c>
      <c r="N100" s="62">
        <f>N$5*Yield!R22</f>
        <v>-0.38936564128072987</v>
      </c>
      <c r="O100" s="62">
        <f>O$5*Yield!R21</f>
        <v>-0.38641314826087847</v>
      </c>
      <c r="P100" s="62">
        <f>P$5*Yield!R20</f>
        <v>-0.37890721120151061</v>
      </c>
      <c r="Q100" s="62">
        <f>Q$5*Yield!R19</f>
        <v>-0.36887028231776092</v>
      </c>
      <c r="R100" s="62">
        <f>R$5*Yield!R18</f>
        <v>-0.35656453816396189</v>
      </c>
      <c r="S100" s="62">
        <f>S$5*Yield!R17</f>
        <v>-0.33984671194635752</v>
      </c>
      <c r="T100" s="62">
        <f>T$5*Yield!R16</f>
        <v>-0.32534942681499607</v>
      </c>
      <c r="U100" s="62">
        <f>U$5*Yield!R15</f>
        <v>-0.3135400668627783</v>
      </c>
      <c r="V100" s="62">
        <f>V$5*Yield!R14</f>
        <v>-0.34980449115170553</v>
      </c>
      <c r="W100" s="62">
        <f>W$5*Yield!R13</f>
        <v>-0.38377752188489445</v>
      </c>
      <c r="X100" s="62">
        <f>X$5*Yield!R12</f>
        <v>-0.43392656129855006</v>
      </c>
      <c r="Y100" s="62">
        <f>Y$5*Yield!R11</f>
        <v>-0.44345613047539995</v>
      </c>
      <c r="Z100" s="62">
        <f>Z$5*Yield!R10</f>
        <v>-0.39052999975994906</v>
      </c>
      <c r="AA100" s="62">
        <f>AA$5*Yield!R9</f>
        <v>-0.28574657577043822</v>
      </c>
      <c r="AB100" s="62">
        <f>AB$5*Yield!R8</f>
        <v>-0.16703170110339347</v>
      </c>
      <c r="AC100" s="62">
        <f>AC$5*Yield!R7</f>
        <v>-4.8891848936741054E-2</v>
      </c>
      <c r="AD100" s="62">
        <f>AD$5*Yield!R6</f>
        <v>-1.9039644091451802E-2</v>
      </c>
      <c r="AE100" s="62">
        <f>AE$5*Yield!R5</f>
        <v>-4.5978609524069116E-3</v>
      </c>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23"/>
      <c r="BJ100" s="61">
        <v>2051</v>
      </c>
      <c r="BK100" s="65">
        <f t="shared" si="14"/>
        <v>-10.409181270263987</v>
      </c>
      <c r="BL100" s="59"/>
      <c r="BM100" s="59"/>
      <c r="BN100" s="19"/>
      <c r="BO100"/>
      <c r="BP100"/>
      <c r="BQ100"/>
      <c r="BR100"/>
      <c r="BS100"/>
      <c r="BT100"/>
      <c r="BU100"/>
      <c r="BV100"/>
      <c r="BW100"/>
      <c r="BX100"/>
      <c r="BY100"/>
      <c r="BZ100"/>
      <c r="CA100"/>
      <c r="CB100"/>
      <c r="CC100"/>
      <c r="CD100"/>
      <c r="CE100"/>
      <c r="CF100"/>
    </row>
    <row r="101" spans="1:84" s="63" customFormat="1" x14ac:dyDescent="0.25">
      <c r="A101" s="61">
        <v>2052</v>
      </c>
      <c r="B101" s="62">
        <f>B$5*Yield!R35</f>
        <v>-0.48296549091468421</v>
      </c>
      <c r="C101" s="62">
        <f>C$5*Yield!R34</f>
        <v>-0.39454911072206966</v>
      </c>
      <c r="D101" s="62">
        <f>D$5*Yield!R33</f>
        <v>-0.57036797968884489</v>
      </c>
      <c r="E101" s="62">
        <f>E$5*Yield!R32</f>
        <v>-0.48936166973156786</v>
      </c>
      <c r="F101" s="62">
        <f>F$5*Yield!R31</f>
        <v>-0.37000666800516091</v>
      </c>
      <c r="G101" s="62">
        <f>G$5*Yield!R30</f>
        <v>-0.37382675971874185</v>
      </c>
      <c r="H101" s="62">
        <f>H$5*Yield!R29</f>
        <v>-0.3773289635706879</v>
      </c>
      <c r="I101" s="62">
        <f>I$5*Yield!R28</f>
        <v>-0.38083354087664534</v>
      </c>
      <c r="J101" s="62">
        <f>J$5*Yield!R27</f>
        <v>-0.38288673692052494</v>
      </c>
      <c r="K101" s="62">
        <f>K$5*Yield!R26</f>
        <v>-0.38288581887312817</v>
      </c>
      <c r="L101" s="62">
        <f>L$5*Yield!R25</f>
        <v>-0.38392711830527121</v>
      </c>
      <c r="M101" s="62">
        <f>M$5*Yield!R24</f>
        <v>-0.38661841323855722</v>
      </c>
      <c r="N101" s="62">
        <f>N$5*Yield!R23</f>
        <v>-0.38977836873354366</v>
      </c>
      <c r="O101" s="62">
        <f>O$5*Yield!R22</f>
        <v>-0.38936564128072987</v>
      </c>
      <c r="P101" s="62">
        <f>P$5*Yield!R21</f>
        <v>-0.38641314826087847</v>
      </c>
      <c r="Q101" s="62">
        <f>Q$5*Yield!R20</f>
        <v>-0.37890721120151061</v>
      </c>
      <c r="R101" s="62">
        <f>R$5*Yield!R19</f>
        <v>-0.36887028231776092</v>
      </c>
      <c r="S101" s="62">
        <f>S$5*Yield!R18</f>
        <v>-0.35656453816396189</v>
      </c>
      <c r="T101" s="62">
        <f>T$5*Yield!R17</f>
        <v>-0.33984671194635752</v>
      </c>
      <c r="U101" s="62">
        <f>U$5*Yield!R16</f>
        <v>-0.32534942681499607</v>
      </c>
      <c r="V101" s="62">
        <f>V$5*Yield!R15</f>
        <v>-0.3135400668627783</v>
      </c>
      <c r="W101" s="62">
        <f>W$5*Yield!R14</f>
        <v>-0.34980449115170553</v>
      </c>
      <c r="X101" s="62">
        <f>X$5*Yield!R13</f>
        <v>-0.38377752188489445</v>
      </c>
      <c r="Y101" s="62">
        <f>Y$5*Yield!R12</f>
        <v>-0.43392656129855006</v>
      </c>
      <c r="Z101" s="62">
        <f>Z$5*Yield!R11</f>
        <v>-0.44345613047539995</v>
      </c>
      <c r="AA101" s="62">
        <f>AA$5*Yield!R10</f>
        <v>-0.39052999975994906</v>
      </c>
      <c r="AB101" s="62">
        <f>AB$5*Yield!R9</f>
        <v>-0.28574657577043822</v>
      </c>
      <c r="AC101" s="62">
        <f>AC$5*Yield!R8</f>
        <v>-0.16703170110339347</v>
      </c>
      <c r="AD101" s="62">
        <f>AD$5*Yield!R7</f>
        <v>-4.8891848936741054E-2</v>
      </c>
      <c r="AE101" s="62">
        <f>AE$5*Yield!R6</f>
        <v>-1.9039644091451802E-2</v>
      </c>
      <c r="AF101" s="62">
        <f>AF$5*Yield!R5</f>
        <v>-4.5978609524069116E-3</v>
      </c>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23"/>
      <c r="BJ101" s="61">
        <v>2052</v>
      </c>
      <c r="BK101" s="65">
        <f t="shared" si="14"/>
        <v>-10.750996001573332</v>
      </c>
      <c r="BL101" s="59"/>
      <c r="BM101" s="59"/>
      <c r="BN101" s="19"/>
      <c r="BO101"/>
      <c r="BP101"/>
      <c r="BQ101"/>
      <c r="BR101"/>
      <c r="BS101"/>
      <c r="BT101"/>
      <c r="BU101"/>
      <c r="BV101"/>
      <c r="BW101"/>
      <c r="BX101"/>
      <c r="BY101"/>
      <c r="BZ101"/>
      <c r="CA101"/>
      <c r="CB101"/>
      <c r="CC101"/>
      <c r="CD101"/>
      <c r="CE101"/>
      <c r="CF101"/>
    </row>
    <row r="102" spans="1:84" s="63" customFormat="1" x14ac:dyDescent="0.25">
      <c r="A102" s="61">
        <v>2053</v>
      </c>
      <c r="B102" s="62">
        <f>B$5*Yield!R36</f>
        <v>-0.47416627144606083</v>
      </c>
      <c r="C102" s="62">
        <f>C$5*Yield!R35</f>
        <v>-0.38585568783360646</v>
      </c>
      <c r="D102" s="62">
        <f>D$5*Yield!R34</f>
        <v>-0.56257186880808019</v>
      </c>
      <c r="E102" s="62">
        <f>E$5*Yield!R33</f>
        <v>-0.48382938966708916</v>
      </c>
      <c r="F102" s="62">
        <f>F$5*Yield!R32</f>
        <v>-0.36602661475857107</v>
      </c>
      <c r="G102" s="62">
        <f>G$5*Yield!R31</f>
        <v>-0.37000666800516091</v>
      </c>
      <c r="H102" s="62">
        <f>H$5*Yield!R30</f>
        <v>-0.37382675971874185</v>
      </c>
      <c r="I102" s="62">
        <f>I$5*Yield!R29</f>
        <v>-0.3773289635706879</v>
      </c>
      <c r="J102" s="62">
        <f>J$5*Yield!R28</f>
        <v>-0.38083354087664534</v>
      </c>
      <c r="K102" s="62">
        <f>K$5*Yield!R27</f>
        <v>-0.38288673692052494</v>
      </c>
      <c r="L102" s="62">
        <f>L$5*Yield!R26</f>
        <v>-0.38288581887312817</v>
      </c>
      <c r="M102" s="62">
        <f>M$5*Yield!R25</f>
        <v>-0.38392711830527121</v>
      </c>
      <c r="N102" s="62">
        <f>N$5*Yield!R24</f>
        <v>-0.38661841323855722</v>
      </c>
      <c r="O102" s="62">
        <f>O$5*Yield!R23</f>
        <v>-0.38977836873354366</v>
      </c>
      <c r="P102" s="62">
        <f>P$5*Yield!R22</f>
        <v>-0.38936564128072987</v>
      </c>
      <c r="Q102" s="62">
        <f>Q$5*Yield!R21</f>
        <v>-0.38641314826087847</v>
      </c>
      <c r="R102" s="62">
        <f>R$5*Yield!R20</f>
        <v>-0.37890721120151061</v>
      </c>
      <c r="S102" s="62">
        <f>S$5*Yield!R19</f>
        <v>-0.36887028231776092</v>
      </c>
      <c r="T102" s="62">
        <f>T$5*Yield!R18</f>
        <v>-0.35656453816396189</v>
      </c>
      <c r="U102" s="62">
        <f>U$5*Yield!R17</f>
        <v>-0.33984671194635752</v>
      </c>
      <c r="V102" s="62">
        <f>V$5*Yield!R16</f>
        <v>-0.32534942681499607</v>
      </c>
      <c r="W102" s="62">
        <f>W$5*Yield!R15</f>
        <v>-0.3135400668627783</v>
      </c>
      <c r="X102" s="62">
        <f>X$5*Yield!R14</f>
        <v>-0.34980449115170553</v>
      </c>
      <c r="Y102" s="62">
        <f>Y$5*Yield!R13</f>
        <v>-0.38377752188489445</v>
      </c>
      <c r="Z102" s="62">
        <f>Z$5*Yield!R12</f>
        <v>-0.43392656129855006</v>
      </c>
      <c r="AA102" s="62">
        <f>AA$5*Yield!R11</f>
        <v>-0.44345613047539995</v>
      </c>
      <c r="AB102" s="62">
        <f>AB$5*Yield!R10</f>
        <v>-0.39052999975994906</v>
      </c>
      <c r="AC102" s="62">
        <f>AC$5*Yield!R9</f>
        <v>-0.28574657577043822</v>
      </c>
      <c r="AD102" s="62">
        <f>AD$5*Yield!R8</f>
        <v>-0.16703170110339347</v>
      </c>
      <c r="AE102" s="62">
        <f>AE$5*Yield!R7</f>
        <v>-4.8891848936741054E-2</v>
      </c>
      <c r="AF102" s="62">
        <f>AF$5*Yield!R6</f>
        <v>-1.9039644091451802E-2</v>
      </c>
      <c r="AG102" s="62">
        <f>AG$5*Yield!R5</f>
        <v>-4.5978609524069116E-3</v>
      </c>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23"/>
      <c r="BJ102" s="61">
        <v>2053</v>
      </c>
      <c r="BK102" s="65">
        <f t="shared" si="14"/>
        <v>-11.086201583029572</v>
      </c>
      <c r="BL102" s="59"/>
      <c r="BM102" s="59"/>
      <c r="BN102" s="19"/>
      <c r="BO102"/>
      <c r="BP102"/>
      <c r="BQ102"/>
      <c r="BR102"/>
      <c r="BS102"/>
      <c r="BT102"/>
      <c r="BU102"/>
      <c r="BV102"/>
      <c r="BW102"/>
      <c r="BX102"/>
      <c r="BY102"/>
      <c r="BZ102"/>
      <c r="CA102"/>
      <c r="CB102"/>
      <c r="CC102"/>
      <c r="CD102"/>
      <c r="CE102"/>
      <c r="CF102"/>
    </row>
    <row r="103" spans="1:84" s="63" customFormat="1" x14ac:dyDescent="0.25">
      <c r="A103" s="61">
        <v>2054</v>
      </c>
      <c r="B103" s="62">
        <f>B$5*Yield!R37</f>
        <v>-0.46581966429420707</v>
      </c>
      <c r="C103" s="62">
        <f>C$5*Yield!R36</f>
        <v>-0.37882572618140992</v>
      </c>
      <c r="D103" s="62">
        <f>D$5*Yield!R35</f>
        <v>-0.55017626322237456</v>
      </c>
      <c r="E103" s="62">
        <f>E$5*Yield!R34</f>
        <v>-0.47721613698892318</v>
      </c>
      <c r="F103" s="62">
        <f>F$5*Yield!R33</f>
        <v>-0.36188864918188779</v>
      </c>
      <c r="G103" s="62">
        <f>G$5*Yield!R32</f>
        <v>-0.36602661475857107</v>
      </c>
      <c r="H103" s="62">
        <f>H$5*Yield!R31</f>
        <v>-0.37000666800516091</v>
      </c>
      <c r="I103" s="62">
        <f>I$5*Yield!R30</f>
        <v>-0.37382675971874185</v>
      </c>
      <c r="J103" s="62">
        <f>J$5*Yield!R29</f>
        <v>-0.3773289635706879</v>
      </c>
      <c r="K103" s="62">
        <f>K$5*Yield!R28</f>
        <v>-0.38083354087664534</v>
      </c>
      <c r="L103" s="62">
        <f>L$5*Yield!R27</f>
        <v>-0.38288673692052494</v>
      </c>
      <c r="M103" s="62">
        <f>M$5*Yield!R26</f>
        <v>-0.38288581887312817</v>
      </c>
      <c r="N103" s="62">
        <f>N$5*Yield!R25</f>
        <v>-0.38392711830527121</v>
      </c>
      <c r="O103" s="62">
        <f>O$5*Yield!R24</f>
        <v>-0.38661841323855722</v>
      </c>
      <c r="P103" s="62">
        <f>P$5*Yield!R23</f>
        <v>-0.38977836873354366</v>
      </c>
      <c r="Q103" s="62">
        <f>Q$5*Yield!R22</f>
        <v>-0.38936564128072987</v>
      </c>
      <c r="R103" s="62">
        <f>R$5*Yield!R21</f>
        <v>-0.38641314826087847</v>
      </c>
      <c r="S103" s="62">
        <f>S$5*Yield!R20</f>
        <v>-0.37890721120151061</v>
      </c>
      <c r="T103" s="62">
        <f>T$5*Yield!R19</f>
        <v>-0.36887028231776092</v>
      </c>
      <c r="U103" s="62">
        <f>U$5*Yield!R18</f>
        <v>-0.35656453816396189</v>
      </c>
      <c r="V103" s="62">
        <f>V$5*Yield!R17</f>
        <v>-0.33984671194635752</v>
      </c>
      <c r="W103" s="62">
        <f>W$5*Yield!R16</f>
        <v>-0.32534942681499607</v>
      </c>
      <c r="X103" s="62">
        <f>X$5*Yield!R15</f>
        <v>-0.3135400668627783</v>
      </c>
      <c r="Y103" s="62">
        <f>Y$5*Yield!R14</f>
        <v>-0.34980449115170553</v>
      </c>
      <c r="Z103" s="62">
        <f>Z$5*Yield!R13</f>
        <v>-0.38377752188489445</v>
      </c>
      <c r="AA103" s="62">
        <f>AA$5*Yield!R12</f>
        <v>-0.43392656129855006</v>
      </c>
      <c r="AB103" s="62">
        <f>AB$5*Yield!R11</f>
        <v>-0.44345613047539995</v>
      </c>
      <c r="AC103" s="62">
        <f>AC$5*Yield!R10</f>
        <v>-0.39052999975994906</v>
      </c>
      <c r="AD103" s="62">
        <f>AD$5*Yield!R9</f>
        <v>-0.28574657577043822</v>
      </c>
      <c r="AE103" s="62">
        <f>AE$5*Yield!R8</f>
        <v>-0.16703170110339347</v>
      </c>
      <c r="AF103" s="62">
        <f>AF$5*Yield!R7</f>
        <v>-4.8891848936741054E-2</v>
      </c>
      <c r="AG103" s="62">
        <f>AG$5*Yield!R6</f>
        <v>-1.9039644091451802E-2</v>
      </c>
      <c r="AH103" s="62">
        <f>AH$5*Yield!R5</f>
        <v>-4.5978609524069116E-3</v>
      </c>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23"/>
      <c r="BJ103" s="61">
        <v>2054</v>
      </c>
      <c r="BK103" s="65">
        <f t="shared" ref="BK103:BK129" si="15">SUM(B103:BH103)</f>
        <v>-11.413704805143539</v>
      </c>
      <c r="BL103" s="59"/>
      <c r="BM103" s="59"/>
      <c r="BN103" s="19"/>
      <c r="BO103"/>
      <c r="BP103"/>
      <c r="BQ103"/>
      <c r="BR103"/>
      <c r="BS103"/>
      <c r="BT103"/>
      <c r="BU103"/>
      <c r="BV103"/>
      <c r="BW103"/>
      <c r="BX103"/>
      <c r="BY103"/>
      <c r="BZ103"/>
      <c r="CA103"/>
      <c r="CB103"/>
      <c r="CC103"/>
      <c r="CD103"/>
      <c r="CE103"/>
      <c r="CF103"/>
    </row>
    <row r="104" spans="1:84" s="63" customFormat="1" x14ac:dyDescent="0.25">
      <c r="A104" s="61">
        <v>2055</v>
      </c>
      <c r="B104" s="62">
        <f>B$5*Yield!R38</f>
        <v>-0.45485377323501891</v>
      </c>
      <c r="C104" s="62">
        <f>C$5*Yield!R37</f>
        <v>-0.37215737015134243</v>
      </c>
      <c r="D104" s="62">
        <f>D$5*Yield!R36</f>
        <v>-0.54015252078613507</v>
      </c>
      <c r="E104" s="62">
        <f>E$5*Yield!R35</f>
        <v>-0.46670124397484186</v>
      </c>
      <c r="F104" s="62">
        <f>F$5*Yield!R34</f>
        <v>-0.3569421512437474</v>
      </c>
      <c r="G104" s="62">
        <f>G$5*Yield!R33</f>
        <v>-0.36188864918188779</v>
      </c>
      <c r="H104" s="62">
        <f>H$5*Yield!R32</f>
        <v>-0.36602661475857107</v>
      </c>
      <c r="I104" s="62">
        <f>I$5*Yield!R31</f>
        <v>-0.37000666800516091</v>
      </c>
      <c r="J104" s="62">
        <f>J$5*Yield!R30</f>
        <v>-0.37382675971874185</v>
      </c>
      <c r="K104" s="62">
        <f>K$5*Yield!R29</f>
        <v>-0.3773289635706879</v>
      </c>
      <c r="L104" s="62">
        <f>L$5*Yield!R28</f>
        <v>-0.38083354087664534</v>
      </c>
      <c r="M104" s="62">
        <f>M$5*Yield!R27</f>
        <v>-0.38288673692052494</v>
      </c>
      <c r="N104" s="62">
        <f>N$5*Yield!R26</f>
        <v>-0.38288581887312817</v>
      </c>
      <c r="O104" s="62">
        <f>O$5*Yield!R25</f>
        <v>-0.38392711830527121</v>
      </c>
      <c r="P104" s="62">
        <f>P$5*Yield!R24</f>
        <v>-0.38661841323855722</v>
      </c>
      <c r="Q104" s="62">
        <f>Q$5*Yield!R23</f>
        <v>-0.38977836873354366</v>
      </c>
      <c r="R104" s="62">
        <f>R$5*Yield!R22</f>
        <v>-0.38936564128072987</v>
      </c>
      <c r="S104" s="62">
        <f>S$5*Yield!R21</f>
        <v>-0.38641314826087847</v>
      </c>
      <c r="T104" s="62">
        <f>T$5*Yield!R20</f>
        <v>-0.37890721120151061</v>
      </c>
      <c r="U104" s="62">
        <f>U$5*Yield!R19</f>
        <v>-0.36887028231776092</v>
      </c>
      <c r="V104" s="62">
        <f>V$5*Yield!R18</f>
        <v>-0.35656453816396189</v>
      </c>
      <c r="W104" s="62">
        <f>W$5*Yield!R17</f>
        <v>-0.33984671194635752</v>
      </c>
      <c r="X104" s="62">
        <f>X$5*Yield!R16</f>
        <v>-0.32534942681499607</v>
      </c>
      <c r="Y104" s="62">
        <f>Y$5*Yield!R15</f>
        <v>-0.3135400668627783</v>
      </c>
      <c r="Z104" s="62">
        <f>Z$5*Yield!R14</f>
        <v>-0.34980449115170553</v>
      </c>
      <c r="AA104" s="62">
        <f>AA$5*Yield!R13</f>
        <v>-0.38377752188489445</v>
      </c>
      <c r="AB104" s="62">
        <f>AB$5*Yield!R12</f>
        <v>-0.43392656129855006</v>
      </c>
      <c r="AC104" s="62">
        <f>AC$5*Yield!R11</f>
        <v>-0.44345613047539995</v>
      </c>
      <c r="AD104" s="62">
        <f>AD$5*Yield!R10</f>
        <v>-0.39052999975994906</v>
      </c>
      <c r="AE104" s="62">
        <f>AE$5*Yield!R9</f>
        <v>-0.28574657577043822</v>
      </c>
      <c r="AF104" s="62">
        <f>AF$5*Yield!R8</f>
        <v>-0.16703170110339347</v>
      </c>
      <c r="AG104" s="62">
        <f>AG$5*Yield!R7</f>
        <v>-4.8891848936741054E-2</v>
      </c>
      <c r="AH104" s="62">
        <f>AH$5*Yield!R6</f>
        <v>-1.9039644091451802E-2</v>
      </c>
      <c r="AI104" s="62">
        <f>AI$5*Yield!R5</f>
        <v>-4.5978609524069116E-3</v>
      </c>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23"/>
      <c r="BJ104" s="61">
        <v>2055</v>
      </c>
      <c r="BK104" s="65">
        <f t="shared" si="15"/>
        <v>-11.73247407384771</v>
      </c>
      <c r="BL104" s="59"/>
      <c r="BM104" s="59"/>
      <c r="BN104" s="19"/>
      <c r="BO104"/>
      <c r="BP104"/>
      <c r="BQ104"/>
      <c r="BR104"/>
      <c r="BS104"/>
      <c r="BT104"/>
      <c r="BU104"/>
      <c r="BV104"/>
      <c r="BW104"/>
      <c r="BX104"/>
      <c r="BY104"/>
      <c r="BZ104"/>
      <c r="CA104"/>
      <c r="CB104"/>
      <c r="CC104"/>
      <c r="CD104"/>
      <c r="CE104"/>
      <c r="CF104"/>
    </row>
    <row r="105" spans="1:84" s="63" customFormat="1" x14ac:dyDescent="0.25">
      <c r="A105" s="61">
        <v>2056</v>
      </c>
      <c r="B105" s="62">
        <f>B$5*Yield!R39</f>
        <v>-0.44633453552473212</v>
      </c>
      <c r="C105" s="62">
        <f>C$5*Yield!R38</f>
        <v>-0.36339638925944079</v>
      </c>
      <c r="D105" s="62">
        <f>D$5*Yield!R37</f>
        <v>-0.53064437740989689</v>
      </c>
      <c r="E105" s="62">
        <f>E$5*Yield!R36</f>
        <v>-0.45819834521858349</v>
      </c>
      <c r="F105" s="62">
        <f>F$5*Yield!R35</f>
        <v>-0.34907735321695488</v>
      </c>
      <c r="G105" s="62">
        <f>G$5*Yield!R34</f>
        <v>-0.3569421512437474</v>
      </c>
      <c r="H105" s="62">
        <f>H$5*Yield!R33</f>
        <v>-0.36188864918188779</v>
      </c>
      <c r="I105" s="62">
        <f>I$5*Yield!R32</f>
        <v>-0.36602661475857107</v>
      </c>
      <c r="J105" s="62">
        <f>J$5*Yield!R31</f>
        <v>-0.37000666800516091</v>
      </c>
      <c r="K105" s="62">
        <f>K$5*Yield!R30</f>
        <v>-0.37382675971874185</v>
      </c>
      <c r="L105" s="62">
        <f>L$5*Yield!R29</f>
        <v>-0.3773289635706879</v>
      </c>
      <c r="M105" s="62">
        <f>M$5*Yield!R28</f>
        <v>-0.38083354087664534</v>
      </c>
      <c r="N105" s="62">
        <f>N$5*Yield!R27</f>
        <v>-0.38288673692052494</v>
      </c>
      <c r="O105" s="62">
        <f>O$5*Yield!R26</f>
        <v>-0.38288581887312817</v>
      </c>
      <c r="P105" s="62">
        <f>P$5*Yield!R25</f>
        <v>-0.38392711830527121</v>
      </c>
      <c r="Q105" s="62">
        <f>Q$5*Yield!R24</f>
        <v>-0.38661841323855722</v>
      </c>
      <c r="R105" s="62">
        <f>R$5*Yield!R23</f>
        <v>-0.38977836873354366</v>
      </c>
      <c r="S105" s="62">
        <f>S$5*Yield!R22</f>
        <v>-0.38936564128072987</v>
      </c>
      <c r="T105" s="62">
        <f>T$5*Yield!R21</f>
        <v>-0.38641314826087847</v>
      </c>
      <c r="U105" s="62">
        <f>U$5*Yield!R20</f>
        <v>-0.37890721120151061</v>
      </c>
      <c r="V105" s="62">
        <f>V$5*Yield!R19</f>
        <v>-0.36887028231776092</v>
      </c>
      <c r="W105" s="62">
        <f>W$5*Yield!R18</f>
        <v>-0.35656453816396189</v>
      </c>
      <c r="X105" s="62">
        <f>X$5*Yield!R17</f>
        <v>-0.33984671194635752</v>
      </c>
      <c r="Y105" s="62">
        <f>Y$5*Yield!R16</f>
        <v>-0.32534942681499607</v>
      </c>
      <c r="Z105" s="62">
        <f>Z$5*Yield!R15</f>
        <v>-0.3135400668627783</v>
      </c>
      <c r="AA105" s="62">
        <f>AA$5*Yield!R14</f>
        <v>-0.34980449115170553</v>
      </c>
      <c r="AB105" s="62">
        <f>AB$5*Yield!R13</f>
        <v>-0.38377752188489445</v>
      </c>
      <c r="AC105" s="62">
        <f>AC$5*Yield!R12</f>
        <v>-0.43392656129855006</v>
      </c>
      <c r="AD105" s="62">
        <f>AD$5*Yield!R11</f>
        <v>-0.44345613047539995</v>
      </c>
      <c r="AE105" s="62">
        <f>AE$5*Yield!R10</f>
        <v>-0.39052999975994906</v>
      </c>
      <c r="AF105" s="62">
        <f>AF$5*Yield!R9</f>
        <v>-0.28574657577043822</v>
      </c>
      <c r="AG105" s="62">
        <f>AG$5*Yield!R8</f>
        <v>-0.16703170110339347</v>
      </c>
      <c r="AH105" s="62">
        <f>AH$5*Yield!R7</f>
        <v>-4.8891848936741054E-2</v>
      </c>
      <c r="AI105" s="62">
        <f>AI$5*Yield!R6</f>
        <v>-1.9039644091451802E-2</v>
      </c>
      <c r="AJ105" s="62">
        <f>AJ$5*Yield!R5</f>
        <v>-4.5978609524069116E-3</v>
      </c>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23"/>
      <c r="BJ105" s="61">
        <v>2056</v>
      </c>
      <c r="BK105" s="65">
        <f t="shared" si="15"/>
        <v>-12.046260166329981</v>
      </c>
      <c r="BL105" s="59"/>
      <c r="BM105" s="59"/>
      <c r="BN105" s="19"/>
      <c r="BO105"/>
      <c r="BP105"/>
      <c r="BQ105"/>
      <c r="BR105"/>
      <c r="BS105"/>
      <c r="BT105"/>
      <c r="BU105"/>
      <c r="BV105"/>
      <c r="BW105"/>
      <c r="BX105"/>
      <c r="BY105"/>
      <c r="BZ105"/>
      <c r="CA105"/>
      <c r="CB105"/>
      <c r="CC105"/>
      <c r="CD105"/>
      <c r="CE105"/>
      <c r="CF105"/>
    </row>
    <row r="106" spans="1:84" s="63" customFormat="1" x14ac:dyDescent="0.25">
      <c r="A106" s="61">
        <v>2057</v>
      </c>
      <c r="B106" s="62">
        <f>B$5*Yield!R40</f>
        <v>-0.43746429790335262</v>
      </c>
      <c r="C106" s="62">
        <f>C$5*Yield!R39</f>
        <v>-0.35659011347295527</v>
      </c>
      <c r="D106" s="62">
        <f>D$5*Yield!R38</f>
        <v>-0.51815244355677292</v>
      </c>
      <c r="E106" s="62">
        <f>E$5*Yield!R37</f>
        <v>-0.45013281669942978</v>
      </c>
      <c r="F106" s="62">
        <f>F$5*Yield!R36</f>
        <v>-0.34271746146430637</v>
      </c>
      <c r="G106" s="62">
        <f>G$5*Yield!R35</f>
        <v>-0.34907735321695488</v>
      </c>
      <c r="H106" s="62">
        <f>H$5*Yield!R34</f>
        <v>-0.3569421512437474</v>
      </c>
      <c r="I106" s="62">
        <f>I$5*Yield!R33</f>
        <v>-0.36188864918188779</v>
      </c>
      <c r="J106" s="62">
        <f>J$5*Yield!R32</f>
        <v>-0.36602661475857107</v>
      </c>
      <c r="K106" s="62">
        <f>K$5*Yield!R31</f>
        <v>-0.37000666800516091</v>
      </c>
      <c r="L106" s="62">
        <f>L$5*Yield!R30</f>
        <v>-0.37382675971874185</v>
      </c>
      <c r="M106" s="62">
        <f>M$5*Yield!R29</f>
        <v>-0.3773289635706879</v>
      </c>
      <c r="N106" s="62">
        <f>N$5*Yield!R28</f>
        <v>-0.38083354087664534</v>
      </c>
      <c r="O106" s="62">
        <f>O$5*Yield!R27</f>
        <v>-0.38288673692052494</v>
      </c>
      <c r="P106" s="62">
        <f>P$5*Yield!R26</f>
        <v>-0.38288581887312817</v>
      </c>
      <c r="Q106" s="62">
        <f>Q$5*Yield!R25</f>
        <v>-0.38392711830527121</v>
      </c>
      <c r="R106" s="62">
        <f>R$5*Yield!R24</f>
        <v>-0.38661841323855722</v>
      </c>
      <c r="S106" s="62">
        <f>S$5*Yield!R23</f>
        <v>-0.38977836873354366</v>
      </c>
      <c r="T106" s="62">
        <f>T$5*Yield!R22</f>
        <v>-0.38936564128072987</v>
      </c>
      <c r="U106" s="62">
        <f>U$5*Yield!R21</f>
        <v>-0.38641314826087847</v>
      </c>
      <c r="V106" s="62">
        <f>V$5*Yield!R20</f>
        <v>-0.37890721120151061</v>
      </c>
      <c r="W106" s="62">
        <f>W$5*Yield!R19</f>
        <v>-0.36887028231776092</v>
      </c>
      <c r="X106" s="62">
        <f>X$5*Yield!R18</f>
        <v>-0.35656453816396189</v>
      </c>
      <c r="Y106" s="62">
        <f>Y$5*Yield!R17</f>
        <v>-0.33984671194635752</v>
      </c>
      <c r="Z106" s="62">
        <f>Z$5*Yield!R16</f>
        <v>-0.32534942681499607</v>
      </c>
      <c r="AA106" s="62">
        <f>AA$5*Yield!R15</f>
        <v>-0.3135400668627783</v>
      </c>
      <c r="AB106" s="62">
        <f>AB$5*Yield!R14</f>
        <v>-0.34980449115170553</v>
      </c>
      <c r="AC106" s="62">
        <f>AC$5*Yield!R13</f>
        <v>-0.38377752188489445</v>
      </c>
      <c r="AD106" s="62">
        <f>AD$5*Yield!R12</f>
        <v>-0.43392656129855006</v>
      </c>
      <c r="AE106" s="62">
        <f>AE$5*Yield!R11</f>
        <v>-0.44345613047539995</v>
      </c>
      <c r="AF106" s="62">
        <f>AF$5*Yield!R10</f>
        <v>-0.39052999975994906</v>
      </c>
      <c r="AG106" s="62">
        <f>AG$5*Yield!R9</f>
        <v>-0.28574657577043822</v>
      </c>
      <c r="AH106" s="62">
        <f>AH$5*Yield!R8</f>
        <v>-0.16703170110339347</v>
      </c>
      <c r="AI106" s="62">
        <f>AI$5*Yield!R7</f>
        <v>-4.8891848936741054E-2</v>
      </c>
      <c r="AJ106" s="62">
        <f>AJ$5*Yield!R6</f>
        <v>-1.9039644091451802E-2</v>
      </c>
      <c r="AK106" s="62">
        <f>AK$5*Yield!R5</f>
        <v>-4.5978609524069116E-3</v>
      </c>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23"/>
      <c r="BJ106" s="61">
        <v>2057</v>
      </c>
      <c r="BK106" s="65">
        <f t="shared" si="15"/>
        <v>-12.352743652014144</v>
      </c>
      <c r="BL106" s="59"/>
      <c r="BM106" s="59"/>
      <c r="BN106" s="19"/>
      <c r="BO106"/>
      <c r="BP106"/>
      <c r="BQ106"/>
      <c r="BR106"/>
      <c r="BS106"/>
      <c r="BT106"/>
      <c r="BU106"/>
      <c r="BV106"/>
      <c r="BW106"/>
      <c r="BX106"/>
      <c r="BY106"/>
      <c r="BZ106"/>
      <c r="CA106"/>
      <c r="CB106"/>
      <c r="CC106"/>
      <c r="CD106"/>
      <c r="CE106"/>
      <c r="CF106"/>
    </row>
    <row r="107" spans="1:84" s="63" customFormat="1" x14ac:dyDescent="0.25">
      <c r="A107" s="61">
        <v>2058</v>
      </c>
      <c r="B107" s="62">
        <f>B$5*Yield!R41</f>
        <v>-0.42902759687416681</v>
      </c>
      <c r="C107" s="62">
        <f>C$5*Yield!R40</f>
        <v>-0.34950341327795204</v>
      </c>
      <c r="D107" s="62">
        <f>D$5*Yield!R39</f>
        <v>-0.5084476458908529</v>
      </c>
      <c r="E107" s="62">
        <f>E$5*Yield!R38</f>
        <v>-0.43953621074126253</v>
      </c>
      <c r="F107" s="62">
        <f>F$5*Yield!R37</f>
        <v>-0.33668470842558973</v>
      </c>
      <c r="G107" s="62">
        <f>G$5*Yield!R36</f>
        <v>-0.34271746146430637</v>
      </c>
      <c r="H107" s="62">
        <f>H$5*Yield!R35</f>
        <v>-0.34907735321695488</v>
      </c>
      <c r="I107" s="62">
        <f>I$5*Yield!R34</f>
        <v>-0.3569421512437474</v>
      </c>
      <c r="J107" s="62">
        <f>J$5*Yield!R33</f>
        <v>-0.36188864918188779</v>
      </c>
      <c r="K107" s="62">
        <f>K$5*Yield!R32</f>
        <v>-0.36602661475857107</v>
      </c>
      <c r="L107" s="62">
        <f>L$5*Yield!R31</f>
        <v>-0.37000666800516091</v>
      </c>
      <c r="M107" s="62">
        <f>M$5*Yield!R30</f>
        <v>-0.37382675971874185</v>
      </c>
      <c r="N107" s="62">
        <f>N$5*Yield!R29</f>
        <v>-0.3773289635706879</v>
      </c>
      <c r="O107" s="62">
        <f>O$5*Yield!R28</f>
        <v>-0.38083354087664534</v>
      </c>
      <c r="P107" s="62">
        <f>P$5*Yield!R27</f>
        <v>-0.38288673692052494</v>
      </c>
      <c r="Q107" s="62">
        <f>Q$5*Yield!R26</f>
        <v>-0.38288581887312817</v>
      </c>
      <c r="R107" s="62">
        <f>R$5*Yield!R25</f>
        <v>-0.38392711830527121</v>
      </c>
      <c r="S107" s="62">
        <f>S$5*Yield!R24</f>
        <v>-0.38661841323855722</v>
      </c>
      <c r="T107" s="62">
        <f>T$5*Yield!R23</f>
        <v>-0.38977836873354366</v>
      </c>
      <c r="U107" s="62">
        <f>U$5*Yield!R22</f>
        <v>-0.38936564128072987</v>
      </c>
      <c r="V107" s="62">
        <f>V$5*Yield!R21</f>
        <v>-0.38641314826087847</v>
      </c>
      <c r="W107" s="62">
        <f>W$5*Yield!R20</f>
        <v>-0.37890721120151061</v>
      </c>
      <c r="X107" s="62">
        <f>X$5*Yield!R19</f>
        <v>-0.36887028231776092</v>
      </c>
      <c r="Y107" s="62">
        <f>Y$5*Yield!R18</f>
        <v>-0.35656453816396189</v>
      </c>
      <c r="Z107" s="62">
        <f>Z$5*Yield!R17</f>
        <v>-0.33984671194635752</v>
      </c>
      <c r="AA107" s="62">
        <f>AA$5*Yield!R16</f>
        <v>-0.32534942681499607</v>
      </c>
      <c r="AB107" s="62">
        <f>AB$5*Yield!R15</f>
        <v>-0.3135400668627783</v>
      </c>
      <c r="AC107" s="62">
        <f>AC$5*Yield!R14</f>
        <v>-0.34980449115170553</v>
      </c>
      <c r="AD107" s="62">
        <f>AD$5*Yield!R13</f>
        <v>-0.38377752188489445</v>
      </c>
      <c r="AE107" s="62">
        <f>AE$5*Yield!R12</f>
        <v>-0.43392656129855006</v>
      </c>
      <c r="AF107" s="62">
        <f>AF$5*Yield!R11</f>
        <v>-0.44345613047539995</v>
      </c>
      <c r="AG107" s="62">
        <f>AG$5*Yield!R10</f>
        <v>-0.39052999975994906</v>
      </c>
      <c r="AH107" s="62">
        <f>AH$5*Yield!R9</f>
        <v>-0.28574657577043822</v>
      </c>
      <c r="AI107" s="62">
        <f>AI$5*Yield!R8</f>
        <v>-0.16703170110339347</v>
      </c>
      <c r="AJ107" s="62">
        <f>AJ$5*Yield!R7</f>
        <v>-4.8891848936741054E-2</v>
      </c>
      <c r="AK107" s="62">
        <f>AK$5*Yield!R6</f>
        <v>-1.9039644091451802E-2</v>
      </c>
      <c r="AL107" s="62">
        <f>AL$5*Yield!R5</f>
        <v>-4.5978609524069116E-3</v>
      </c>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23"/>
      <c r="BJ107" s="61">
        <v>2058</v>
      </c>
      <c r="BK107" s="65">
        <f t="shared" si="15"/>
        <v>-12.653603555591458</v>
      </c>
      <c r="BL107" s="59"/>
      <c r="BM107" s="59"/>
      <c r="BN107" s="19"/>
      <c r="BO107"/>
      <c r="BP107"/>
      <c r="BQ107"/>
      <c r="BR107"/>
      <c r="BS107"/>
      <c r="BT107"/>
      <c r="BU107"/>
      <c r="BV107"/>
      <c r="BW107"/>
      <c r="BX107"/>
      <c r="BY107"/>
      <c r="BZ107"/>
      <c r="CA107"/>
      <c r="CB107"/>
      <c r="CC107"/>
      <c r="CD107"/>
      <c r="CE107"/>
      <c r="CF107"/>
    </row>
    <row r="108" spans="1:84" s="63" customFormat="1" x14ac:dyDescent="0.25">
      <c r="A108" s="61">
        <v>2059</v>
      </c>
      <c r="B108" s="62">
        <f>B$5*Yield!R42</f>
        <v>-0.42152164937543118</v>
      </c>
      <c r="C108" s="62">
        <f>C$5*Yield!R41</f>
        <v>-0.34276307853374971</v>
      </c>
      <c r="D108" s="62">
        <f>D$5*Yield!R40</f>
        <v>-0.49834300222535516</v>
      </c>
      <c r="E108" s="62">
        <f>E$5*Yield!R39</f>
        <v>-0.43130386513499941</v>
      </c>
      <c r="F108" s="62">
        <f>F$5*Yield!R38</f>
        <v>-0.32875879177395251</v>
      </c>
      <c r="G108" s="62">
        <f>G$5*Yield!R37</f>
        <v>-0.33668470842558973</v>
      </c>
      <c r="H108" s="62">
        <f>H$5*Yield!R36</f>
        <v>-0.34271746146430637</v>
      </c>
      <c r="I108" s="62">
        <f>I$5*Yield!R35</f>
        <v>-0.34907735321695488</v>
      </c>
      <c r="J108" s="62">
        <f>J$5*Yield!R34</f>
        <v>-0.3569421512437474</v>
      </c>
      <c r="K108" s="62">
        <f>K$5*Yield!R33</f>
        <v>-0.36188864918188779</v>
      </c>
      <c r="L108" s="62">
        <f>L$5*Yield!R32</f>
        <v>-0.36602661475857107</v>
      </c>
      <c r="M108" s="62">
        <f>M$5*Yield!R31</f>
        <v>-0.37000666800516091</v>
      </c>
      <c r="N108" s="62">
        <f>N$5*Yield!R30</f>
        <v>-0.37382675971874185</v>
      </c>
      <c r="O108" s="62">
        <f>O$5*Yield!R29</f>
        <v>-0.3773289635706879</v>
      </c>
      <c r="P108" s="62">
        <f>P$5*Yield!R28</f>
        <v>-0.38083354087664534</v>
      </c>
      <c r="Q108" s="62">
        <f>Q$5*Yield!R27</f>
        <v>-0.38288673692052494</v>
      </c>
      <c r="R108" s="62">
        <f>R$5*Yield!R26</f>
        <v>-0.38288581887312817</v>
      </c>
      <c r="S108" s="62">
        <f>S$5*Yield!R25</f>
        <v>-0.38392711830527121</v>
      </c>
      <c r="T108" s="62">
        <f>T$5*Yield!R24</f>
        <v>-0.38661841323855722</v>
      </c>
      <c r="U108" s="62">
        <f>U$5*Yield!R23</f>
        <v>-0.38977836873354366</v>
      </c>
      <c r="V108" s="62">
        <f>V$5*Yield!R22</f>
        <v>-0.38936564128072987</v>
      </c>
      <c r="W108" s="62">
        <f>W$5*Yield!R21</f>
        <v>-0.38641314826087847</v>
      </c>
      <c r="X108" s="62">
        <f>X$5*Yield!R20</f>
        <v>-0.37890721120151061</v>
      </c>
      <c r="Y108" s="62">
        <f>Y$5*Yield!R19</f>
        <v>-0.36887028231776092</v>
      </c>
      <c r="Z108" s="62">
        <f>Z$5*Yield!R18</f>
        <v>-0.35656453816396189</v>
      </c>
      <c r="AA108" s="62">
        <f>AA$5*Yield!R17</f>
        <v>-0.33984671194635752</v>
      </c>
      <c r="AB108" s="62">
        <f>AB$5*Yield!R16</f>
        <v>-0.32534942681499607</v>
      </c>
      <c r="AC108" s="62">
        <f>AC$5*Yield!R15</f>
        <v>-0.3135400668627783</v>
      </c>
      <c r="AD108" s="62">
        <f>AD$5*Yield!R14</f>
        <v>-0.34980449115170553</v>
      </c>
      <c r="AE108" s="62">
        <f>AE$5*Yield!R13</f>
        <v>-0.38377752188489445</v>
      </c>
      <c r="AF108" s="62">
        <f>AF$5*Yield!R12</f>
        <v>-0.43392656129855006</v>
      </c>
      <c r="AG108" s="62">
        <f>AG$5*Yield!R11</f>
        <v>-0.44345613047539995</v>
      </c>
      <c r="AH108" s="62">
        <f>AH$5*Yield!R10</f>
        <v>-0.39052999975994906</v>
      </c>
      <c r="AI108" s="62">
        <f>AI$5*Yield!R9</f>
        <v>-0.28574657577043822</v>
      </c>
      <c r="AJ108" s="62">
        <f>AJ$5*Yield!R8</f>
        <v>-0.16703170110339347</v>
      </c>
      <c r="AK108" s="62">
        <f>AK$5*Yield!R7</f>
        <v>-4.8891848936741054E-2</v>
      </c>
      <c r="AL108" s="62">
        <f>AL$5*Yield!R6</f>
        <v>-1.9039644091451802E-2</v>
      </c>
      <c r="AM108" s="62">
        <f>AM$5*Yield!R5</f>
        <v>-4.5978609524069116E-3</v>
      </c>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23"/>
      <c r="BJ108" s="61">
        <v>2059</v>
      </c>
      <c r="BK108" s="65">
        <f t="shared" si="15"/>
        <v>-12.949779075850712</v>
      </c>
      <c r="BL108" s="59"/>
      <c r="BM108" s="59"/>
      <c r="BN108" s="19"/>
      <c r="BO108"/>
      <c r="BP108"/>
      <c r="BQ108"/>
      <c r="BR108"/>
      <c r="BS108"/>
      <c r="BT108"/>
      <c r="BU108"/>
      <c r="BV108"/>
      <c r="BW108"/>
      <c r="BX108"/>
      <c r="BY108"/>
      <c r="BZ108"/>
      <c r="CA108"/>
      <c r="CB108"/>
      <c r="CC108"/>
      <c r="CD108"/>
      <c r="CE108"/>
      <c r="CF108"/>
    </row>
    <row r="109" spans="1:84" s="63" customFormat="1" x14ac:dyDescent="0.25">
      <c r="A109" s="61">
        <v>2060</v>
      </c>
      <c r="B109" s="62">
        <f>B$5*Yield!R43</f>
        <v>-0.41474480335468766</v>
      </c>
      <c r="C109" s="62">
        <f>C$5*Yield!R42</f>
        <v>-0.3367663508390184</v>
      </c>
      <c r="D109" s="62">
        <f>D$5*Yield!R41</f>
        <v>-0.48873222726631826</v>
      </c>
      <c r="E109" s="62">
        <f>E$5*Yield!R40</f>
        <v>-0.42273233981874953</v>
      </c>
      <c r="F109" s="62">
        <f>F$5*Yield!R39</f>
        <v>-0.32260126497902392</v>
      </c>
      <c r="G109" s="62">
        <f>G$5*Yield!R38</f>
        <v>-0.32875879177395251</v>
      </c>
      <c r="H109" s="62">
        <f>H$5*Yield!R37</f>
        <v>-0.33668470842558973</v>
      </c>
      <c r="I109" s="62">
        <f>I$5*Yield!R36</f>
        <v>-0.34271746146430637</v>
      </c>
      <c r="J109" s="62">
        <f>J$5*Yield!R35</f>
        <v>-0.34907735321695488</v>
      </c>
      <c r="K109" s="62">
        <f>K$5*Yield!R34</f>
        <v>-0.3569421512437474</v>
      </c>
      <c r="L109" s="62">
        <f>L$5*Yield!R33</f>
        <v>-0.36188864918188779</v>
      </c>
      <c r="M109" s="62">
        <f>M$5*Yield!R32</f>
        <v>-0.36602661475857107</v>
      </c>
      <c r="N109" s="62">
        <f>N$5*Yield!R31</f>
        <v>-0.37000666800516091</v>
      </c>
      <c r="O109" s="62">
        <f>O$5*Yield!R30</f>
        <v>-0.37382675971874185</v>
      </c>
      <c r="P109" s="62">
        <f>P$5*Yield!R29</f>
        <v>-0.3773289635706879</v>
      </c>
      <c r="Q109" s="62">
        <f>Q$5*Yield!R28</f>
        <v>-0.38083354087664534</v>
      </c>
      <c r="R109" s="62">
        <f>R$5*Yield!R27</f>
        <v>-0.38288673692052494</v>
      </c>
      <c r="S109" s="62">
        <f>S$5*Yield!R26</f>
        <v>-0.38288581887312817</v>
      </c>
      <c r="T109" s="62">
        <f>T$5*Yield!R25</f>
        <v>-0.38392711830527121</v>
      </c>
      <c r="U109" s="62">
        <f>U$5*Yield!R24</f>
        <v>-0.38661841323855722</v>
      </c>
      <c r="V109" s="62">
        <f>V$5*Yield!R23</f>
        <v>-0.38977836873354366</v>
      </c>
      <c r="W109" s="62">
        <f>W$5*Yield!R22</f>
        <v>-0.38936564128072987</v>
      </c>
      <c r="X109" s="62">
        <f>X$5*Yield!R21</f>
        <v>-0.38641314826087847</v>
      </c>
      <c r="Y109" s="62">
        <f>Y$5*Yield!R20</f>
        <v>-0.37890721120151061</v>
      </c>
      <c r="Z109" s="62">
        <f>Z$5*Yield!R19</f>
        <v>-0.36887028231776092</v>
      </c>
      <c r="AA109" s="62">
        <f>AA$5*Yield!R18</f>
        <v>-0.35656453816396189</v>
      </c>
      <c r="AB109" s="62">
        <f>AB$5*Yield!R17</f>
        <v>-0.33984671194635752</v>
      </c>
      <c r="AC109" s="62">
        <f>AC$5*Yield!R16</f>
        <v>-0.32534942681499607</v>
      </c>
      <c r="AD109" s="62">
        <f>AD$5*Yield!R15</f>
        <v>-0.3135400668627783</v>
      </c>
      <c r="AE109" s="62">
        <f>AE$5*Yield!R14</f>
        <v>-0.34980449115170553</v>
      </c>
      <c r="AF109" s="62">
        <f>AF$5*Yield!R13</f>
        <v>-0.38377752188489445</v>
      </c>
      <c r="AG109" s="62">
        <f>AG$5*Yield!R12</f>
        <v>-0.43392656129855006</v>
      </c>
      <c r="AH109" s="62">
        <f>AH$5*Yield!R11</f>
        <v>-0.44345613047539995</v>
      </c>
      <c r="AI109" s="62">
        <f>AI$5*Yield!R10</f>
        <v>-0.39052999975994906</v>
      </c>
      <c r="AJ109" s="62">
        <f>AJ$5*Yield!R9</f>
        <v>-0.28574657577043822</v>
      </c>
      <c r="AK109" s="62">
        <f>AK$5*Yield!R8</f>
        <v>-0.16703170110339347</v>
      </c>
      <c r="AL109" s="62">
        <f>AL$5*Yield!R7</f>
        <v>-4.8891848936741054E-2</v>
      </c>
      <c r="AM109" s="62">
        <f>AM$5*Yield!R6</f>
        <v>-1.9039644091451802E-2</v>
      </c>
      <c r="AN109" s="62">
        <f>AN$5*Yield!R5</f>
        <v>-4.5978609524069116E-3</v>
      </c>
      <c r="AO109" s="62"/>
      <c r="AP109" s="62"/>
      <c r="AQ109" s="62"/>
      <c r="AR109" s="62"/>
      <c r="AS109" s="62"/>
      <c r="AT109" s="62"/>
      <c r="AU109" s="62"/>
      <c r="AV109" s="62"/>
      <c r="AW109" s="62"/>
      <c r="AX109" s="62"/>
      <c r="AY109" s="62"/>
      <c r="AZ109" s="62"/>
      <c r="BA109" s="62"/>
      <c r="BB109" s="62"/>
      <c r="BC109" s="62"/>
      <c r="BD109" s="62"/>
      <c r="BE109" s="62"/>
      <c r="BF109" s="62"/>
      <c r="BG109" s="62"/>
      <c r="BH109" s="62"/>
      <c r="BI109" s="23"/>
      <c r="BJ109" s="61">
        <v>2060</v>
      </c>
      <c r="BK109" s="65">
        <f t="shared" si="15"/>
        <v>-13.241424466838973</v>
      </c>
      <c r="BL109" s="59"/>
      <c r="BM109" s="59"/>
      <c r="BN109" s="19"/>
      <c r="BO109"/>
      <c r="BP109"/>
      <c r="BQ109"/>
      <c r="BR109"/>
      <c r="BS109"/>
      <c r="BT109"/>
      <c r="BU109"/>
      <c r="BV109"/>
      <c r="BW109"/>
      <c r="BX109"/>
      <c r="BY109"/>
      <c r="BZ109"/>
      <c r="CA109"/>
      <c r="CB109"/>
      <c r="CC109"/>
      <c r="CD109"/>
      <c r="CE109"/>
      <c r="CF109"/>
    </row>
    <row r="110" spans="1:84" s="63" customFormat="1" x14ac:dyDescent="0.25">
      <c r="A110" s="61">
        <v>2061</v>
      </c>
      <c r="B110" s="62">
        <f>B$5*Yield!R44</f>
        <v>-0.40969658789093527</v>
      </c>
      <c r="C110" s="62">
        <f>C$5*Yield!R43</f>
        <v>-0.33135212429102195</v>
      </c>
      <c r="D110" s="62">
        <f>D$5*Yield!R42</f>
        <v>-0.48018173199391956</v>
      </c>
      <c r="E110" s="62">
        <f>E$5*Yield!R41</f>
        <v>-0.41457975140522169</v>
      </c>
      <c r="F110" s="62">
        <f>F$5*Yield!R40</f>
        <v>-0.31619004279125984</v>
      </c>
      <c r="G110" s="62">
        <f>G$5*Yield!R39</f>
        <v>-0.32260126497902392</v>
      </c>
      <c r="H110" s="62">
        <f>H$5*Yield!R38</f>
        <v>-0.32875879177395251</v>
      </c>
      <c r="I110" s="62">
        <f>I$5*Yield!R37</f>
        <v>-0.33668470842558973</v>
      </c>
      <c r="J110" s="62">
        <f>J$5*Yield!R36</f>
        <v>-0.34271746146430637</v>
      </c>
      <c r="K110" s="62">
        <f>K$5*Yield!R35</f>
        <v>-0.34907735321695488</v>
      </c>
      <c r="L110" s="62">
        <f>L$5*Yield!R34</f>
        <v>-0.3569421512437474</v>
      </c>
      <c r="M110" s="62">
        <f>M$5*Yield!R33</f>
        <v>-0.36188864918188779</v>
      </c>
      <c r="N110" s="62">
        <f>N$5*Yield!R32</f>
        <v>-0.36602661475857107</v>
      </c>
      <c r="O110" s="62">
        <f>O$5*Yield!R31</f>
        <v>-0.37000666800516091</v>
      </c>
      <c r="P110" s="62">
        <f>P$5*Yield!R30</f>
        <v>-0.37382675971874185</v>
      </c>
      <c r="Q110" s="62">
        <f>Q$5*Yield!R29</f>
        <v>-0.3773289635706879</v>
      </c>
      <c r="R110" s="62">
        <f>R$5*Yield!R28</f>
        <v>-0.38083354087664534</v>
      </c>
      <c r="S110" s="62">
        <f>S$5*Yield!R27</f>
        <v>-0.38288673692052494</v>
      </c>
      <c r="T110" s="62">
        <f>T$5*Yield!R26</f>
        <v>-0.38288581887312817</v>
      </c>
      <c r="U110" s="62">
        <f>U$5*Yield!R25</f>
        <v>-0.38392711830527121</v>
      </c>
      <c r="V110" s="62">
        <f>V$5*Yield!R24</f>
        <v>-0.38661841323855722</v>
      </c>
      <c r="W110" s="62">
        <f>W$5*Yield!R23</f>
        <v>-0.38977836873354366</v>
      </c>
      <c r="X110" s="62">
        <f>X$5*Yield!R22</f>
        <v>-0.38936564128072987</v>
      </c>
      <c r="Y110" s="62">
        <f>Y$5*Yield!R21</f>
        <v>-0.38641314826087847</v>
      </c>
      <c r="Z110" s="62">
        <f>Z$5*Yield!R20</f>
        <v>-0.37890721120151061</v>
      </c>
      <c r="AA110" s="62">
        <f>AA$5*Yield!R19</f>
        <v>-0.36887028231776092</v>
      </c>
      <c r="AB110" s="62">
        <f>AB$5*Yield!R18</f>
        <v>-0.35656453816396189</v>
      </c>
      <c r="AC110" s="62">
        <f>AC$5*Yield!R17</f>
        <v>-0.33984671194635752</v>
      </c>
      <c r="AD110" s="62">
        <f>AD$5*Yield!R16</f>
        <v>-0.32534942681499607</v>
      </c>
      <c r="AE110" s="62">
        <f>AE$5*Yield!R15</f>
        <v>-0.3135400668627783</v>
      </c>
      <c r="AF110" s="62">
        <f>AF$5*Yield!R14</f>
        <v>-0.34980449115170553</v>
      </c>
      <c r="AG110" s="62">
        <f>AG$5*Yield!R13</f>
        <v>-0.38377752188489445</v>
      </c>
      <c r="AH110" s="62">
        <f>AH$5*Yield!R12</f>
        <v>-0.43392656129855006</v>
      </c>
      <c r="AI110" s="62">
        <f>AI$5*Yield!R11</f>
        <v>-0.44345613047539995</v>
      </c>
      <c r="AJ110" s="62">
        <f>AJ$5*Yield!R10</f>
        <v>-0.39052999975994906</v>
      </c>
      <c r="AK110" s="62">
        <f>AK$5*Yield!R9</f>
        <v>-0.28574657577043822</v>
      </c>
      <c r="AL110" s="62">
        <f>AL$5*Yield!R8</f>
        <v>-0.16703170110339347</v>
      </c>
      <c r="AM110" s="62">
        <f>AM$5*Yield!R7</f>
        <v>-4.8891848936741054E-2</v>
      </c>
      <c r="AN110" s="62">
        <f>AN$5*Yield!R6</f>
        <v>-1.9039644091451802E-2</v>
      </c>
      <c r="AO110" s="62">
        <f>AO$5*Yield!R5</f>
        <v>-4.5978609524069116E-3</v>
      </c>
      <c r="AP110" s="62"/>
      <c r="AQ110" s="62"/>
      <c r="AR110" s="62"/>
      <c r="AS110" s="62"/>
      <c r="AT110" s="62"/>
      <c r="AU110" s="62"/>
      <c r="AV110" s="62"/>
      <c r="AW110" s="62"/>
      <c r="AX110" s="62"/>
      <c r="AY110" s="62"/>
      <c r="AZ110" s="62"/>
      <c r="BA110" s="62"/>
      <c r="BB110" s="62"/>
      <c r="BC110" s="62"/>
      <c r="BD110" s="62"/>
      <c r="BE110" s="62"/>
      <c r="BF110" s="62"/>
      <c r="BG110" s="62"/>
      <c r="BH110" s="62"/>
      <c r="BI110" s="23"/>
      <c r="BJ110" s="61">
        <v>2061</v>
      </c>
      <c r="BK110" s="65">
        <f t="shared" si="15"/>
        <v>-13.530448983932558</v>
      </c>
      <c r="BL110" s="59"/>
      <c r="BM110" s="59"/>
      <c r="BN110" s="19"/>
      <c r="BO110"/>
      <c r="BP110"/>
      <c r="BQ110"/>
      <c r="BR110"/>
      <c r="BS110"/>
      <c r="BT110"/>
      <c r="BU110"/>
      <c r="BV110"/>
      <c r="BW110"/>
      <c r="BX110"/>
      <c r="BY110"/>
      <c r="BZ110"/>
      <c r="CA110"/>
      <c r="CB110"/>
      <c r="CC110"/>
      <c r="CD110"/>
      <c r="CE110"/>
      <c r="CF110"/>
    </row>
    <row r="111" spans="1:84" s="63" customFormat="1" x14ac:dyDescent="0.25">
      <c r="A111" s="61">
        <v>2062</v>
      </c>
      <c r="B111" s="62">
        <f>B$5*Yield!R45</f>
        <v>-0.40566364489828477</v>
      </c>
      <c r="C111" s="62">
        <f>C$5*Yield!R44</f>
        <v>-0.32731895279794204</v>
      </c>
      <c r="D111" s="62">
        <f>D$5*Yield!R43</f>
        <v>-0.47246180191555154</v>
      </c>
      <c r="E111" s="62">
        <f>E$5*Yield!R42</f>
        <v>-0.40732657265691108</v>
      </c>
      <c r="F111" s="62">
        <f>F$5*Yield!R41</f>
        <v>-0.31009217178276743</v>
      </c>
      <c r="G111" s="62">
        <f>G$5*Yield!R40</f>
        <v>-0.31619004279125984</v>
      </c>
      <c r="H111" s="62">
        <f>H$5*Yield!R39</f>
        <v>-0.32260126497902392</v>
      </c>
      <c r="I111" s="62">
        <f>I$5*Yield!R38</f>
        <v>-0.32875879177395251</v>
      </c>
      <c r="J111" s="62">
        <f>J$5*Yield!R37</f>
        <v>-0.33668470842558973</v>
      </c>
      <c r="K111" s="62">
        <f>K$5*Yield!R36</f>
        <v>-0.34271746146430637</v>
      </c>
      <c r="L111" s="62">
        <f>L$5*Yield!R35</f>
        <v>-0.34907735321695488</v>
      </c>
      <c r="M111" s="62">
        <f>M$5*Yield!R34</f>
        <v>-0.3569421512437474</v>
      </c>
      <c r="N111" s="62">
        <f>N$5*Yield!R33</f>
        <v>-0.36188864918188779</v>
      </c>
      <c r="O111" s="62">
        <f>O$5*Yield!R32</f>
        <v>-0.36602661475857107</v>
      </c>
      <c r="P111" s="62">
        <f>P$5*Yield!R31</f>
        <v>-0.37000666800516091</v>
      </c>
      <c r="Q111" s="62">
        <f>Q$5*Yield!R30</f>
        <v>-0.37382675971874185</v>
      </c>
      <c r="R111" s="62">
        <f>R$5*Yield!R29</f>
        <v>-0.3773289635706879</v>
      </c>
      <c r="S111" s="62">
        <f>S$5*Yield!R28</f>
        <v>-0.38083354087664534</v>
      </c>
      <c r="T111" s="62">
        <f>T$5*Yield!R27</f>
        <v>-0.38288673692052494</v>
      </c>
      <c r="U111" s="62">
        <f>U$5*Yield!R26</f>
        <v>-0.38288581887312817</v>
      </c>
      <c r="V111" s="62">
        <f>V$5*Yield!R25</f>
        <v>-0.38392711830527121</v>
      </c>
      <c r="W111" s="62">
        <f>W$5*Yield!R24</f>
        <v>-0.38661841323855722</v>
      </c>
      <c r="X111" s="62">
        <f>X$5*Yield!R23</f>
        <v>-0.38977836873354366</v>
      </c>
      <c r="Y111" s="62">
        <f>Y$5*Yield!R22</f>
        <v>-0.38936564128072987</v>
      </c>
      <c r="Z111" s="62">
        <f>Z$5*Yield!R21</f>
        <v>-0.38641314826087847</v>
      </c>
      <c r="AA111" s="62">
        <f>AA$5*Yield!R20</f>
        <v>-0.37890721120151061</v>
      </c>
      <c r="AB111" s="62">
        <f>AB$5*Yield!R19</f>
        <v>-0.36887028231776092</v>
      </c>
      <c r="AC111" s="62">
        <f>AC$5*Yield!R18</f>
        <v>-0.35656453816396189</v>
      </c>
      <c r="AD111" s="62">
        <f>AD$5*Yield!R17</f>
        <v>-0.33984671194635752</v>
      </c>
      <c r="AE111" s="62">
        <f>AE$5*Yield!R16</f>
        <v>-0.32534942681499607</v>
      </c>
      <c r="AF111" s="62">
        <f>AF$5*Yield!R15</f>
        <v>-0.3135400668627783</v>
      </c>
      <c r="AG111" s="62">
        <f>AG$5*Yield!R14</f>
        <v>-0.34980449115170553</v>
      </c>
      <c r="AH111" s="62">
        <f>AH$5*Yield!R13</f>
        <v>-0.38377752188489445</v>
      </c>
      <c r="AI111" s="62">
        <f>AI$5*Yield!R12</f>
        <v>-0.43392656129855006</v>
      </c>
      <c r="AJ111" s="62">
        <f>AJ$5*Yield!R11</f>
        <v>-0.44345613047539995</v>
      </c>
      <c r="AK111" s="62">
        <f>AK$5*Yield!R10</f>
        <v>-0.39052999975994906</v>
      </c>
      <c r="AL111" s="62">
        <f>AL$5*Yield!R9</f>
        <v>-0.28574657577043822</v>
      </c>
      <c r="AM111" s="62">
        <f>AM$5*Yield!R8</f>
        <v>-0.16703170110339347</v>
      </c>
      <c r="AN111" s="62">
        <f>AN$5*Yield!R7</f>
        <v>-4.8891848936741054E-2</v>
      </c>
      <c r="AO111" s="62">
        <f>AO$5*Yield!R6</f>
        <v>-1.9039644091451802E-2</v>
      </c>
      <c r="AP111" s="62">
        <f>AP$5*Yield!R5</f>
        <v>-4.5978609524069116E-3</v>
      </c>
      <c r="AQ111" s="62"/>
      <c r="AR111" s="62"/>
      <c r="AS111" s="62"/>
      <c r="AT111" s="62"/>
      <c r="AU111" s="62"/>
      <c r="AV111" s="62"/>
      <c r="AW111" s="62"/>
      <c r="AX111" s="62"/>
      <c r="AY111" s="62"/>
      <c r="AZ111" s="62"/>
      <c r="BA111" s="62"/>
      <c r="BB111" s="62"/>
      <c r="BC111" s="62"/>
      <c r="BD111" s="62"/>
      <c r="BE111" s="62"/>
      <c r="BF111" s="62"/>
      <c r="BG111" s="62"/>
      <c r="BH111" s="62"/>
      <c r="BI111" s="23"/>
      <c r="BJ111" s="61">
        <v>2062</v>
      </c>
      <c r="BK111" s="65">
        <f t="shared" si="15"/>
        <v>-13.817501932402914</v>
      </c>
      <c r="BL111" s="59"/>
      <c r="BM111" s="59"/>
      <c r="BN111" s="19"/>
      <c r="BO111"/>
      <c r="BP111"/>
      <c r="BQ111"/>
      <c r="BR111"/>
      <c r="BS111"/>
      <c r="BT111"/>
      <c r="BU111"/>
      <c r="BV111"/>
      <c r="BW111"/>
      <c r="BX111"/>
      <c r="BY111"/>
      <c r="BZ111"/>
      <c r="CA111"/>
      <c r="CB111"/>
      <c r="CC111"/>
      <c r="CD111"/>
      <c r="CE111"/>
      <c r="CF111"/>
    </row>
    <row r="112" spans="1:84" s="63" customFormat="1" x14ac:dyDescent="0.25">
      <c r="A112" s="61">
        <v>2063</v>
      </c>
      <c r="B112" s="62">
        <f>B$5*Yield!R46</f>
        <v>-0.39523463663404573</v>
      </c>
      <c r="C112" s="62">
        <f>C$5*Yield!R45</f>
        <v>-0.32409691308351918</v>
      </c>
      <c r="D112" s="62">
        <f>D$5*Yield!R44</f>
        <v>-0.46671106325609035</v>
      </c>
      <c r="E112" s="62">
        <f>E$5*Yield!R43</f>
        <v>-0.40077794231457131</v>
      </c>
      <c r="F112" s="62">
        <f>F$5*Yield!R42</f>
        <v>-0.30466702995476275</v>
      </c>
      <c r="G112" s="62">
        <f>G$5*Yield!R41</f>
        <v>-0.31009217178276743</v>
      </c>
      <c r="H112" s="62">
        <f>H$5*Yield!R40</f>
        <v>-0.31619004279125984</v>
      </c>
      <c r="I112" s="62">
        <f>I$5*Yield!R39</f>
        <v>-0.32260126497902392</v>
      </c>
      <c r="J112" s="62">
        <f>J$5*Yield!R38</f>
        <v>-0.32875879177395251</v>
      </c>
      <c r="K112" s="62">
        <f>K$5*Yield!R37</f>
        <v>-0.33668470842558973</v>
      </c>
      <c r="L112" s="62">
        <f>L$5*Yield!R36</f>
        <v>-0.34271746146430637</v>
      </c>
      <c r="M112" s="62">
        <f>M$5*Yield!R35</f>
        <v>-0.34907735321695488</v>
      </c>
      <c r="N112" s="62">
        <f>N$5*Yield!R34</f>
        <v>-0.3569421512437474</v>
      </c>
      <c r="O112" s="62">
        <f>O$5*Yield!R33</f>
        <v>-0.36188864918188779</v>
      </c>
      <c r="P112" s="62">
        <f>P$5*Yield!R32</f>
        <v>-0.36602661475857107</v>
      </c>
      <c r="Q112" s="62">
        <f>Q$5*Yield!R31</f>
        <v>-0.37000666800516091</v>
      </c>
      <c r="R112" s="62">
        <f>R$5*Yield!R30</f>
        <v>-0.37382675971874185</v>
      </c>
      <c r="S112" s="62">
        <f>S$5*Yield!R29</f>
        <v>-0.3773289635706879</v>
      </c>
      <c r="T112" s="62">
        <f>T$5*Yield!R28</f>
        <v>-0.38083354087664534</v>
      </c>
      <c r="U112" s="62">
        <f>U$5*Yield!R27</f>
        <v>-0.38288673692052494</v>
      </c>
      <c r="V112" s="62">
        <f>V$5*Yield!R26</f>
        <v>-0.38288581887312817</v>
      </c>
      <c r="W112" s="62">
        <f>W$5*Yield!R25</f>
        <v>-0.38392711830527121</v>
      </c>
      <c r="X112" s="62">
        <f>X$5*Yield!R24</f>
        <v>-0.38661841323855722</v>
      </c>
      <c r="Y112" s="62">
        <f>Y$5*Yield!R23</f>
        <v>-0.38977836873354366</v>
      </c>
      <c r="Z112" s="62">
        <f>Z$5*Yield!R22</f>
        <v>-0.38936564128072987</v>
      </c>
      <c r="AA112" s="62">
        <f>AA$5*Yield!R21</f>
        <v>-0.38641314826087847</v>
      </c>
      <c r="AB112" s="62">
        <f>AB$5*Yield!R20</f>
        <v>-0.37890721120151061</v>
      </c>
      <c r="AC112" s="62">
        <f>AC$5*Yield!R19</f>
        <v>-0.36887028231776092</v>
      </c>
      <c r="AD112" s="62">
        <f>AD$5*Yield!R18</f>
        <v>-0.35656453816396189</v>
      </c>
      <c r="AE112" s="62">
        <f>AE$5*Yield!R17</f>
        <v>-0.33984671194635752</v>
      </c>
      <c r="AF112" s="62">
        <f>AF$5*Yield!R16</f>
        <v>-0.32534942681499607</v>
      </c>
      <c r="AG112" s="62">
        <f>AG$5*Yield!R15</f>
        <v>-0.3135400668627783</v>
      </c>
      <c r="AH112" s="62">
        <f>AH$5*Yield!R14</f>
        <v>-0.34980449115170553</v>
      </c>
      <c r="AI112" s="62">
        <f>AI$5*Yield!R13</f>
        <v>-0.38377752188489445</v>
      </c>
      <c r="AJ112" s="62">
        <f>AJ$5*Yield!R12</f>
        <v>-0.43392656129855006</v>
      </c>
      <c r="AK112" s="62">
        <f>AK$5*Yield!R11</f>
        <v>-0.44345613047539995</v>
      </c>
      <c r="AL112" s="62">
        <f>AL$5*Yield!R10</f>
        <v>-0.39052999975994906</v>
      </c>
      <c r="AM112" s="62">
        <f>AM$5*Yield!R9</f>
        <v>-0.28574657577043822</v>
      </c>
      <c r="AN112" s="62">
        <f>AN$5*Yield!R8</f>
        <v>-0.16703170110339347</v>
      </c>
      <c r="AO112" s="62">
        <f>AO$5*Yield!R7</f>
        <v>-4.8891848936741054E-2</v>
      </c>
      <c r="AP112" s="62">
        <f>AP$5*Yield!R6</f>
        <v>-1.9039644091451802E-2</v>
      </c>
      <c r="AQ112" s="62">
        <f>AQ$5*Yield!R5</f>
        <v>-4.5978609524069116E-3</v>
      </c>
      <c r="AR112" s="62"/>
      <c r="AS112" s="62"/>
      <c r="AT112" s="62"/>
      <c r="AU112" s="62"/>
      <c r="AV112" s="62"/>
      <c r="AW112" s="62"/>
      <c r="AX112" s="62"/>
      <c r="AY112" s="62"/>
      <c r="AZ112" s="62"/>
      <c r="BA112" s="62"/>
      <c r="BB112" s="62"/>
      <c r="BC112" s="62"/>
      <c r="BD112" s="62"/>
      <c r="BE112" s="62"/>
      <c r="BF112" s="62"/>
      <c r="BG112" s="62"/>
      <c r="BH112" s="62"/>
      <c r="BI112" s="23"/>
      <c r="BJ112" s="61">
        <v>2063</v>
      </c>
      <c r="BK112" s="65">
        <f t="shared" si="15"/>
        <v>-14.096218545377214</v>
      </c>
      <c r="BL112" s="59"/>
      <c r="BM112" s="59"/>
      <c r="BN112" s="19"/>
      <c r="BO112"/>
      <c r="BP112"/>
      <c r="BQ112"/>
      <c r="BR112"/>
      <c r="BS112"/>
      <c r="BT112"/>
      <c r="BU112"/>
      <c r="BV112"/>
      <c r="BW112"/>
      <c r="BX112"/>
      <c r="BY112"/>
      <c r="BZ112"/>
      <c r="CA112"/>
      <c r="CB112"/>
      <c r="CC112"/>
      <c r="CD112"/>
      <c r="CE112"/>
      <c r="CF112"/>
    </row>
    <row r="113" spans="1:84" s="63" customFormat="1" x14ac:dyDescent="0.25">
      <c r="A113" s="61">
        <v>2064</v>
      </c>
      <c r="B113" s="62">
        <f>B$5*Yield!R47</f>
        <v>-0.38797901214344727</v>
      </c>
      <c r="C113" s="62">
        <f>C$5*Yield!R46</f>
        <v>-0.31576486403877452</v>
      </c>
      <c r="D113" s="62">
        <f>D$5*Yield!R45</f>
        <v>-0.46211688510625387</v>
      </c>
      <c r="E113" s="62">
        <f>E$5*Yield!R44</f>
        <v>-0.39589972952068353</v>
      </c>
      <c r="F113" s="62">
        <f>F$5*Yield!R43</f>
        <v>-0.29976886742228098</v>
      </c>
      <c r="G113" s="62">
        <f>G$5*Yield!R42</f>
        <v>-0.30466702995476275</v>
      </c>
      <c r="H113" s="62">
        <f>H$5*Yield!R41</f>
        <v>-0.31009217178276743</v>
      </c>
      <c r="I113" s="62">
        <f>I$5*Yield!R40</f>
        <v>-0.31619004279125984</v>
      </c>
      <c r="J113" s="62">
        <f>J$5*Yield!R39</f>
        <v>-0.32260126497902392</v>
      </c>
      <c r="K113" s="62">
        <f>K$5*Yield!R38</f>
        <v>-0.32875879177395251</v>
      </c>
      <c r="L113" s="62">
        <f>L$5*Yield!R37</f>
        <v>-0.33668470842558973</v>
      </c>
      <c r="M113" s="62">
        <f>M$5*Yield!R36</f>
        <v>-0.34271746146430637</v>
      </c>
      <c r="N113" s="62">
        <f>N$5*Yield!R35</f>
        <v>-0.34907735321695488</v>
      </c>
      <c r="O113" s="62">
        <f>O$5*Yield!R34</f>
        <v>-0.3569421512437474</v>
      </c>
      <c r="P113" s="62">
        <f>P$5*Yield!R33</f>
        <v>-0.36188864918188779</v>
      </c>
      <c r="Q113" s="62">
        <f>Q$5*Yield!R32</f>
        <v>-0.36602661475857107</v>
      </c>
      <c r="R113" s="62">
        <f>R$5*Yield!R31</f>
        <v>-0.37000666800516091</v>
      </c>
      <c r="S113" s="62">
        <f>S$5*Yield!R30</f>
        <v>-0.37382675971874185</v>
      </c>
      <c r="T113" s="62">
        <f>T$5*Yield!R29</f>
        <v>-0.3773289635706879</v>
      </c>
      <c r="U113" s="62">
        <f>U$5*Yield!R28</f>
        <v>-0.38083354087664534</v>
      </c>
      <c r="V113" s="62">
        <f>V$5*Yield!R27</f>
        <v>-0.38288673692052494</v>
      </c>
      <c r="W113" s="62">
        <f>W$5*Yield!R26</f>
        <v>-0.38288581887312817</v>
      </c>
      <c r="X113" s="62">
        <f>X$5*Yield!R25</f>
        <v>-0.38392711830527121</v>
      </c>
      <c r="Y113" s="62">
        <f>Y$5*Yield!R24</f>
        <v>-0.38661841323855722</v>
      </c>
      <c r="Z113" s="62">
        <f>Z$5*Yield!R23</f>
        <v>-0.38977836873354366</v>
      </c>
      <c r="AA113" s="62">
        <f>AA$5*Yield!R22</f>
        <v>-0.38936564128072987</v>
      </c>
      <c r="AB113" s="62">
        <f>AB$5*Yield!R21</f>
        <v>-0.38641314826087847</v>
      </c>
      <c r="AC113" s="62">
        <f>AC$5*Yield!R20</f>
        <v>-0.37890721120151061</v>
      </c>
      <c r="AD113" s="62">
        <f>AD$5*Yield!R19</f>
        <v>-0.36887028231776092</v>
      </c>
      <c r="AE113" s="62">
        <f>AE$5*Yield!R18</f>
        <v>-0.35656453816396189</v>
      </c>
      <c r="AF113" s="62">
        <f>AF$5*Yield!R17</f>
        <v>-0.33984671194635752</v>
      </c>
      <c r="AG113" s="62">
        <f>AG$5*Yield!R16</f>
        <v>-0.32534942681499607</v>
      </c>
      <c r="AH113" s="62">
        <f>AH$5*Yield!R15</f>
        <v>-0.3135400668627783</v>
      </c>
      <c r="AI113" s="62">
        <f>AI$5*Yield!R14</f>
        <v>-0.34980449115170553</v>
      </c>
      <c r="AJ113" s="62">
        <f>AJ$5*Yield!R13</f>
        <v>-0.38377752188489445</v>
      </c>
      <c r="AK113" s="62">
        <f>AK$5*Yield!R12</f>
        <v>-0.43392656129855006</v>
      </c>
      <c r="AL113" s="62">
        <f>AL$5*Yield!R11</f>
        <v>-0.44345613047539995</v>
      </c>
      <c r="AM113" s="62">
        <f>AM$5*Yield!R10</f>
        <v>-0.39052999975994906</v>
      </c>
      <c r="AN113" s="62">
        <f>AN$5*Yield!R9</f>
        <v>-0.28574657577043822</v>
      </c>
      <c r="AO113" s="62">
        <f>AO$5*Yield!R8</f>
        <v>-0.16703170110339347</v>
      </c>
      <c r="AP113" s="62">
        <f>AP$5*Yield!R7</f>
        <v>-4.8891848936741054E-2</v>
      </c>
      <c r="AQ113" s="62">
        <f>AQ$5*Yield!R6</f>
        <v>-1.9039644091451802E-2</v>
      </c>
      <c r="AR113" s="62">
        <f>AR$5*Yield!R5</f>
        <v>-4.5978609524069116E-3</v>
      </c>
      <c r="AS113" s="62"/>
      <c r="AT113" s="62"/>
      <c r="AU113" s="62"/>
      <c r="AV113" s="62"/>
      <c r="AW113" s="62"/>
      <c r="AX113" s="62"/>
      <c r="AY113" s="62"/>
      <c r="AZ113" s="62"/>
      <c r="BA113" s="62"/>
      <c r="BB113" s="62"/>
      <c r="BC113" s="62"/>
      <c r="BD113" s="62"/>
      <c r="BE113" s="62"/>
      <c r="BF113" s="62"/>
      <c r="BG113" s="62"/>
      <c r="BH113" s="62"/>
      <c r="BI113" s="23"/>
      <c r="BJ113" s="61">
        <v>2064</v>
      </c>
      <c r="BK113" s="65">
        <f t="shared" si="15"/>
        <v>-14.370927348320429</v>
      </c>
      <c r="BL113" s="59"/>
      <c r="BM113" s="59"/>
      <c r="BN113" s="19"/>
      <c r="BO113"/>
      <c r="BP113"/>
      <c r="BQ113"/>
      <c r="BR113"/>
      <c r="BS113"/>
      <c r="BT113"/>
      <c r="BU113"/>
      <c r="BV113"/>
      <c r="BW113"/>
      <c r="BX113"/>
      <c r="BY113"/>
      <c r="BZ113"/>
      <c r="CA113"/>
      <c r="CB113"/>
      <c r="CC113"/>
      <c r="CD113"/>
      <c r="CE113"/>
      <c r="CF113"/>
    </row>
    <row r="114" spans="1:84" s="63" customFormat="1" x14ac:dyDescent="0.25">
      <c r="A114" s="61">
        <v>2065</v>
      </c>
      <c r="B114" s="62">
        <f>B$5*Yield!R48</f>
        <v>-0.37940228285487548</v>
      </c>
      <c r="C114" s="62">
        <f>C$5*Yield!R47</f>
        <v>-0.30996812694027076</v>
      </c>
      <c r="D114" s="62">
        <f>D$5*Yield!R46</f>
        <v>-0.45023654809694175</v>
      </c>
      <c r="E114" s="62">
        <f>E$5*Yield!R45</f>
        <v>-0.39200259909013258</v>
      </c>
      <c r="F114" s="62">
        <f>F$5*Yield!R44</f>
        <v>-0.29612012289351941</v>
      </c>
      <c r="G114" s="62">
        <f>G$5*Yield!R43</f>
        <v>-0.29976886742228098</v>
      </c>
      <c r="H114" s="62">
        <f>H$5*Yield!R42</f>
        <v>-0.30466702995476275</v>
      </c>
      <c r="I114" s="62">
        <f>I$5*Yield!R41</f>
        <v>-0.31009217178276743</v>
      </c>
      <c r="J114" s="62">
        <f>J$5*Yield!R40</f>
        <v>-0.31619004279125984</v>
      </c>
      <c r="K114" s="62">
        <f>K$5*Yield!R39</f>
        <v>-0.32260126497902392</v>
      </c>
      <c r="L114" s="62">
        <f>L$5*Yield!R38</f>
        <v>-0.32875879177395251</v>
      </c>
      <c r="M114" s="62">
        <f>M$5*Yield!R37</f>
        <v>-0.33668470842558973</v>
      </c>
      <c r="N114" s="62">
        <f>N$5*Yield!R36</f>
        <v>-0.34271746146430637</v>
      </c>
      <c r="O114" s="62">
        <f>O$5*Yield!R35</f>
        <v>-0.34907735321695488</v>
      </c>
      <c r="P114" s="62">
        <f>P$5*Yield!R34</f>
        <v>-0.3569421512437474</v>
      </c>
      <c r="Q114" s="62">
        <f>Q$5*Yield!R33</f>
        <v>-0.36188864918188779</v>
      </c>
      <c r="R114" s="62">
        <f>R$5*Yield!R32</f>
        <v>-0.36602661475857107</v>
      </c>
      <c r="S114" s="62">
        <f>S$5*Yield!R31</f>
        <v>-0.37000666800516091</v>
      </c>
      <c r="T114" s="62">
        <f>T$5*Yield!R30</f>
        <v>-0.37382675971874185</v>
      </c>
      <c r="U114" s="62">
        <f>U$5*Yield!R29</f>
        <v>-0.3773289635706879</v>
      </c>
      <c r="V114" s="62">
        <f>V$5*Yield!R28</f>
        <v>-0.38083354087664534</v>
      </c>
      <c r="W114" s="62">
        <f>W$5*Yield!R27</f>
        <v>-0.38288673692052494</v>
      </c>
      <c r="X114" s="62">
        <f>X$5*Yield!R26</f>
        <v>-0.38288581887312817</v>
      </c>
      <c r="Y114" s="62">
        <f>Y$5*Yield!R25</f>
        <v>-0.38392711830527121</v>
      </c>
      <c r="Z114" s="62">
        <f>Z$5*Yield!R24</f>
        <v>-0.38661841323855722</v>
      </c>
      <c r="AA114" s="62">
        <f>AA$5*Yield!R23</f>
        <v>-0.38977836873354366</v>
      </c>
      <c r="AB114" s="62">
        <f>AB$5*Yield!R22</f>
        <v>-0.38936564128072987</v>
      </c>
      <c r="AC114" s="62">
        <f>AC$5*Yield!R21</f>
        <v>-0.38641314826087847</v>
      </c>
      <c r="AD114" s="62">
        <f>AD$5*Yield!R20</f>
        <v>-0.37890721120151061</v>
      </c>
      <c r="AE114" s="62">
        <f>AE$5*Yield!R19</f>
        <v>-0.36887028231776092</v>
      </c>
      <c r="AF114" s="62">
        <f>AF$5*Yield!R18</f>
        <v>-0.35656453816396189</v>
      </c>
      <c r="AG114" s="62">
        <f>AG$5*Yield!R17</f>
        <v>-0.33984671194635752</v>
      </c>
      <c r="AH114" s="62">
        <f>AH$5*Yield!R16</f>
        <v>-0.32534942681499607</v>
      </c>
      <c r="AI114" s="62">
        <f>AI$5*Yield!R15</f>
        <v>-0.3135400668627783</v>
      </c>
      <c r="AJ114" s="62">
        <f>AJ$5*Yield!R14</f>
        <v>-0.34980449115170553</v>
      </c>
      <c r="AK114" s="62">
        <f>AK$5*Yield!R13</f>
        <v>-0.38377752188489445</v>
      </c>
      <c r="AL114" s="62">
        <f>AL$5*Yield!R12</f>
        <v>-0.43392656129855006</v>
      </c>
      <c r="AM114" s="62">
        <f>AM$5*Yield!R11</f>
        <v>-0.44345613047539995</v>
      </c>
      <c r="AN114" s="62">
        <f>AN$5*Yield!R10</f>
        <v>-0.39052999975994906</v>
      </c>
      <c r="AO114" s="62">
        <f>AO$5*Yield!R9</f>
        <v>-0.28574657577043822</v>
      </c>
      <c r="AP114" s="62">
        <f>AP$5*Yield!R8</f>
        <v>-0.16703170110339347</v>
      </c>
      <c r="AQ114" s="62">
        <f>AQ$5*Yield!R7</f>
        <v>-4.8891848936741054E-2</v>
      </c>
      <c r="AR114" s="62">
        <f>AR$5*Yield!R6</f>
        <v>-1.9039644091451802E-2</v>
      </c>
      <c r="AS114" s="62">
        <f>AS$5*Yield!R5</f>
        <v>-4.5978609524069116E-3</v>
      </c>
      <c r="AT114" s="62"/>
      <c r="AU114" s="62"/>
      <c r="AV114" s="62"/>
      <c r="AW114" s="62"/>
      <c r="AX114" s="62"/>
      <c r="AY114" s="62"/>
      <c r="AZ114" s="62"/>
      <c r="BA114" s="62"/>
      <c r="BB114" s="62"/>
      <c r="BC114" s="62"/>
      <c r="BD114" s="62"/>
      <c r="BE114" s="62"/>
      <c r="BF114" s="62"/>
      <c r="BG114" s="62"/>
      <c r="BH114" s="62"/>
      <c r="BI114" s="23"/>
      <c r="BJ114" s="61">
        <v>2065</v>
      </c>
      <c r="BK114" s="65">
        <f t="shared" si="15"/>
        <v>-14.63689653738701</v>
      </c>
      <c r="BL114" s="59"/>
      <c r="BM114" s="59"/>
      <c r="BN114" s="19"/>
      <c r="BO114"/>
      <c r="BP114"/>
      <c r="BQ114"/>
      <c r="BR114"/>
      <c r="BS114"/>
      <c r="BT114"/>
      <c r="BU114"/>
      <c r="BV114"/>
      <c r="BW114"/>
      <c r="BX114"/>
      <c r="BY114"/>
      <c r="BZ114"/>
      <c r="CA114"/>
      <c r="CB114"/>
      <c r="CC114"/>
      <c r="CD114"/>
      <c r="CE114"/>
      <c r="CF114"/>
    </row>
    <row r="115" spans="1:84" s="63" customFormat="1" x14ac:dyDescent="0.25">
      <c r="A115" s="61">
        <v>2066</v>
      </c>
      <c r="B115" s="62">
        <f>B$5*Yield!R49</f>
        <v>-0.3722296072357032</v>
      </c>
      <c r="C115" s="62">
        <f>C$5*Yield!R48</f>
        <v>-0.30311591939903032</v>
      </c>
      <c r="D115" s="62">
        <f>D$5*Yield!R47</f>
        <v>-0.441971211453485</v>
      </c>
      <c r="E115" s="62">
        <f>E$5*Yield!R46</f>
        <v>-0.38192479597188855</v>
      </c>
      <c r="F115" s="62">
        <f>F$5*Yield!R45</f>
        <v>-0.29320519606741624</v>
      </c>
      <c r="G115" s="62">
        <f>G$5*Yield!R44</f>
        <v>-0.29612012289351941</v>
      </c>
      <c r="H115" s="62">
        <f>H$5*Yield!R43</f>
        <v>-0.29976886742228098</v>
      </c>
      <c r="I115" s="62">
        <f>I$5*Yield!R42</f>
        <v>-0.30466702995476275</v>
      </c>
      <c r="J115" s="62">
        <f>J$5*Yield!R41</f>
        <v>-0.31009217178276743</v>
      </c>
      <c r="K115" s="62">
        <f>K$5*Yield!R40</f>
        <v>-0.31619004279125984</v>
      </c>
      <c r="L115" s="62">
        <f>L$5*Yield!R39</f>
        <v>-0.32260126497902392</v>
      </c>
      <c r="M115" s="62">
        <f>M$5*Yield!R38</f>
        <v>-0.32875879177395251</v>
      </c>
      <c r="N115" s="62">
        <f>N$5*Yield!R37</f>
        <v>-0.33668470842558973</v>
      </c>
      <c r="O115" s="62">
        <f>O$5*Yield!R36</f>
        <v>-0.34271746146430637</v>
      </c>
      <c r="P115" s="62">
        <f>P$5*Yield!R35</f>
        <v>-0.34907735321695488</v>
      </c>
      <c r="Q115" s="62">
        <f>Q$5*Yield!R34</f>
        <v>-0.3569421512437474</v>
      </c>
      <c r="R115" s="62">
        <f>R$5*Yield!R33</f>
        <v>-0.36188864918188779</v>
      </c>
      <c r="S115" s="62">
        <f>S$5*Yield!R32</f>
        <v>-0.36602661475857107</v>
      </c>
      <c r="T115" s="62">
        <f>T$5*Yield!R31</f>
        <v>-0.37000666800516091</v>
      </c>
      <c r="U115" s="62">
        <f>U$5*Yield!R30</f>
        <v>-0.37382675971874185</v>
      </c>
      <c r="V115" s="62">
        <f>V$5*Yield!R29</f>
        <v>-0.3773289635706879</v>
      </c>
      <c r="W115" s="62">
        <f>W$5*Yield!R28</f>
        <v>-0.38083354087664534</v>
      </c>
      <c r="X115" s="62">
        <f>X$5*Yield!R27</f>
        <v>-0.38288673692052494</v>
      </c>
      <c r="Y115" s="62">
        <f>Y$5*Yield!R26</f>
        <v>-0.38288581887312817</v>
      </c>
      <c r="Z115" s="62">
        <f>Z$5*Yield!R25</f>
        <v>-0.38392711830527121</v>
      </c>
      <c r="AA115" s="62">
        <f>AA$5*Yield!R24</f>
        <v>-0.38661841323855722</v>
      </c>
      <c r="AB115" s="62">
        <f>AB$5*Yield!R23</f>
        <v>-0.38977836873354366</v>
      </c>
      <c r="AC115" s="62">
        <f>AC$5*Yield!R22</f>
        <v>-0.38936564128072987</v>
      </c>
      <c r="AD115" s="62">
        <f>AD$5*Yield!R21</f>
        <v>-0.38641314826087847</v>
      </c>
      <c r="AE115" s="62">
        <f>AE$5*Yield!R20</f>
        <v>-0.37890721120151061</v>
      </c>
      <c r="AF115" s="62">
        <f>AF$5*Yield!R19</f>
        <v>-0.36887028231776092</v>
      </c>
      <c r="AG115" s="62">
        <f>AG$5*Yield!R18</f>
        <v>-0.35656453816396189</v>
      </c>
      <c r="AH115" s="62">
        <f>AH$5*Yield!R17</f>
        <v>-0.33984671194635752</v>
      </c>
      <c r="AI115" s="62">
        <f>AI$5*Yield!R16</f>
        <v>-0.32534942681499607</v>
      </c>
      <c r="AJ115" s="62">
        <f>AJ$5*Yield!R15</f>
        <v>-0.3135400668627783</v>
      </c>
      <c r="AK115" s="62">
        <f>AK$5*Yield!R14</f>
        <v>-0.34980449115170553</v>
      </c>
      <c r="AL115" s="62">
        <f>AL$5*Yield!R13</f>
        <v>-0.38377752188489445</v>
      </c>
      <c r="AM115" s="62">
        <f>AM$5*Yield!R12</f>
        <v>-0.43392656129855006</v>
      </c>
      <c r="AN115" s="62">
        <f>AN$5*Yield!R11</f>
        <v>-0.44345613047539995</v>
      </c>
      <c r="AO115" s="62">
        <f>AO$5*Yield!R10</f>
        <v>-0.39052999975994906</v>
      </c>
      <c r="AP115" s="62">
        <f>AP$5*Yield!R9</f>
        <v>-0.28574657577043822</v>
      </c>
      <c r="AQ115" s="62">
        <f>AQ$5*Yield!R8</f>
        <v>-0.16703170110339347</v>
      </c>
      <c r="AR115" s="62">
        <f>AR$5*Yield!R7</f>
        <v>-4.8891848936741054E-2</v>
      </c>
      <c r="AS115" s="62">
        <f>AS$5*Yield!R6</f>
        <v>-1.9039644091451802E-2</v>
      </c>
      <c r="AT115" s="62">
        <f>AT$5*Yield!R5</f>
        <v>-4.5978609524069116E-3</v>
      </c>
      <c r="AU115" s="62"/>
      <c r="AV115" s="62"/>
      <c r="AW115" s="62"/>
      <c r="AX115" s="62"/>
      <c r="AY115" s="62"/>
      <c r="AZ115" s="62"/>
      <c r="BA115" s="62"/>
      <c r="BB115" s="62"/>
      <c r="BC115" s="62"/>
      <c r="BD115" s="62"/>
      <c r="BE115" s="62"/>
      <c r="BF115" s="62"/>
      <c r="BG115" s="62"/>
      <c r="BH115" s="62"/>
      <c r="BI115" s="23"/>
      <c r="BJ115" s="61">
        <v>2066</v>
      </c>
      <c r="BK115" s="65">
        <f t="shared" si="15"/>
        <v>-14.897733710532313</v>
      </c>
      <c r="BL115" s="59"/>
      <c r="BM115" s="59"/>
      <c r="BN115" s="19"/>
      <c r="BO115"/>
      <c r="BP115"/>
      <c r="BQ115"/>
      <c r="BR115"/>
      <c r="BS115"/>
      <c r="BT115"/>
      <c r="BU115"/>
      <c r="BV115"/>
      <c r="BW115"/>
      <c r="BX115"/>
      <c r="BY115"/>
      <c r="BZ115"/>
      <c r="CA115"/>
      <c r="CB115"/>
      <c r="CC115"/>
      <c r="CD115"/>
      <c r="CE115"/>
      <c r="CF115"/>
    </row>
    <row r="116" spans="1:84" s="63" customFormat="1" x14ac:dyDescent="0.25">
      <c r="A116" s="61">
        <v>2067</v>
      </c>
      <c r="B116" s="62">
        <f>B$5*Yield!R50</f>
        <v>-0.36419124260093877</v>
      </c>
      <c r="C116" s="62">
        <f>C$5*Yield!R49</f>
        <v>-0.29738545265408439</v>
      </c>
      <c r="D116" s="62">
        <f>D$5*Yield!R48</f>
        <v>-0.4322009215271394</v>
      </c>
      <c r="E116" s="62">
        <f>E$5*Yield!R47</f>
        <v>-0.37491351040537008</v>
      </c>
      <c r="F116" s="62">
        <f>F$5*Yield!R46</f>
        <v>-0.28566732706840442</v>
      </c>
      <c r="G116" s="62">
        <f>G$5*Yield!R45</f>
        <v>-0.29320519606741624</v>
      </c>
      <c r="H116" s="62">
        <f>H$5*Yield!R44</f>
        <v>-0.29612012289351941</v>
      </c>
      <c r="I116" s="62">
        <f>I$5*Yield!R43</f>
        <v>-0.29976886742228098</v>
      </c>
      <c r="J116" s="62">
        <f>J$5*Yield!R42</f>
        <v>-0.30466702995476275</v>
      </c>
      <c r="K116" s="62">
        <f>K$5*Yield!R41</f>
        <v>-0.31009217178276743</v>
      </c>
      <c r="L116" s="62">
        <f>L$5*Yield!R40</f>
        <v>-0.31619004279125984</v>
      </c>
      <c r="M116" s="62">
        <f>M$5*Yield!R39</f>
        <v>-0.32260126497902392</v>
      </c>
      <c r="N116" s="62">
        <f>N$5*Yield!R38</f>
        <v>-0.32875879177395251</v>
      </c>
      <c r="O116" s="62">
        <f>O$5*Yield!R37</f>
        <v>-0.33668470842558973</v>
      </c>
      <c r="P116" s="62">
        <f>P$5*Yield!R36</f>
        <v>-0.34271746146430637</v>
      </c>
      <c r="Q116" s="62">
        <f>Q$5*Yield!R35</f>
        <v>-0.34907735321695488</v>
      </c>
      <c r="R116" s="62">
        <f>R$5*Yield!R34</f>
        <v>-0.3569421512437474</v>
      </c>
      <c r="S116" s="62">
        <f>S$5*Yield!R33</f>
        <v>-0.36188864918188779</v>
      </c>
      <c r="T116" s="62">
        <f>T$5*Yield!R32</f>
        <v>-0.36602661475857107</v>
      </c>
      <c r="U116" s="62">
        <f>U$5*Yield!R31</f>
        <v>-0.37000666800516091</v>
      </c>
      <c r="V116" s="62">
        <f>V$5*Yield!R30</f>
        <v>-0.37382675971874185</v>
      </c>
      <c r="W116" s="62">
        <f>W$5*Yield!R29</f>
        <v>-0.3773289635706879</v>
      </c>
      <c r="X116" s="62">
        <f>X$5*Yield!R28</f>
        <v>-0.38083354087664534</v>
      </c>
      <c r="Y116" s="62">
        <f>Y$5*Yield!R27</f>
        <v>-0.38288673692052494</v>
      </c>
      <c r="Z116" s="62">
        <f>Z$5*Yield!R26</f>
        <v>-0.38288581887312817</v>
      </c>
      <c r="AA116" s="62">
        <f>AA$5*Yield!R25</f>
        <v>-0.38392711830527121</v>
      </c>
      <c r="AB116" s="62">
        <f>AB$5*Yield!R24</f>
        <v>-0.38661841323855722</v>
      </c>
      <c r="AC116" s="62">
        <f>AC$5*Yield!R23</f>
        <v>-0.38977836873354366</v>
      </c>
      <c r="AD116" s="62">
        <f>AD$5*Yield!R22</f>
        <v>-0.38936564128072987</v>
      </c>
      <c r="AE116" s="62">
        <f>AE$5*Yield!R21</f>
        <v>-0.38641314826087847</v>
      </c>
      <c r="AF116" s="62">
        <f>AF$5*Yield!R20</f>
        <v>-0.37890721120151061</v>
      </c>
      <c r="AG116" s="62">
        <f>AG$5*Yield!R19</f>
        <v>-0.36887028231776092</v>
      </c>
      <c r="AH116" s="62">
        <f>AH$5*Yield!R18</f>
        <v>-0.35656453816396189</v>
      </c>
      <c r="AI116" s="62">
        <f>AI$5*Yield!R17</f>
        <v>-0.33984671194635752</v>
      </c>
      <c r="AJ116" s="62">
        <f>AJ$5*Yield!R16</f>
        <v>-0.32534942681499607</v>
      </c>
      <c r="AK116" s="62">
        <f>AK$5*Yield!R15</f>
        <v>-0.3135400668627783</v>
      </c>
      <c r="AL116" s="62">
        <f>AL$5*Yield!R14</f>
        <v>-0.34980449115170553</v>
      </c>
      <c r="AM116" s="62">
        <f>AM$5*Yield!R13</f>
        <v>-0.38377752188489445</v>
      </c>
      <c r="AN116" s="62">
        <f>AN$5*Yield!R12</f>
        <v>-0.43392656129855006</v>
      </c>
      <c r="AO116" s="62">
        <f>AO$5*Yield!R11</f>
        <v>-0.44345613047539995</v>
      </c>
      <c r="AP116" s="62">
        <f>AP$5*Yield!R10</f>
        <v>-0.39052999975994906</v>
      </c>
      <c r="AQ116" s="62">
        <f>AQ$5*Yield!R9</f>
        <v>-0.28574657577043822</v>
      </c>
      <c r="AR116" s="62">
        <f>AR$5*Yield!R8</f>
        <v>-0.16703170110339347</v>
      </c>
      <c r="AS116" s="62">
        <f>AS$5*Yield!R7</f>
        <v>-4.8891848936741054E-2</v>
      </c>
      <c r="AT116" s="62">
        <f>AT$5*Yield!R6</f>
        <v>-1.9039644091451802E-2</v>
      </c>
      <c r="AU116" s="62">
        <f>AU$5*Yield!R5</f>
        <v>-4.5978609524069116E-3</v>
      </c>
      <c r="AV116" s="62"/>
      <c r="AW116" s="62"/>
      <c r="AX116" s="62"/>
      <c r="AY116" s="62"/>
      <c r="AZ116" s="62"/>
      <c r="BA116" s="62"/>
      <c r="BB116" s="62"/>
      <c r="BC116" s="62"/>
      <c r="BD116" s="62"/>
      <c r="BE116" s="62"/>
      <c r="BF116" s="62"/>
      <c r="BG116" s="62"/>
      <c r="BH116" s="62"/>
      <c r="BI116" s="23"/>
      <c r="BJ116" s="61">
        <v>2067</v>
      </c>
      <c r="BK116" s="65">
        <f t="shared" si="15"/>
        <v>-15.152850630728143</v>
      </c>
      <c r="BL116" s="59"/>
      <c r="BM116" s="59"/>
      <c r="BN116" s="19"/>
      <c r="BO116"/>
      <c r="BP116"/>
      <c r="BQ116"/>
      <c r="BR116"/>
      <c r="BS116"/>
      <c r="BT116"/>
      <c r="BU116"/>
      <c r="BV116"/>
      <c r="BW116"/>
      <c r="BX116"/>
      <c r="BY116"/>
      <c r="BZ116"/>
      <c r="CA116"/>
      <c r="CB116"/>
      <c r="CC116"/>
      <c r="CD116"/>
      <c r="CE116"/>
      <c r="CF116"/>
    </row>
    <row r="117" spans="1:84" s="63" customFormat="1" x14ac:dyDescent="0.25">
      <c r="A117" s="61">
        <v>2068</v>
      </c>
      <c r="B117" s="62">
        <f>B$5*Yield!R51</f>
        <v>-0.35737365738997084</v>
      </c>
      <c r="C117" s="62">
        <f>C$5*Yield!R50</f>
        <v>-0.29096336086170771</v>
      </c>
      <c r="D117" s="62">
        <f>D$5*Yield!R49</f>
        <v>-0.42403007714240143</v>
      </c>
      <c r="E117" s="62">
        <f>E$5*Yield!R48</f>
        <v>-0.36662560929543553</v>
      </c>
      <c r="F117" s="62">
        <f>F$5*Yield!R47</f>
        <v>-0.28042311347393534</v>
      </c>
      <c r="G117" s="62">
        <f>G$5*Yield!R46</f>
        <v>-0.28566732706840442</v>
      </c>
      <c r="H117" s="62">
        <f>H$5*Yield!R45</f>
        <v>-0.29320519606741624</v>
      </c>
      <c r="I117" s="62">
        <f>I$5*Yield!R44</f>
        <v>-0.29612012289351941</v>
      </c>
      <c r="J117" s="62">
        <f>J$5*Yield!R43</f>
        <v>-0.29976886742228098</v>
      </c>
      <c r="K117" s="62">
        <f>K$5*Yield!R42</f>
        <v>-0.30466702995476275</v>
      </c>
      <c r="L117" s="62">
        <f>L$5*Yield!R41</f>
        <v>-0.31009217178276743</v>
      </c>
      <c r="M117" s="62">
        <f>M$5*Yield!R40</f>
        <v>-0.31619004279125984</v>
      </c>
      <c r="N117" s="62">
        <f>N$5*Yield!R39</f>
        <v>-0.32260126497902392</v>
      </c>
      <c r="O117" s="62">
        <f>O$5*Yield!R38</f>
        <v>-0.32875879177395251</v>
      </c>
      <c r="P117" s="62">
        <f>P$5*Yield!R37</f>
        <v>-0.33668470842558973</v>
      </c>
      <c r="Q117" s="62">
        <f>Q$5*Yield!R36</f>
        <v>-0.34271746146430637</v>
      </c>
      <c r="R117" s="62">
        <f>R$5*Yield!R35</f>
        <v>-0.34907735321695488</v>
      </c>
      <c r="S117" s="62">
        <f>S$5*Yield!R34</f>
        <v>-0.3569421512437474</v>
      </c>
      <c r="T117" s="62">
        <f>T$5*Yield!R33</f>
        <v>-0.36188864918188779</v>
      </c>
      <c r="U117" s="62">
        <f>U$5*Yield!R32</f>
        <v>-0.36602661475857107</v>
      </c>
      <c r="V117" s="62">
        <f>V$5*Yield!R31</f>
        <v>-0.37000666800516091</v>
      </c>
      <c r="W117" s="62">
        <f>W$5*Yield!R30</f>
        <v>-0.37382675971874185</v>
      </c>
      <c r="X117" s="62">
        <f>X$5*Yield!R29</f>
        <v>-0.3773289635706879</v>
      </c>
      <c r="Y117" s="62">
        <f>Y$5*Yield!R28</f>
        <v>-0.38083354087664534</v>
      </c>
      <c r="Z117" s="62">
        <f>Z$5*Yield!R27</f>
        <v>-0.38288673692052494</v>
      </c>
      <c r="AA117" s="62">
        <f>AA$5*Yield!R26</f>
        <v>-0.38288581887312817</v>
      </c>
      <c r="AB117" s="62">
        <f>AB$5*Yield!R25</f>
        <v>-0.38392711830527121</v>
      </c>
      <c r="AC117" s="62">
        <f>AC$5*Yield!R24</f>
        <v>-0.38661841323855722</v>
      </c>
      <c r="AD117" s="62">
        <f>AD$5*Yield!R23</f>
        <v>-0.38977836873354366</v>
      </c>
      <c r="AE117" s="62">
        <f>AE$5*Yield!R22</f>
        <v>-0.38936564128072987</v>
      </c>
      <c r="AF117" s="62">
        <f>AF$5*Yield!R21</f>
        <v>-0.38641314826087847</v>
      </c>
      <c r="AG117" s="62">
        <f>AG$5*Yield!R20</f>
        <v>-0.37890721120151061</v>
      </c>
      <c r="AH117" s="62">
        <f>AH$5*Yield!R19</f>
        <v>-0.36887028231776092</v>
      </c>
      <c r="AI117" s="62">
        <f>AI$5*Yield!R18</f>
        <v>-0.35656453816396189</v>
      </c>
      <c r="AJ117" s="62">
        <f>AJ$5*Yield!R17</f>
        <v>-0.33984671194635752</v>
      </c>
      <c r="AK117" s="62">
        <f>AK$5*Yield!R16</f>
        <v>-0.32534942681499607</v>
      </c>
      <c r="AL117" s="62">
        <f>AL$5*Yield!R15</f>
        <v>-0.3135400668627783</v>
      </c>
      <c r="AM117" s="62">
        <f>AM$5*Yield!R14</f>
        <v>-0.34980449115170553</v>
      </c>
      <c r="AN117" s="62">
        <f>AN$5*Yield!R13</f>
        <v>-0.38377752188489445</v>
      </c>
      <c r="AO117" s="62">
        <f>AO$5*Yield!R12</f>
        <v>-0.43392656129855006</v>
      </c>
      <c r="AP117" s="62">
        <f>AP$5*Yield!R11</f>
        <v>-0.44345613047539995</v>
      </c>
      <c r="AQ117" s="62">
        <f>AQ$5*Yield!R10</f>
        <v>-0.39052999975994906</v>
      </c>
      <c r="AR117" s="62">
        <f>AR$5*Yield!R9</f>
        <v>-0.28574657577043822</v>
      </c>
      <c r="AS117" s="62">
        <f>AS$5*Yield!R8</f>
        <v>-0.16703170110339347</v>
      </c>
      <c r="AT117" s="62">
        <f>AT$5*Yield!R7</f>
        <v>-4.8891848936741054E-2</v>
      </c>
      <c r="AU117" s="62">
        <f>AU$5*Yield!R6</f>
        <v>-1.9039644091451802E-2</v>
      </c>
      <c r="AV117" s="62">
        <f>AV$5*Yield!R5</f>
        <v>-4.5978609524069116E-3</v>
      </c>
      <c r="AW117" s="62"/>
      <c r="AX117" s="62"/>
      <c r="AY117" s="62"/>
      <c r="AZ117" s="62"/>
      <c r="BA117" s="62"/>
      <c r="BB117" s="62"/>
      <c r="BC117" s="62"/>
      <c r="BD117" s="62"/>
      <c r="BE117" s="62"/>
      <c r="BF117" s="62"/>
      <c r="BG117" s="62"/>
      <c r="BH117" s="62"/>
      <c r="BI117" s="23"/>
      <c r="BJ117" s="61">
        <v>2068</v>
      </c>
      <c r="BK117" s="65">
        <f t="shared" si="15"/>
        <v>-15.403575321704061</v>
      </c>
      <c r="BL117" s="59"/>
      <c r="BM117" s="59"/>
      <c r="BN117" s="19"/>
      <c r="BO117"/>
      <c r="BP117"/>
      <c r="BQ117"/>
      <c r="BR117"/>
      <c r="BS117"/>
      <c r="BT117"/>
      <c r="BU117"/>
      <c r="BV117"/>
      <c r="BW117"/>
      <c r="BX117"/>
      <c r="BY117"/>
      <c r="BZ117"/>
      <c r="CA117"/>
      <c r="CB117"/>
      <c r="CC117"/>
      <c r="CD117"/>
      <c r="CE117"/>
      <c r="CF117"/>
    </row>
    <row r="118" spans="1:84" s="63" customFormat="1" x14ac:dyDescent="0.25">
      <c r="A118" s="61">
        <v>2069</v>
      </c>
      <c r="B118" s="62">
        <f>B$5*Yield!R52</f>
        <v>-0.35068079833595128</v>
      </c>
      <c r="C118" s="62">
        <f>C$5*Yield!R51</f>
        <v>-0.28551658654671436</v>
      </c>
      <c r="D118" s="62">
        <f>D$5*Yield!R50</f>
        <v>-0.41487307213817681</v>
      </c>
      <c r="E118" s="62">
        <f>E$5*Yield!R49</f>
        <v>-0.35969447923114056</v>
      </c>
      <c r="F118" s="62">
        <f>F$5*Yield!R48</f>
        <v>-0.27422403296894365</v>
      </c>
      <c r="G118" s="62">
        <f>G$5*Yield!R47</f>
        <v>-0.28042311347393534</v>
      </c>
      <c r="H118" s="62">
        <f>H$5*Yield!R46</f>
        <v>-0.28566732706840442</v>
      </c>
      <c r="I118" s="62">
        <f>I$5*Yield!R45</f>
        <v>-0.29320519606741624</v>
      </c>
      <c r="J118" s="62">
        <f>J$5*Yield!R44</f>
        <v>-0.29612012289351941</v>
      </c>
      <c r="K118" s="62">
        <f>K$5*Yield!R43</f>
        <v>-0.29976886742228098</v>
      </c>
      <c r="L118" s="62">
        <f>L$5*Yield!R42</f>
        <v>-0.30466702995476275</v>
      </c>
      <c r="M118" s="62">
        <f>M$5*Yield!R41</f>
        <v>-0.31009217178276743</v>
      </c>
      <c r="N118" s="62">
        <f>N$5*Yield!R40</f>
        <v>-0.31619004279125984</v>
      </c>
      <c r="O118" s="62">
        <f>O$5*Yield!R39</f>
        <v>-0.32260126497902392</v>
      </c>
      <c r="P118" s="62">
        <f>P$5*Yield!R38</f>
        <v>-0.32875879177395251</v>
      </c>
      <c r="Q118" s="62">
        <f>Q$5*Yield!R37</f>
        <v>-0.33668470842558973</v>
      </c>
      <c r="R118" s="62">
        <f>R$5*Yield!R36</f>
        <v>-0.34271746146430637</v>
      </c>
      <c r="S118" s="62">
        <f>S$5*Yield!R35</f>
        <v>-0.34907735321695488</v>
      </c>
      <c r="T118" s="62">
        <f>T$5*Yield!R34</f>
        <v>-0.3569421512437474</v>
      </c>
      <c r="U118" s="62">
        <f>U$5*Yield!R33</f>
        <v>-0.36188864918188779</v>
      </c>
      <c r="V118" s="62">
        <f>V$5*Yield!R32</f>
        <v>-0.36602661475857107</v>
      </c>
      <c r="W118" s="62">
        <f>W$5*Yield!R31</f>
        <v>-0.37000666800516091</v>
      </c>
      <c r="X118" s="62">
        <f>X$5*Yield!R30</f>
        <v>-0.37382675971874185</v>
      </c>
      <c r="Y118" s="62">
        <f>Y$5*Yield!R29</f>
        <v>-0.3773289635706879</v>
      </c>
      <c r="Z118" s="62">
        <f>Z$5*Yield!R28</f>
        <v>-0.38083354087664534</v>
      </c>
      <c r="AA118" s="62">
        <f>AA$5*Yield!R27</f>
        <v>-0.38288673692052494</v>
      </c>
      <c r="AB118" s="62">
        <f>AB$5*Yield!R26</f>
        <v>-0.38288581887312817</v>
      </c>
      <c r="AC118" s="62">
        <f>AC$5*Yield!R25</f>
        <v>-0.38392711830527121</v>
      </c>
      <c r="AD118" s="62">
        <f>AD$5*Yield!R24</f>
        <v>-0.38661841323855722</v>
      </c>
      <c r="AE118" s="62">
        <f>AE$5*Yield!R23</f>
        <v>-0.38977836873354366</v>
      </c>
      <c r="AF118" s="62">
        <f>AF$5*Yield!R22</f>
        <v>-0.38936564128072987</v>
      </c>
      <c r="AG118" s="62">
        <f>AG$5*Yield!R21</f>
        <v>-0.38641314826087847</v>
      </c>
      <c r="AH118" s="62">
        <f>AH$5*Yield!R20</f>
        <v>-0.37890721120151061</v>
      </c>
      <c r="AI118" s="62">
        <f>AI$5*Yield!R19</f>
        <v>-0.36887028231776092</v>
      </c>
      <c r="AJ118" s="62">
        <f>AJ$5*Yield!R18</f>
        <v>-0.35656453816396189</v>
      </c>
      <c r="AK118" s="62">
        <f>AK$5*Yield!R17</f>
        <v>-0.33984671194635752</v>
      </c>
      <c r="AL118" s="62">
        <f>AL$5*Yield!R16</f>
        <v>-0.32534942681499607</v>
      </c>
      <c r="AM118" s="62">
        <f>AM$5*Yield!R15</f>
        <v>-0.3135400668627783</v>
      </c>
      <c r="AN118" s="62">
        <f>AN$5*Yield!R14</f>
        <v>-0.34980449115170553</v>
      </c>
      <c r="AO118" s="62">
        <f>AO$5*Yield!R13</f>
        <v>-0.38377752188489445</v>
      </c>
      <c r="AP118" s="62">
        <f>AP$5*Yield!R12</f>
        <v>-0.43392656129855006</v>
      </c>
      <c r="AQ118" s="62">
        <f>AQ$5*Yield!R11</f>
        <v>-0.44345613047539995</v>
      </c>
      <c r="AR118" s="62">
        <f>AR$5*Yield!R10</f>
        <v>-0.39052999975994906</v>
      </c>
      <c r="AS118" s="62">
        <f>AS$5*Yield!R9</f>
        <v>-0.28574657577043822</v>
      </c>
      <c r="AT118" s="62">
        <f>AT$5*Yield!R8</f>
        <v>-0.16703170110339347</v>
      </c>
      <c r="AU118" s="62">
        <f>AU$5*Yield!R7</f>
        <v>-4.8891848936741054E-2</v>
      </c>
      <c r="AV118" s="62">
        <f>AV$5*Yield!R6</f>
        <v>-1.9039644091451802E-2</v>
      </c>
      <c r="AW118" s="62">
        <f>AW$5*Yield!R5</f>
        <v>-4.5978609524069116E-3</v>
      </c>
      <c r="AX118" s="62"/>
      <c r="AY118" s="62"/>
      <c r="AZ118" s="62"/>
      <c r="BA118" s="62"/>
      <c r="BB118" s="62"/>
      <c r="BC118" s="62"/>
      <c r="BD118" s="62"/>
      <c r="BE118" s="62"/>
      <c r="BF118" s="62"/>
      <c r="BG118" s="62"/>
      <c r="BH118" s="62"/>
      <c r="BI118" s="23"/>
      <c r="BJ118" s="61">
        <v>2069</v>
      </c>
      <c r="BK118" s="65">
        <f t="shared" si="15"/>
        <v>-15.649571586235473</v>
      </c>
      <c r="BL118" s="59"/>
      <c r="BM118" s="59"/>
      <c r="BN118" s="19"/>
      <c r="BO118"/>
      <c r="BP118"/>
      <c r="BQ118"/>
      <c r="BR118"/>
      <c r="BS118"/>
      <c r="BT118"/>
      <c r="BU118"/>
      <c r="BV118"/>
      <c r="BW118"/>
      <c r="BX118"/>
      <c r="BY118"/>
      <c r="BZ118"/>
      <c r="CA118"/>
      <c r="CB118"/>
      <c r="CC118"/>
      <c r="CD118"/>
      <c r="CE118"/>
      <c r="CF118"/>
    </row>
    <row r="119" spans="1:84" s="63" customFormat="1" x14ac:dyDescent="0.25">
      <c r="A119" s="61">
        <v>2070</v>
      </c>
      <c r="B119" s="62">
        <f>B$5*Yield!R53</f>
        <v>-0.34604639754988881</v>
      </c>
      <c r="C119" s="62">
        <f>C$5*Yield!R52</f>
        <v>-0.28016945971789858</v>
      </c>
      <c r="D119" s="62">
        <f>D$5*Yield!R51</f>
        <v>-0.40710673349467097</v>
      </c>
      <c r="E119" s="62">
        <f>E$5*Yield!R50</f>
        <v>-0.35192681291721206</v>
      </c>
      <c r="F119" s="62">
        <f>F$5*Yield!R49</f>
        <v>-0.26903977308345473</v>
      </c>
      <c r="G119" s="62">
        <f>G$5*Yield!R48</f>
        <v>-0.27422403296894365</v>
      </c>
      <c r="H119" s="62">
        <f>H$5*Yield!R47</f>
        <v>-0.28042311347393534</v>
      </c>
      <c r="I119" s="62">
        <f>I$5*Yield!R46</f>
        <v>-0.28566732706840442</v>
      </c>
      <c r="J119" s="62">
        <f>J$5*Yield!R45</f>
        <v>-0.29320519606741624</v>
      </c>
      <c r="K119" s="62">
        <f>K$5*Yield!R44</f>
        <v>-0.29612012289351941</v>
      </c>
      <c r="L119" s="62">
        <f>L$5*Yield!R43</f>
        <v>-0.29976886742228098</v>
      </c>
      <c r="M119" s="62">
        <f>M$5*Yield!R42</f>
        <v>-0.30466702995476275</v>
      </c>
      <c r="N119" s="62">
        <f>N$5*Yield!R41</f>
        <v>-0.31009217178276743</v>
      </c>
      <c r="O119" s="62">
        <f>O$5*Yield!R40</f>
        <v>-0.31619004279125984</v>
      </c>
      <c r="P119" s="62">
        <f>P$5*Yield!R39</f>
        <v>-0.32260126497902392</v>
      </c>
      <c r="Q119" s="62">
        <f>Q$5*Yield!R38</f>
        <v>-0.32875879177395251</v>
      </c>
      <c r="R119" s="62">
        <f>R$5*Yield!R37</f>
        <v>-0.33668470842558973</v>
      </c>
      <c r="S119" s="62">
        <f>S$5*Yield!R36</f>
        <v>-0.34271746146430637</v>
      </c>
      <c r="T119" s="62">
        <f>T$5*Yield!R35</f>
        <v>-0.34907735321695488</v>
      </c>
      <c r="U119" s="62">
        <f>U$5*Yield!R34</f>
        <v>-0.3569421512437474</v>
      </c>
      <c r="V119" s="62">
        <f>V$5*Yield!R33</f>
        <v>-0.36188864918188779</v>
      </c>
      <c r="W119" s="62">
        <f>W$5*Yield!R32</f>
        <v>-0.36602661475857107</v>
      </c>
      <c r="X119" s="62">
        <f>X$5*Yield!R31</f>
        <v>-0.37000666800516091</v>
      </c>
      <c r="Y119" s="62">
        <f>Y$5*Yield!R30</f>
        <v>-0.37382675971874185</v>
      </c>
      <c r="Z119" s="62">
        <f>Z$5*Yield!R29</f>
        <v>-0.3773289635706879</v>
      </c>
      <c r="AA119" s="62">
        <f>AA$5*Yield!R28</f>
        <v>-0.38083354087664534</v>
      </c>
      <c r="AB119" s="62">
        <f>AB$5*Yield!R27</f>
        <v>-0.38288673692052494</v>
      </c>
      <c r="AC119" s="62">
        <f>AC$5*Yield!R26</f>
        <v>-0.38288581887312817</v>
      </c>
      <c r="AD119" s="62">
        <f>AD$5*Yield!R25</f>
        <v>-0.38392711830527121</v>
      </c>
      <c r="AE119" s="62">
        <f>AE$5*Yield!R24</f>
        <v>-0.38661841323855722</v>
      </c>
      <c r="AF119" s="62">
        <f>AF$5*Yield!R23</f>
        <v>-0.38977836873354366</v>
      </c>
      <c r="AG119" s="62">
        <f>AG$5*Yield!R22</f>
        <v>-0.38936564128072987</v>
      </c>
      <c r="AH119" s="62">
        <f>AH$5*Yield!R21</f>
        <v>-0.38641314826087847</v>
      </c>
      <c r="AI119" s="62">
        <f>AI$5*Yield!R20</f>
        <v>-0.37890721120151061</v>
      </c>
      <c r="AJ119" s="62">
        <f>AJ$5*Yield!R19</f>
        <v>-0.36887028231776092</v>
      </c>
      <c r="AK119" s="62">
        <f>AK$5*Yield!R18</f>
        <v>-0.35656453816396189</v>
      </c>
      <c r="AL119" s="62">
        <f>AL$5*Yield!R17</f>
        <v>-0.33984671194635752</v>
      </c>
      <c r="AM119" s="62">
        <f>AM$5*Yield!R16</f>
        <v>-0.32534942681499607</v>
      </c>
      <c r="AN119" s="62">
        <f>AN$5*Yield!R15</f>
        <v>-0.3135400668627783</v>
      </c>
      <c r="AO119" s="62">
        <f>AO$5*Yield!R14</f>
        <v>-0.34980449115170553</v>
      </c>
      <c r="AP119" s="62">
        <f>AP$5*Yield!R13</f>
        <v>-0.38377752188489445</v>
      </c>
      <c r="AQ119" s="62">
        <f>AQ$5*Yield!R12</f>
        <v>-0.43392656129855006</v>
      </c>
      <c r="AR119" s="62">
        <f>AR$5*Yield!R11</f>
        <v>-0.44345613047539995</v>
      </c>
      <c r="AS119" s="62">
        <f>AS$5*Yield!R10</f>
        <v>-0.39052999975994906</v>
      </c>
      <c r="AT119" s="62">
        <f>AT$5*Yield!R9</f>
        <v>-0.28574657577043822</v>
      </c>
      <c r="AU119" s="62">
        <f>AU$5*Yield!R8</f>
        <v>-0.16703170110339347</v>
      </c>
      <c r="AV119" s="62">
        <f>AV$5*Yield!R7</f>
        <v>-4.8891848936741054E-2</v>
      </c>
      <c r="AW119" s="62">
        <f>AW$5*Yield!R6</f>
        <v>-1.9039644091451802E-2</v>
      </c>
      <c r="AX119" s="62">
        <f>AX$5*Yield!R5</f>
        <v>-4.5978609524069116E-3</v>
      </c>
      <c r="AY119" s="62"/>
      <c r="AZ119" s="62"/>
      <c r="BA119" s="62"/>
      <c r="BB119" s="62"/>
      <c r="BC119" s="62"/>
      <c r="BD119" s="62"/>
      <c r="BE119" s="62"/>
      <c r="BF119" s="62"/>
      <c r="BG119" s="62"/>
      <c r="BH119" s="62"/>
      <c r="BI119" s="23"/>
      <c r="BJ119" s="61">
        <v>2070</v>
      </c>
      <c r="BK119" s="65">
        <f t="shared" si="15"/>
        <v>-15.893095826746615</v>
      </c>
      <c r="BL119" s="59"/>
      <c r="BM119" s="59"/>
      <c r="BN119" s="19"/>
      <c r="BO119"/>
      <c r="BP119"/>
      <c r="BQ119"/>
      <c r="BR119"/>
      <c r="BS119"/>
      <c r="BT119"/>
      <c r="BU119"/>
      <c r="BV119"/>
      <c r="BW119"/>
      <c r="BX119"/>
      <c r="BY119"/>
      <c r="BZ119"/>
      <c r="CA119"/>
      <c r="CB119"/>
      <c r="CC119"/>
      <c r="CD119"/>
      <c r="CE119"/>
      <c r="CF119"/>
    </row>
    <row r="120" spans="1:84" s="63" customFormat="1" x14ac:dyDescent="0.25">
      <c r="A120" s="61">
        <v>2071</v>
      </c>
      <c r="B120" s="62">
        <f>B$5*Yield!R54</f>
        <v>-0.33895806391562949</v>
      </c>
      <c r="C120" s="62">
        <f>C$5*Yield!R53</f>
        <v>-0.27646689724368106</v>
      </c>
      <c r="D120" s="62">
        <f>D$5*Yield!R52</f>
        <v>-0.39948247823444372</v>
      </c>
      <c r="E120" s="62">
        <f>E$5*Yield!R51</f>
        <v>-0.34533881530927263</v>
      </c>
      <c r="F120" s="62">
        <f>F$5*Yield!R50</f>
        <v>-0.26322981128767081</v>
      </c>
      <c r="G120" s="62">
        <f>G$5*Yield!R49</f>
        <v>-0.26903977308345473</v>
      </c>
      <c r="H120" s="62">
        <f>H$5*Yield!R48</f>
        <v>-0.27422403296894365</v>
      </c>
      <c r="I120" s="62">
        <f>I$5*Yield!R47</f>
        <v>-0.28042311347393534</v>
      </c>
      <c r="J120" s="62">
        <f>J$5*Yield!R46</f>
        <v>-0.28566732706840442</v>
      </c>
      <c r="K120" s="62">
        <f>K$5*Yield!R45</f>
        <v>-0.29320519606741624</v>
      </c>
      <c r="L120" s="62">
        <f>L$5*Yield!R44</f>
        <v>-0.29612012289351941</v>
      </c>
      <c r="M120" s="62">
        <f>M$5*Yield!R43</f>
        <v>-0.29976886742228098</v>
      </c>
      <c r="N120" s="62">
        <f>N$5*Yield!R42</f>
        <v>-0.30466702995476275</v>
      </c>
      <c r="O120" s="62">
        <f>O$5*Yield!R41</f>
        <v>-0.31009217178276743</v>
      </c>
      <c r="P120" s="62">
        <f>P$5*Yield!R40</f>
        <v>-0.31619004279125984</v>
      </c>
      <c r="Q120" s="62">
        <f>Q$5*Yield!R39</f>
        <v>-0.32260126497902392</v>
      </c>
      <c r="R120" s="62">
        <f>R$5*Yield!R38</f>
        <v>-0.32875879177395251</v>
      </c>
      <c r="S120" s="62">
        <f>S$5*Yield!R37</f>
        <v>-0.33668470842558973</v>
      </c>
      <c r="T120" s="62">
        <f>T$5*Yield!R36</f>
        <v>-0.34271746146430637</v>
      </c>
      <c r="U120" s="62">
        <f>U$5*Yield!R35</f>
        <v>-0.34907735321695488</v>
      </c>
      <c r="V120" s="62">
        <f>V$5*Yield!R34</f>
        <v>-0.3569421512437474</v>
      </c>
      <c r="W120" s="62">
        <f>W$5*Yield!R33</f>
        <v>-0.36188864918188779</v>
      </c>
      <c r="X120" s="62">
        <f>X$5*Yield!R32</f>
        <v>-0.36602661475857107</v>
      </c>
      <c r="Y120" s="62">
        <f>Y$5*Yield!R31</f>
        <v>-0.37000666800516091</v>
      </c>
      <c r="Z120" s="62">
        <f>Z$5*Yield!R30</f>
        <v>-0.37382675971874185</v>
      </c>
      <c r="AA120" s="62">
        <f>AA$5*Yield!R29</f>
        <v>-0.3773289635706879</v>
      </c>
      <c r="AB120" s="62">
        <f>AB$5*Yield!R28</f>
        <v>-0.38083354087664534</v>
      </c>
      <c r="AC120" s="62">
        <f>AC$5*Yield!R27</f>
        <v>-0.38288673692052494</v>
      </c>
      <c r="AD120" s="62">
        <f>AD$5*Yield!R26</f>
        <v>-0.38288581887312817</v>
      </c>
      <c r="AE120" s="62">
        <f>AE$5*Yield!R25</f>
        <v>-0.38392711830527121</v>
      </c>
      <c r="AF120" s="62">
        <f>AF$5*Yield!R24</f>
        <v>-0.38661841323855722</v>
      </c>
      <c r="AG120" s="62">
        <f>AG$5*Yield!R23</f>
        <v>-0.38977836873354366</v>
      </c>
      <c r="AH120" s="62">
        <f>AH$5*Yield!R22</f>
        <v>-0.38936564128072987</v>
      </c>
      <c r="AI120" s="62">
        <f>AI$5*Yield!R21</f>
        <v>-0.38641314826087847</v>
      </c>
      <c r="AJ120" s="62">
        <f>AJ$5*Yield!R20</f>
        <v>-0.37890721120151061</v>
      </c>
      <c r="AK120" s="62">
        <f>AK$5*Yield!R19</f>
        <v>-0.36887028231776092</v>
      </c>
      <c r="AL120" s="62">
        <f>AL$5*Yield!R18</f>
        <v>-0.35656453816396189</v>
      </c>
      <c r="AM120" s="62">
        <f>AM$5*Yield!R17</f>
        <v>-0.33984671194635752</v>
      </c>
      <c r="AN120" s="62">
        <f>AN$5*Yield!R16</f>
        <v>-0.32534942681499607</v>
      </c>
      <c r="AO120" s="62">
        <f>AO$5*Yield!R15</f>
        <v>-0.3135400668627783</v>
      </c>
      <c r="AP120" s="62">
        <f>AP$5*Yield!R14</f>
        <v>-0.34980449115170553</v>
      </c>
      <c r="AQ120" s="62">
        <f>AQ$5*Yield!R13</f>
        <v>-0.38377752188489445</v>
      </c>
      <c r="AR120" s="62">
        <f>AR$5*Yield!R12</f>
        <v>-0.43392656129855006</v>
      </c>
      <c r="AS120" s="62">
        <f>AS$5*Yield!R11</f>
        <v>-0.44345613047539995</v>
      </c>
      <c r="AT120" s="62">
        <f>AT$5*Yield!R10</f>
        <v>-0.39052999975994906</v>
      </c>
      <c r="AU120" s="62">
        <f>AU$5*Yield!R9</f>
        <v>-0.28574657577043822</v>
      </c>
      <c r="AV120" s="62">
        <f>AV$5*Yield!R8</f>
        <v>-0.16703170110339347</v>
      </c>
      <c r="AW120" s="62">
        <f>AW$5*Yield!R7</f>
        <v>-4.8891848936741054E-2</v>
      </c>
      <c r="AX120" s="62">
        <f>AX$5*Yield!R6</f>
        <v>-1.9039644091451802E-2</v>
      </c>
      <c r="AY120" s="62">
        <f>AY$5*Yield!R5</f>
        <v>-4.5978609524069116E-3</v>
      </c>
      <c r="AZ120" s="62"/>
      <c r="BA120" s="62"/>
      <c r="BB120" s="62"/>
      <c r="BC120" s="62"/>
      <c r="BD120" s="62"/>
      <c r="BE120" s="62"/>
      <c r="BF120" s="62"/>
      <c r="BG120" s="62"/>
      <c r="BH120" s="62"/>
      <c r="BI120" s="23"/>
      <c r="BJ120" s="61">
        <v>2071</v>
      </c>
      <c r="BK120" s="65">
        <f t="shared" si="15"/>
        <v>-16.131322489057645</v>
      </c>
      <c r="BL120" s="59"/>
      <c r="BM120" s="59"/>
      <c r="BN120" s="19"/>
      <c r="BO120"/>
      <c r="BP120"/>
      <c r="BQ120"/>
      <c r="BR120"/>
      <c r="BS120"/>
      <c r="BT120"/>
      <c r="BU120"/>
      <c r="BV120"/>
      <c r="BW120"/>
      <c r="BX120"/>
      <c r="BY120"/>
      <c r="BZ120"/>
      <c r="CA120"/>
      <c r="CB120"/>
      <c r="CC120"/>
      <c r="CD120"/>
      <c r="CE120"/>
      <c r="CF120"/>
    </row>
    <row r="121" spans="1:84" s="63" customFormat="1" x14ac:dyDescent="0.25">
      <c r="A121" s="61">
        <v>2072</v>
      </c>
      <c r="B121" s="62">
        <f>B$5*Yield!R55</f>
        <v>-0.33895806391562949</v>
      </c>
      <c r="C121" s="62">
        <f>C$5*Yield!R54</f>
        <v>-0.27080381385264773</v>
      </c>
      <c r="D121" s="62">
        <f>D$5*Yield!R53</f>
        <v>-0.3942031418124527</v>
      </c>
      <c r="E121" s="62">
        <f>E$5*Yield!R52</f>
        <v>-0.33887134360576954</v>
      </c>
      <c r="F121" s="62">
        <f>F$5*Yield!R51</f>
        <v>-0.25830220332075676</v>
      </c>
      <c r="G121" s="62">
        <f>G$5*Yield!R50</f>
        <v>-0.26322981128767081</v>
      </c>
      <c r="H121" s="62">
        <f>H$5*Yield!R49</f>
        <v>-0.26903977308345473</v>
      </c>
      <c r="I121" s="62">
        <f>I$5*Yield!R48</f>
        <v>-0.27422403296894365</v>
      </c>
      <c r="J121" s="62">
        <f>J$5*Yield!R47</f>
        <v>-0.28042311347393534</v>
      </c>
      <c r="K121" s="62">
        <f>K$5*Yield!R46</f>
        <v>-0.28566732706840442</v>
      </c>
      <c r="L121" s="62">
        <f>L$5*Yield!R45</f>
        <v>-0.29320519606741624</v>
      </c>
      <c r="M121" s="62">
        <f>M$5*Yield!R44</f>
        <v>-0.29612012289351941</v>
      </c>
      <c r="N121" s="62">
        <f>N$5*Yield!R43</f>
        <v>-0.29976886742228098</v>
      </c>
      <c r="O121" s="62">
        <f>O$5*Yield!R42</f>
        <v>-0.30466702995476275</v>
      </c>
      <c r="P121" s="62">
        <f>P$5*Yield!R41</f>
        <v>-0.31009217178276743</v>
      </c>
      <c r="Q121" s="62">
        <f>Q$5*Yield!R40</f>
        <v>-0.31619004279125984</v>
      </c>
      <c r="R121" s="62">
        <f>R$5*Yield!R39</f>
        <v>-0.32260126497902392</v>
      </c>
      <c r="S121" s="62">
        <f>S$5*Yield!R38</f>
        <v>-0.32875879177395251</v>
      </c>
      <c r="T121" s="62">
        <f>T$5*Yield!R37</f>
        <v>-0.33668470842558973</v>
      </c>
      <c r="U121" s="62">
        <f>U$5*Yield!R36</f>
        <v>-0.34271746146430637</v>
      </c>
      <c r="V121" s="62">
        <f>V$5*Yield!R35</f>
        <v>-0.34907735321695488</v>
      </c>
      <c r="W121" s="62">
        <f>W$5*Yield!R34</f>
        <v>-0.3569421512437474</v>
      </c>
      <c r="X121" s="62">
        <f>X$5*Yield!R33</f>
        <v>-0.36188864918188779</v>
      </c>
      <c r="Y121" s="62">
        <f>Y$5*Yield!R32</f>
        <v>-0.36602661475857107</v>
      </c>
      <c r="Z121" s="62">
        <f>Z$5*Yield!R31</f>
        <v>-0.37000666800516091</v>
      </c>
      <c r="AA121" s="62">
        <f>AA$5*Yield!R30</f>
        <v>-0.37382675971874185</v>
      </c>
      <c r="AB121" s="62">
        <f>AB$5*Yield!R29</f>
        <v>-0.3773289635706879</v>
      </c>
      <c r="AC121" s="62">
        <f>AC$5*Yield!R28</f>
        <v>-0.38083354087664534</v>
      </c>
      <c r="AD121" s="62">
        <f>AD$5*Yield!R27</f>
        <v>-0.38288673692052494</v>
      </c>
      <c r="AE121" s="62">
        <f>AE$5*Yield!R26</f>
        <v>-0.38288581887312817</v>
      </c>
      <c r="AF121" s="62">
        <f>AF$5*Yield!R25</f>
        <v>-0.38392711830527121</v>
      </c>
      <c r="AG121" s="62">
        <f>AG$5*Yield!R24</f>
        <v>-0.38661841323855722</v>
      </c>
      <c r="AH121" s="62">
        <f>AH$5*Yield!R23</f>
        <v>-0.38977836873354366</v>
      </c>
      <c r="AI121" s="62">
        <f>AI$5*Yield!R22</f>
        <v>-0.38936564128072987</v>
      </c>
      <c r="AJ121" s="62">
        <f>AJ$5*Yield!R21</f>
        <v>-0.38641314826087847</v>
      </c>
      <c r="AK121" s="62">
        <f>AK$5*Yield!R20</f>
        <v>-0.37890721120151061</v>
      </c>
      <c r="AL121" s="62">
        <f>AL$5*Yield!R19</f>
        <v>-0.36887028231776092</v>
      </c>
      <c r="AM121" s="62">
        <f>AM$5*Yield!R18</f>
        <v>-0.35656453816396189</v>
      </c>
      <c r="AN121" s="62">
        <f>AN$5*Yield!R17</f>
        <v>-0.33984671194635752</v>
      </c>
      <c r="AO121" s="62">
        <f>AO$5*Yield!R16</f>
        <v>-0.32534942681499607</v>
      </c>
      <c r="AP121" s="62">
        <f>AP$5*Yield!R15</f>
        <v>-0.3135400668627783</v>
      </c>
      <c r="AQ121" s="62">
        <f>AQ$5*Yield!R14</f>
        <v>-0.34980449115170553</v>
      </c>
      <c r="AR121" s="62">
        <f>AR$5*Yield!R13</f>
        <v>-0.38377752188489445</v>
      </c>
      <c r="AS121" s="62">
        <f>AS$5*Yield!R12</f>
        <v>-0.43392656129855006</v>
      </c>
      <c r="AT121" s="62">
        <f>AT$5*Yield!R11</f>
        <v>-0.44345613047539995</v>
      </c>
      <c r="AU121" s="62">
        <f>AU$5*Yield!R10</f>
        <v>-0.39052999975994906</v>
      </c>
      <c r="AV121" s="62">
        <f>AV$5*Yield!R9</f>
        <v>-0.28574657577043822</v>
      </c>
      <c r="AW121" s="62">
        <f>AW$5*Yield!R8</f>
        <v>-0.16703170110339347</v>
      </c>
      <c r="AX121" s="62">
        <f>AX$5*Yield!R7</f>
        <v>-4.8891848936741054E-2</v>
      </c>
      <c r="AY121" s="62">
        <f>AY$5*Yield!R6</f>
        <v>-1.9039644091451802E-2</v>
      </c>
      <c r="AZ121" s="62">
        <f>AZ$5*Yield!R5</f>
        <v>-4.5978609524069116E-3</v>
      </c>
      <c r="BA121" s="62"/>
      <c r="BB121" s="62"/>
      <c r="BC121" s="62"/>
      <c r="BD121" s="62"/>
      <c r="BE121" s="62"/>
      <c r="BF121" s="62"/>
      <c r="BG121" s="62"/>
      <c r="BH121" s="62"/>
      <c r="BI121" s="23"/>
      <c r="BJ121" s="61">
        <v>2072</v>
      </c>
      <c r="BK121" s="65">
        <f t="shared" si="15"/>
        <v>-16.372214800861876</v>
      </c>
      <c r="BL121" s="59"/>
      <c r="BM121" s="59"/>
      <c r="BN121" s="19"/>
      <c r="BO121"/>
      <c r="BP121"/>
      <c r="BQ121"/>
      <c r="BR121"/>
      <c r="BS121"/>
      <c r="BT121"/>
      <c r="BU121"/>
      <c r="BV121"/>
      <c r="BW121"/>
      <c r="BX121"/>
      <c r="BY121"/>
      <c r="BZ121"/>
      <c r="CA121"/>
      <c r="CB121"/>
      <c r="CC121"/>
      <c r="CD121"/>
      <c r="CE121"/>
      <c r="CF121"/>
    </row>
    <row r="122" spans="1:84" s="63" customFormat="1" x14ac:dyDescent="0.25">
      <c r="A122" s="61">
        <v>2073</v>
      </c>
      <c r="B122" s="62">
        <f>B$5*Yield!R56</f>
        <v>-0.338958063915624</v>
      </c>
      <c r="C122" s="62">
        <f>C$5*Yield!R55</f>
        <v>-0.27080381385264773</v>
      </c>
      <c r="D122" s="62">
        <f>D$5*Yield!R54</f>
        <v>-0.38612837666932748</v>
      </c>
      <c r="E122" s="62">
        <f>E$5*Yield!R53</f>
        <v>-0.33439300995125298</v>
      </c>
      <c r="F122" s="62">
        <f>F$5*Yield!R52</f>
        <v>-0.25346474481081949</v>
      </c>
      <c r="G122" s="62">
        <f>G$5*Yield!R51</f>
        <v>-0.25830220332075676</v>
      </c>
      <c r="H122" s="62">
        <f>H$5*Yield!R50</f>
        <v>-0.26322981128767081</v>
      </c>
      <c r="I122" s="62">
        <f>I$5*Yield!R49</f>
        <v>-0.26903977308345473</v>
      </c>
      <c r="J122" s="62">
        <f>J$5*Yield!R48</f>
        <v>-0.27422403296894365</v>
      </c>
      <c r="K122" s="62">
        <f>K$5*Yield!R47</f>
        <v>-0.28042311347393534</v>
      </c>
      <c r="L122" s="62">
        <f>L$5*Yield!R46</f>
        <v>-0.28566732706840442</v>
      </c>
      <c r="M122" s="62">
        <f>M$5*Yield!R45</f>
        <v>-0.29320519606741624</v>
      </c>
      <c r="N122" s="62">
        <f>N$5*Yield!R44</f>
        <v>-0.29612012289351941</v>
      </c>
      <c r="O122" s="62">
        <f>O$5*Yield!R43</f>
        <v>-0.29976886742228098</v>
      </c>
      <c r="P122" s="62">
        <f>P$5*Yield!R42</f>
        <v>-0.30466702995476275</v>
      </c>
      <c r="Q122" s="62">
        <f>Q$5*Yield!R41</f>
        <v>-0.31009217178276743</v>
      </c>
      <c r="R122" s="62">
        <f>R$5*Yield!R40</f>
        <v>-0.31619004279125984</v>
      </c>
      <c r="S122" s="62">
        <f>S$5*Yield!R39</f>
        <v>-0.32260126497902392</v>
      </c>
      <c r="T122" s="62">
        <f>T$5*Yield!R38</f>
        <v>-0.32875879177395251</v>
      </c>
      <c r="U122" s="62">
        <f>U$5*Yield!R37</f>
        <v>-0.33668470842558973</v>
      </c>
      <c r="V122" s="62">
        <f>V$5*Yield!R36</f>
        <v>-0.34271746146430637</v>
      </c>
      <c r="W122" s="62">
        <f>W$5*Yield!R35</f>
        <v>-0.34907735321695488</v>
      </c>
      <c r="X122" s="62">
        <f>X$5*Yield!R34</f>
        <v>-0.3569421512437474</v>
      </c>
      <c r="Y122" s="62">
        <f>Y$5*Yield!R33</f>
        <v>-0.36188864918188779</v>
      </c>
      <c r="Z122" s="62">
        <f>Z$5*Yield!R32</f>
        <v>-0.36602661475857107</v>
      </c>
      <c r="AA122" s="62">
        <f>AA$5*Yield!R31</f>
        <v>-0.37000666800516091</v>
      </c>
      <c r="AB122" s="62">
        <f>AB$5*Yield!R30</f>
        <v>-0.37382675971874185</v>
      </c>
      <c r="AC122" s="62">
        <f>AC$5*Yield!R29</f>
        <v>-0.3773289635706879</v>
      </c>
      <c r="AD122" s="62">
        <f>AD$5*Yield!R28</f>
        <v>-0.38083354087664534</v>
      </c>
      <c r="AE122" s="62">
        <f>AE$5*Yield!R27</f>
        <v>-0.38288673692052494</v>
      </c>
      <c r="AF122" s="62">
        <f>AF$5*Yield!R26</f>
        <v>-0.38288581887312817</v>
      </c>
      <c r="AG122" s="62">
        <f>AG$5*Yield!R25</f>
        <v>-0.38392711830527121</v>
      </c>
      <c r="AH122" s="62">
        <f>AH$5*Yield!R24</f>
        <v>-0.38661841323855722</v>
      </c>
      <c r="AI122" s="62">
        <f>AI$5*Yield!R23</f>
        <v>-0.38977836873354366</v>
      </c>
      <c r="AJ122" s="62">
        <f>AJ$5*Yield!R22</f>
        <v>-0.38936564128072987</v>
      </c>
      <c r="AK122" s="62">
        <f>AK$5*Yield!R21</f>
        <v>-0.38641314826087847</v>
      </c>
      <c r="AL122" s="62">
        <f>AL$5*Yield!R20</f>
        <v>-0.37890721120151061</v>
      </c>
      <c r="AM122" s="62">
        <f>AM$5*Yield!R19</f>
        <v>-0.36887028231776092</v>
      </c>
      <c r="AN122" s="62">
        <f>AN$5*Yield!R18</f>
        <v>-0.35656453816396189</v>
      </c>
      <c r="AO122" s="62">
        <f>AO$5*Yield!R17</f>
        <v>-0.33984671194635752</v>
      </c>
      <c r="AP122" s="62">
        <f>AP$5*Yield!R16</f>
        <v>-0.32534942681499607</v>
      </c>
      <c r="AQ122" s="62">
        <f>AQ$5*Yield!R15</f>
        <v>-0.3135400668627783</v>
      </c>
      <c r="AR122" s="62">
        <f>AR$5*Yield!R14</f>
        <v>-0.34980449115170553</v>
      </c>
      <c r="AS122" s="62">
        <f>AS$5*Yield!R13</f>
        <v>-0.38377752188489445</v>
      </c>
      <c r="AT122" s="62">
        <f>AT$5*Yield!R12</f>
        <v>-0.43392656129855006</v>
      </c>
      <c r="AU122" s="62">
        <f>AU$5*Yield!R11</f>
        <v>-0.44345613047539995</v>
      </c>
      <c r="AV122" s="62">
        <f>AV$5*Yield!R10</f>
        <v>-0.39052999975994906</v>
      </c>
      <c r="AW122" s="62">
        <f>AW$5*Yield!R9</f>
        <v>-0.28574657577043822</v>
      </c>
      <c r="AX122" s="62">
        <f>AX$5*Yield!R8</f>
        <v>-0.16703170110339347</v>
      </c>
      <c r="AY122" s="62">
        <f>AY$5*Yield!R7</f>
        <v>-4.8891848936741054E-2</v>
      </c>
      <c r="AZ122" s="62">
        <f>AZ$5*Yield!R6</f>
        <v>-1.9039644091451802E-2</v>
      </c>
      <c r="BA122" s="62">
        <f>BA$5*Yield!R5</f>
        <v>-4.5978609524069116E-3</v>
      </c>
      <c r="BB122" s="62"/>
      <c r="BC122" s="62"/>
      <c r="BD122" s="62"/>
      <c r="BE122" s="62"/>
      <c r="BF122" s="62"/>
      <c r="BG122" s="62"/>
      <c r="BH122" s="62"/>
      <c r="BI122" s="23"/>
      <c r="BJ122" s="61">
        <v>2073</v>
      </c>
      <c r="BK122" s="65">
        <f t="shared" si="15"/>
        <v>-16.61312644687505</v>
      </c>
      <c r="BL122" s="59"/>
      <c r="BM122" s="59"/>
      <c r="BN122" s="19"/>
      <c r="BO122"/>
      <c r="BP122"/>
      <c r="BQ122"/>
      <c r="BR122"/>
      <c r="BS122"/>
      <c r="BT122"/>
      <c r="BU122"/>
      <c r="BV122"/>
      <c r="BW122"/>
      <c r="BX122"/>
      <c r="BY122"/>
      <c r="BZ122"/>
      <c r="CA122"/>
      <c r="CB122"/>
      <c r="CC122"/>
      <c r="CD122"/>
      <c r="CE122"/>
      <c r="CF122"/>
    </row>
    <row r="123" spans="1:84" s="63" customFormat="1" x14ac:dyDescent="0.25">
      <c r="A123" s="61">
        <v>2074</v>
      </c>
      <c r="B123" s="62">
        <f>B$5*Yield!R57</f>
        <v>-0.33895806391562949</v>
      </c>
      <c r="C123" s="62">
        <f>C$5*Yield!R56</f>
        <v>-0.27080381385264335</v>
      </c>
      <c r="D123" s="62">
        <f>D$5*Yield!R55</f>
        <v>-0.38612837666932748</v>
      </c>
      <c r="E123" s="62">
        <f>E$5*Yield!R54</f>
        <v>-0.32754338158846397</v>
      </c>
      <c r="F123" s="62">
        <f>F$5*Yield!R53</f>
        <v>-0.25011509687410793</v>
      </c>
      <c r="G123" s="62">
        <f>G$5*Yield!R52</f>
        <v>-0.25346474481081949</v>
      </c>
      <c r="H123" s="62">
        <f>H$5*Yield!R51</f>
        <v>-0.25830220332075676</v>
      </c>
      <c r="I123" s="62">
        <f>I$5*Yield!R50</f>
        <v>-0.26322981128767081</v>
      </c>
      <c r="J123" s="62">
        <f>J$5*Yield!R49</f>
        <v>-0.26903977308345473</v>
      </c>
      <c r="K123" s="62">
        <f>K$5*Yield!R48</f>
        <v>-0.27422403296894365</v>
      </c>
      <c r="L123" s="62">
        <f>L$5*Yield!R47</f>
        <v>-0.28042311347393534</v>
      </c>
      <c r="M123" s="62">
        <f>M$5*Yield!R46</f>
        <v>-0.28566732706840442</v>
      </c>
      <c r="N123" s="62">
        <f>N$5*Yield!R45</f>
        <v>-0.29320519606741624</v>
      </c>
      <c r="O123" s="62">
        <f>O$5*Yield!R44</f>
        <v>-0.29612012289351941</v>
      </c>
      <c r="P123" s="62">
        <f>P$5*Yield!R43</f>
        <v>-0.29976886742228098</v>
      </c>
      <c r="Q123" s="62">
        <f>Q$5*Yield!R42</f>
        <v>-0.30466702995476275</v>
      </c>
      <c r="R123" s="62">
        <f>R$5*Yield!R41</f>
        <v>-0.31009217178276743</v>
      </c>
      <c r="S123" s="62">
        <f>S$5*Yield!R40</f>
        <v>-0.31619004279125984</v>
      </c>
      <c r="T123" s="62">
        <f>T$5*Yield!R39</f>
        <v>-0.32260126497902392</v>
      </c>
      <c r="U123" s="62">
        <f>U$5*Yield!R38</f>
        <v>-0.32875879177395251</v>
      </c>
      <c r="V123" s="62">
        <f>V$5*Yield!R37</f>
        <v>-0.33668470842558973</v>
      </c>
      <c r="W123" s="62">
        <f>W$5*Yield!R36</f>
        <v>-0.34271746146430637</v>
      </c>
      <c r="X123" s="62">
        <f>X$5*Yield!R35</f>
        <v>-0.34907735321695488</v>
      </c>
      <c r="Y123" s="62">
        <f>Y$5*Yield!R34</f>
        <v>-0.3569421512437474</v>
      </c>
      <c r="Z123" s="62">
        <f>Z$5*Yield!R33</f>
        <v>-0.36188864918188779</v>
      </c>
      <c r="AA123" s="62">
        <f>AA$5*Yield!R32</f>
        <v>-0.36602661475857107</v>
      </c>
      <c r="AB123" s="62">
        <f>AB$5*Yield!R31</f>
        <v>-0.37000666800516091</v>
      </c>
      <c r="AC123" s="62">
        <f>AC$5*Yield!R30</f>
        <v>-0.37382675971874185</v>
      </c>
      <c r="AD123" s="62">
        <f>AD$5*Yield!R29</f>
        <v>-0.3773289635706879</v>
      </c>
      <c r="AE123" s="62">
        <f>AE$5*Yield!R28</f>
        <v>-0.38083354087664534</v>
      </c>
      <c r="AF123" s="62">
        <f>AF$5*Yield!R27</f>
        <v>-0.38288673692052494</v>
      </c>
      <c r="AG123" s="62">
        <f>AG$5*Yield!R26</f>
        <v>-0.38288581887312817</v>
      </c>
      <c r="AH123" s="62">
        <f>AH$5*Yield!R25</f>
        <v>-0.38392711830527121</v>
      </c>
      <c r="AI123" s="62">
        <f>AI$5*Yield!R24</f>
        <v>-0.38661841323855722</v>
      </c>
      <c r="AJ123" s="62">
        <f>AJ$5*Yield!R23</f>
        <v>-0.38977836873354366</v>
      </c>
      <c r="AK123" s="62">
        <f>AK$5*Yield!R22</f>
        <v>-0.38936564128072987</v>
      </c>
      <c r="AL123" s="62">
        <f>AL$5*Yield!R21</f>
        <v>-0.38641314826087847</v>
      </c>
      <c r="AM123" s="62">
        <f>AM$5*Yield!R20</f>
        <v>-0.37890721120151061</v>
      </c>
      <c r="AN123" s="62">
        <f>AN$5*Yield!R19</f>
        <v>-0.36887028231776092</v>
      </c>
      <c r="AO123" s="62">
        <f>AO$5*Yield!R18</f>
        <v>-0.35656453816396189</v>
      </c>
      <c r="AP123" s="62">
        <f>AP$5*Yield!R17</f>
        <v>-0.33984671194635752</v>
      </c>
      <c r="AQ123" s="62">
        <f>AQ$5*Yield!R16</f>
        <v>-0.32534942681499607</v>
      </c>
      <c r="AR123" s="62">
        <f>AR$5*Yield!R15</f>
        <v>-0.3135400668627783</v>
      </c>
      <c r="AS123" s="62">
        <f>AS$5*Yield!R14</f>
        <v>-0.34980449115170553</v>
      </c>
      <c r="AT123" s="62">
        <f>AT$5*Yield!R13</f>
        <v>-0.38377752188489445</v>
      </c>
      <c r="AU123" s="62">
        <f>AU$5*Yield!R12</f>
        <v>-0.43392656129855006</v>
      </c>
      <c r="AV123" s="62">
        <f>AV$5*Yield!R11</f>
        <v>-0.44345613047539995</v>
      </c>
      <c r="AW123" s="62">
        <f>AW$5*Yield!R10</f>
        <v>-0.39052999975994906</v>
      </c>
      <c r="AX123" s="62">
        <f>AX$5*Yield!R9</f>
        <v>-0.28574657577043822</v>
      </c>
      <c r="AY123" s="62">
        <f>AY$5*Yield!R8</f>
        <v>-0.16703170110339347</v>
      </c>
      <c r="AZ123" s="62">
        <f>AZ$5*Yield!R7</f>
        <v>-4.8891848936741054E-2</v>
      </c>
      <c r="BA123" s="62">
        <f>BA$5*Yield!R6</f>
        <v>-1.9039644091451802E-2</v>
      </c>
      <c r="BB123" s="62">
        <f>BB$5*Yield!R5</f>
        <v>-4.5978609524069116E-3</v>
      </c>
      <c r="BC123" s="62"/>
      <c r="BD123" s="62"/>
      <c r="BE123" s="62"/>
      <c r="BF123" s="62"/>
      <c r="BG123" s="62"/>
      <c r="BH123" s="62"/>
      <c r="BI123" s="23"/>
      <c r="BJ123" s="61">
        <v>2074</v>
      </c>
      <c r="BK123" s="65">
        <f t="shared" si="15"/>
        <v>-16.856391915386368</v>
      </c>
      <c r="BL123" s="59"/>
      <c r="BM123" s="59"/>
      <c r="BN123" s="19"/>
      <c r="BO123"/>
      <c r="BP123"/>
      <c r="BQ123"/>
      <c r="BR123"/>
      <c r="BS123"/>
      <c r="BT123"/>
      <c r="BU123"/>
      <c r="BV123"/>
      <c r="BW123"/>
      <c r="BX123"/>
      <c r="BY123"/>
      <c r="BZ123"/>
      <c r="CA123"/>
      <c r="CB123"/>
      <c r="CC123"/>
      <c r="CD123"/>
      <c r="CE123"/>
      <c r="CF123"/>
    </row>
    <row r="124" spans="1:84" s="63" customFormat="1" x14ac:dyDescent="0.25">
      <c r="A124" s="61">
        <v>2075</v>
      </c>
      <c r="B124" s="62">
        <f>B$5*Yield!R58</f>
        <v>-0.33895806391562949</v>
      </c>
      <c r="C124" s="62">
        <f>C$5*Yield!R57</f>
        <v>-0.27080381385264773</v>
      </c>
      <c r="D124" s="62">
        <f>D$5*Yield!R56</f>
        <v>-0.3861283766693212</v>
      </c>
      <c r="E124" s="62">
        <f>E$5*Yield!R55</f>
        <v>-0.32754338158846397</v>
      </c>
      <c r="F124" s="62">
        <f>F$5*Yield!R54</f>
        <v>-0.24499179761088363</v>
      </c>
      <c r="G124" s="62">
        <f>G$5*Yield!R53</f>
        <v>-0.25011509687410793</v>
      </c>
      <c r="H124" s="62">
        <f>H$5*Yield!R52</f>
        <v>-0.25346474481081949</v>
      </c>
      <c r="I124" s="62">
        <f>I$5*Yield!R51</f>
        <v>-0.25830220332075676</v>
      </c>
      <c r="J124" s="62">
        <f>J$5*Yield!R50</f>
        <v>-0.26322981128767081</v>
      </c>
      <c r="K124" s="62">
        <f>K$5*Yield!R49</f>
        <v>-0.26903977308345473</v>
      </c>
      <c r="L124" s="62">
        <f>L$5*Yield!R48</f>
        <v>-0.27422403296894365</v>
      </c>
      <c r="M124" s="62">
        <f>M$5*Yield!R47</f>
        <v>-0.28042311347393534</v>
      </c>
      <c r="N124" s="62">
        <f>N$5*Yield!R46</f>
        <v>-0.28566732706840442</v>
      </c>
      <c r="O124" s="62">
        <f>O$5*Yield!R45</f>
        <v>-0.29320519606741624</v>
      </c>
      <c r="P124" s="62">
        <f>P$5*Yield!R44</f>
        <v>-0.29612012289351941</v>
      </c>
      <c r="Q124" s="62">
        <f>Q$5*Yield!R43</f>
        <v>-0.29976886742228098</v>
      </c>
      <c r="R124" s="62">
        <f>R$5*Yield!R42</f>
        <v>-0.30466702995476275</v>
      </c>
      <c r="S124" s="62">
        <f>S$5*Yield!R41</f>
        <v>-0.31009217178276743</v>
      </c>
      <c r="T124" s="62">
        <f>T$5*Yield!R40</f>
        <v>-0.31619004279125984</v>
      </c>
      <c r="U124" s="62">
        <f>U$5*Yield!R39</f>
        <v>-0.32260126497902392</v>
      </c>
      <c r="V124" s="62">
        <f>V$5*Yield!R38</f>
        <v>-0.32875879177395251</v>
      </c>
      <c r="W124" s="62">
        <f>W$5*Yield!R37</f>
        <v>-0.33668470842558973</v>
      </c>
      <c r="X124" s="62">
        <f>X$5*Yield!R36</f>
        <v>-0.34271746146430637</v>
      </c>
      <c r="Y124" s="62">
        <f>Y$5*Yield!R35</f>
        <v>-0.34907735321695488</v>
      </c>
      <c r="Z124" s="62">
        <f>Z$5*Yield!R34</f>
        <v>-0.3569421512437474</v>
      </c>
      <c r="AA124" s="62">
        <f>AA$5*Yield!R33</f>
        <v>-0.36188864918188779</v>
      </c>
      <c r="AB124" s="62">
        <f>AB$5*Yield!R32</f>
        <v>-0.36602661475857107</v>
      </c>
      <c r="AC124" s="62">
        <f>AC$5*Yield!R31</f>
        <v>-0.37000666800516091</v>
      </c>
      <c r="AD124" s="62">
        <f>AD$5*Yield!R30</f>
        <v>-0.37382675971874185</v>
      </c>
      <c r="AE124" s="62">
        <f>AE$5*Yield!R29</f>
        <v>-0.3773289635706879</v>
      </c>
      <c r="AF124" s="62">
        <f>AF$5*Yield!R28</f>
        <v>-0.38083354087664534</v>
      </c>
      <c r="AG124" s="62">
        <f>AG$5*Yield!R27</f>
        <v>-0.38288673692052494</v>
      </c>
      <c r="AH124" s="62">
        <f>AH$5*Yield!R26</f>
        <v>-0.38288581887312817</v>
      </c>
      <c r="AI124" s="62">
        <f>AI$5*Yield!R25</f>
        <v>-0.38392711830527121</v>
      </c>
      <c r="AJ124" s="62">
        <f>AJ$5*Yield!R24</f>
        <v>-0.38661841323855722</v>
      </c>
      <c r="AK124" s="62">
        <f>AK$5*Yield!R23</f>
        <v>-0.38977836873354366</v>
      </c>
      <c r="AL124" s="62">
        <f>AL$5*Yield!R22</f>
        <v>-0.38936564128072987</v>
      </c>
      <c r="AM124" s="62">
        <f>AM$5*Yield!R21</f>
        <v>-0.38641314826087847</v>
      </c>
      <c r="AN124" s="62">
        <f>AN$5*Yield!R20</f>
        <v>-0.37890721120151061</v>
      </c>
      <c r="AO124" s="62">
        <f>AO$5*Yield!R19</f>
        <v>-0.36887028231776092</v>
      </c>
      <c r="AP124" s="62">
        <f>AP$5*Yield!R18</f>
        <v>-0.35656453816396189</v>
      </c>
      <c r="AQ124" s="62">
        <f>AQ$5*Yield!R17</f>
        <v>-0.33984671194635752</v>
      </c>
      <c r="AR124" s="62">
        <f>AR$5*Yield!R16</f>
        <v>-0.32534942681499607</v>
      </c>
      <c r="AS124" s="62">
        <f>AS$5*Yield!R15</f>
        <v>-0.3135400668627783</v>
      </c>
      <c r="AT124" s="62">
        <f>AT$5*Yield!R14</f>
        <v>-0.34980449115170553</v>
      </c>
      <c r="AU124" s="62">
        <f>AU$5*Yield!R13</f>
        <v>-0.38377752188489445</v>
      </c>
      <c r="AV124" s="62">
        <f>AV$5*Yield!R12</f>
        <v>-0.43392656129855006</v>
      </c>
      <c r="AW124" s="62">
        <f>AW$5*Yield!R11</f>
        <v>-0.44345613047539995</v>
      </c>
      <c r="AX124" s="62">
        <f>AX$5*Yield!R10</f>
        <v>-0.39052999975994906</v>
      </c>
      <c r="AY124" s="62">
        <f>AY$5*Yield!R9</f>
        <v>-0.28574657577043822</v>
      </c>
      <c r="AZ124" s="62">
        <f>AZ$5*Yield!R8</f>
        <v>-0.16703170110339347</v>
      </c>
      <c r="BA124" s="62">
        <f>BA$5*Yield!R7</f>
        <v>-4.8891848936741054E-2</v>
      </c>
      <c r="BB124" s="62">
        <f>BB$5*Yield!R6</f>
        <v>-1.9039644091451802E-2</v>
      </c>
      <c r="BC124" s="62">
        <f>BC$5*Yield!R5</f>
        <v>-4.5978609524069116E-3</v>
      </c>
      <c r="BD124" s="62"/>
      <c r="BE124" s="62"/>
      <c r="BF124" s="62"/>
      <c r="BG124" s="62"/>
      <c r="BH124" s="62"/>
      <c r="BI124" s="23"/>
      <c r="BJ124" s="61">
        <v>2075</v>
      </c>
      <c r="BK124" s="65">
        <f t="shared" si="15"/>
        <v>-17.101383712997251</v>
      </c>
      <c r="BL124" s="59"/>
      <c r="BM124" s="59"/>
      <c r="BN124" s="19"/>
      <c r="BO124"/>
      <c r="BP124"/>
      <c r="BQ124"/>
      <c r="BR124"/>
      <c r="BS124"/>
      <c r="BT124"/>
      <c r="BU124"/>
      <c r="BV124"/>
      <c r="BW124"/>
      <c r="BX124"/>
      <c r="BY124"/>
      <c r="BZ124"/>
      <c r="CA124"/>
      <c r="CB124"/>
      <c r="CC124"/>
      <c r="CD124"/>
      <c r="CE124"/>
      <c r="CF124"/>
    </row>
    <row r="125" spans="1:84" s="63" customFormat="1" x14ac:dyDescent="0.25">
      <c r="A125" s="61">
        <v>2076</v>
      </c>
      <c r="B125" s="62">
        <f>B$5*Yield!R59</f>
        <v>-0.338958063915624</v>
      </c>
      <c r="C125" s="62">
        <f>C$5*Yield!R58</f>
        <v>-0.27080381385264773</v>
      </c>
      <c r="D125" s="62">
        <f>D$5*Yield!R57</f>
        <v>-0.38612837666932748</v>
      </c>
      <c r="E125" s="62">
        <f>E$5*Yield!R56</f>
        <v>-0.32754338158845864</v>
      </c>
      <c r="F125" s="62">
        <f>F$5*Yield!R55</f>
        <v>-0.24499179761088363</v>
      </c>
      <c r="G125" s="62">
        <f>G$5*Yield!R54</f>
        <v>-0.24499179761088363</v>
      </c>
      <c r="H125" s="62">
        <f>H$5*Yield!R53</f>
        <v>-0.25011509687410793</v>
      </c>
      <c r="I125" s="62">
        <f>I$5*Yield!R52</f>
        <v>-0.25346474481081949</v>
      </c>
      <c r="J125" s="62">
        <f>J$5*Yield!R51</f>
        <v>-0.25830220332075676</v>
      </c>
      <c r="K125" s="62">
        <f>K$5*Yield!R50</f>
        <v>-0.26322981128767081</v>
      </c>
      <c r="L125" s="62">
        <f>L$5*Yield!R49</f>
        <v>-0.26903977308345473</v>
      </c>
      <c r="M125" s="62">
        <f>M$5*Yield!R48</f>
        <v>-0.27422403296894365</v>
      </c>
      <c r="N125" s="62">
        <f>N$5*Yield!R47</f>
        <v>-0.28042311347393534</v>
      </c>
      <c r="O125" s="62">
        <f>O$5*Yield!R46</f>
        <v>-0.28566732706840442</v>
      </c>
      <c r="P125" s="62">
        <f>P$5*Yield!R45</f>
        <v>-0.29320519606741624</v>
      </c>
      <c r="Q125" s="62">
        <f>Q$5*Yield!R44</f>
        <v>-0.29612012289351941</v>
      </c>
      <c r="R125" s="62">
        <f>R$5*Yield!R43</f>
        <v>-0.29976886742228098</v>
      </c>
      <c r="S125" s="62">
        <f>S$5*Yield!R42</f>
        <v>-0.30466702995476275</v>
      </c>
      <c r="T125" s="62">
        <f>T$5*Yield!R41</f>
        <v>-0.31009217178276743</v>
      </c>
      <c r="U125" s="62">
        <f>U$5*Yield!R40</f>
        <v>-0.31619004279125984</v>
      </c>
      <c r="V125" s="62">
        <f>V$5*Yield!R39</f>
        <v>-0.32260126497902392</v>
      </c>
      <c r="W125" s="62">
        <f>W$5*Yield!R38</f>
        <v>-0.32875879177395251</v>
      </c>
      <c r="X125" s="62">
        <f>X$5*Yield!R37</f>
        <v>-0.33668470842558973</v>
      </c>
      <c r="Y125" s="62">
        <f>Y$5*Yield!R36</f>
        <v>-0.34271746146430637</v>
      </c>
      <c r="Z125" s="62">
        <f>Z$5*Yield!R35</f>
        <v>-0.34907735321695488</v>
      </c>
      <c r="AA125" s="62">
        <f>AA$5*Yield!R34</f>
        <v>-0.3569421512437474</v>
      </c>
      <c r="AB125" s="62">
        <f>AB$5*Yield!R33</f>
        <v>-0.36188864918188779</v>
      </c>
      <c r="AC125" s="62">
        <f>AC$5*Yield!R32</f>
        <v>-0.36602661475857107</v>
      </c>
      <c r="AD125" s="62">
        <f>AD$5*Yield!R31</f>
        <v>-0.37000666800516091</v>
      </c>
      <c r="AE125" s="62">
        <f>AE$5*Yield!R30</f>
        <v>-0.37382675971874185</v>
      </c>
      <c r="AF125" s="62">
        <f>AF$5*Yield!R29</f>
        <v>-0.3773289635706879</v>
      </c>
      <c r="AG125" s="62">
        <f>AG$5*Yield!R28</f>
        <v>-0.38083354087664534</v>
      </c>
      <c r="AH125" s="62">
        <f>AH$5*Yield!R27</f>
        <v>-0.38288673692052494</v>
      </c>
      <c r="AI125" s="62">
        <f>AI$5*Yield!R26</f>
        <v>-0.38288581887312817</v>
      </c>
      <c r="AJ125" s="62">
        <f>AJ$5*Yield!R25</f>
        <v>-0.38392711830527121</v>
      </c>
      <c r="AK125" s="62">
        <f>AK$5*Yield!R24</f>
        <v>-0.38661841323855722</v>
      </c>
      <c r="AL125" s="62">
        <f>AL$5*Yield!R23</f>
        <v>-0.38977836873354366</v>
      </c>
      <c r="AM125" s="62">
        <f>AM$5*Yield!R22</f>
        <v>-0.38936564128072987</v>
      </c>
      <c r="AN125" s="62">
        <f>AN$5*Yield!R21</f>
        <v>-0.38641314826087847</v>
      </c>
      <c r="AO125" s="62">
        <f>AO$5*Yield!R20</f>
        <v>-0.37890721120151061</v>
      </c>
      <c r="AP125" s="62">
        <f>AP$5*Yield!R19</f>
        <v>-0.36887028231776092</v>
      </c>
      <c r="AQ125" s="62">
        <f>AQ$5*Yield!R18</f>
        <v>-0.35656453816396189</v>
      </c>
      <c r="AR125" s="62">
        <f>AR$5*Yield!R17</f>
        <v>-0.33984671194635752</v>
      </c>
      <c r="AS125" s="62">
        <f>AS$5*Yield!R16</f>
        <v>-0.32534942681499607</v>
      </c>
      <c r="AT125" s="62">
        <f>AT$5*Yield!R15</f>
        <v>-0.3135400668627783</v>
      </c>
      <c r="AU125" s="62">
        <f>AU$5*Yield!R14</f>
        <v>-0.34980449115170553</v>
      </c>
      <c r="AV125" s="62">
        <f>AV$5*Yield!R13</f>
        <v>-0.38377752188489445</v>
      </c>
      <c r="AW125" s="62">
        <f>AW$5*Yield!R12</f>
        <v>-0.43392656129855006</v>
      </c>
      <c r="AX125" s="62">
        <f>AX$5*Yield!R11</f>
        <v>-0.44345613047539995</v>
      </c>
      <c r="AY125" s="62">
        <f>AY$5*Yield!R10</f>
        <v>-0.39052999975994906</v>
      </c>
      <c r="AZ125" s="62">
        <f>AZ$5*Yield!R9</f>
        <v>-0.28574657577043822</v>
      </c>
      <c r="BA125" s="62">
        <f>BA$5*Yield!R8</f>
        <v>-0.16703170110339347</v>
      </c>
      <c r="BB125" s="62">
        <f>BB$5*Yield!R7</f>
        <v>-4.8891848936741054E-2</v>
      </c>
      <c r="BC125" s="62">
        <f>BC$5*Yield!R6</f>
        <v>-1.9039644091451802E-2</v>
      </c>
      <c r="BD125" s="62">
        <f>BD$5*Yield!R5</f>
        <v>-4.5978609524069116E-3</v>
      </c>
      <c r="BE125" s="62"/>
      <c r="BF125" s="62"/>
      <c r="BG125" s="62"/>
      <c r="BH125" s="62"/>
      <c r="BI125" s="23"/>
      <c r="BJ125" s="61">
        <v>2076</v>
      </c>
      <c r="BK125" s="65">
        <f t="shared" si="15"/>
        <v>-17.34637551060813</v>
      </c>
      <c r="BL125" s="59"/>
      <c r="BM125" s="59"/>
      <c r="BN125" s="19"/>
      <c r="BO125"/>
      <c r="BP125"/>
      <c r="BQ125"/>
      <c r="BR125"/>
      <c r="BS125"/>
      <c r="BT125"/>
      <c r="BU125"/>
      <c r="BV125"/>
      <c r="BW125"/>
      <c r="BX125"/>
      <c r="BY125"/>
      <c r="BZ125"/>
      <c r="CA125"/>
      <c r="CB125"/>
      <c r="CC125"/>
      <c r="CD125"/>
      <c r="CE125"/>
      <c r="CF125"/>
    </row>
    <row r="126" spans="1:84" s="63" customFormat="1" x14ac:dyDescent="0.25">
      <c r="A126" s="61">
        <v>2077</v>
      </c>
      <c r="B126" s="62">
        <f>B$5*Yield!R60</f>
        <v>-0.33895806391562949</v>
      </c>
      <c r="C126" s="62">
        <f>C$5*Yield!R59</f>
        <v>-0.27080381385264335</v>
      </c>
      <c r="D126" s="62">
        <f>D$5*Yield!R58</f>
        <v>-0.38612837666932748</v>
      </c>
      <c r="E126" s="62">
        <f>E$5*Yield!R57</f>
        <v>-0.32754338158846397</v>
      </c>
      <c r="F126" s="62">
        <f>F$5*Yield!R56</f>
        <v>-0.24499179761087964</v>
      </c>
      <c r="G126" s="62">
        <f>G$5*Yield!R55</f>
        <v>-0.24499179761088363</v>
      </c>
      <c r="H126" s="62">
        <f>H$5*Yield!R54</f>
        <v>-0.24499179761088363</v>
      </c>
      <c r="I126" s="62">
        <f>I$5*Yield!R53</f>
        <v>-0.25011509687410793</v>
      </c>
      <c r="J126" s="62">
        <f>J$5*Yield!R52</f>
        <v>-0.25346474481081949</v>
      </c>
      <c r="K126" s="62">
        <f>K$5*Yield!R51</f>
        <v>-0.25830220332075676</v>
      </c>
      <c r="L126" s="62">
        <f>L$5*Yield!R50</f>
        <v>-0.26322981128767081</v>
      </c>
      <c r="M126" s="62">
        <f>M$5*Yield!R49</f>
        <v>-0.26903977308345473</v>
      </c>
      <c r="N126" s="62">
        <f>N$5*Yield!R48</f>
        <v>-0.27422403296894365</v>
      </c>
      <c r="O126" s="62">
        <f>O$5*Yield!R47</f>
        <v>-0.28042311347393534</v>
      </c>
      <c r="P126" s="62">
        <f>P$5*Yield!R46</f>
        <v>-0.28566732706840442</v>
      </c>
      <c r="Q126" s="62">
        <f>Q$5*Yield!R45</f>
        <v>-0.29320519606741624</v>
      </c>
      <c r="R126" s="62">
        <f>R$5*Yield!R44</f>
        <v>-0.29612012289351941</v>
      </c>
      <c r="S126" s="62">
        <f>S$5*Yield!R43</f>
        <v>-0.29976886742228098</v>
      </c>
      <c r="T126" s="62">
        <f>T$5*Yield!R42</f>
        <v>-0.30466702995476275</v>
      </c>
      <c r="U126" s="62">
        <f>U$5*Yield!R41</f>
        <v>-0.31009217178276743</v>
      </c>
      <c r="V126" s="62">
        <f>V$5*Yield!R40</f>
        <v>-0.31619004279125984</v>
      </c>
      <c r="W126" s="62">
        <f>W$5*Yield!R39</f>
        <v>-0.32260126497902392</v>
      </c>
      <c r="X126" s="62">
        <f>X$5*Yield!R38</f>
        <v>-0.32875879177395251</v>
      </c>
      <c r="Y126" s="62">
        <f>Y$5*Yield!R37</f>
        <v>-0.33668470842558973</v>
      </c>
      <c r="Z126" s="62">
        <f>Z$5*Yield!R36</f>
        <v>-0.34271746146430637</v>
      </c>
      <c r="AA126" s="62">
        <f>AA$5*Yield!R35</f>
        <v>-0.34907735321695488</v>
      </c>
      <c r="AB126" s="62">
        <f>AB$5*Yield!R34</f>
        <v>-0.3569421512437474</v>
      </c>
      <c r="AC126" s="62">
        <f>AC$5*Yield!R33</f>
        <v>-0.36188864918188779</v>
      </c>
      <c r="AD126" s="62">
        <f>AD$5*Yield!R32</f>
        <v>-0.36602661475857107</v>
      </c>
      <c r="AE126" s="62">
        <f>AE$5*Yield!R31</f>
        <v>-0.37000666800516091</v>
      </c>
      <c r="AF126" s="62">
        <f>AF$5*Yield!R30</f>
        <v>-0.37382675971874185</v>
      </c>
      <c r="AG126" s="62">
        <f>AG$5*Yield!R29</f>
        <v>-0.3773289635706879</v>
      </c>
      <c r="AH126" s="62">
        <f>AH$5*Yield!R28</f>
        <v>-0.38083354087664534</v>
      </c>
      <c r="AI126" s="62">
        <f>AI$5*Yield!R27</f>
        <v>-0.38288673692052494</v>
      </c>
      <c r="AJ126" s="62">
        <f>AJ$5*Yield!R26</f>
        <v>-0.38288581887312817</v>
      </c>
      <c r="AK126" s="62">
        <f>AK$5*Yield!R25</f>
        <v>-0.38392711830527121</v>
      </c>
      <c r="AL126" s="62">
        <f>AL$5*Yield!R24</f>
        <v>-0.38661841323855722</v>
      </c>
      <c r="AM126" s="62">
        <f>AM$5*Yield!R23</f>
        <v>-0.38977836873354366</v>
      </c>
      <c r="AN126" s="62">
        <f>AN$5*Yield!R22</f>
        <v>-0.38936564128072987</v>
      </c>
      <c r="AO126" s="62">
        <f>AO$5*Yield!R21</f>
        <v>-0.38641314826087847</v>
      </c>
      <c r="AP126" s="62">
        <f>AP$5*Yield!R20</f>
        <v>-0.37890721120151061</v>
      </c>
      <c r="AQ126" s="62">
        <f>AQ$5*Yield!R19</f>
        <v>-0.36887028231776092</v>
      </c>
      <c r="AR126" s="62">
        <f>AR$5*Yield!R18</f>
        <v>-0.35656453816396189</v>
      </c>
      <c r="AS126" s="62">
        <f>AS$5*Yield!R17</f>
        <v>-0.33984671194635752</v>
      </c>
      <c r="AT126" s="62">
        <f>AT$5*Yield!R16</f>
        <v>-0.32534942681499607</v>
      </c>
      <c r="AU126" s="62">
        <f>AU$5*Yield!R15</f>
        <v>-0.3135400668627783</v>
      </c>
      <c r="AV126" s="62">
        <f>AV$5*Yield!R14</f>
        <v>-0.34980449115170553</v>
      </c>
      <c r="AW126" s="62">
        <f>AW$5*Yield!R13</f>
        <v>-0.38377752188489445</v>
      </c>
      <c r="AX126" s="62">
        <f>AX$5*Yield!R12</f>
        <v>-0.43392656129855006</v>
      </c>
      <c r="AY126" s="62">
        <f>AY$5*Yield!R11</f>
        <v>-0.44345613047539995</v>
      </c>
      <c r="AZ126" s="62">
        <f>AZ$5*Yield!R10</f>
        <v>-0.39052999975994906</v>
      </c>
      <c r="BA126" s="62">
        <f>BA$5*Yield!R9</f>
        <v>-0.28574657577043822</v>
      </c>
      <c r="BB126" s="62">
        <f>BB$5*Yield!R8</f>
        <v>-0.16703170110339347</v>
      </c>
      <c r="BC126" s="62">
        <f>BC$5*Yield!R7</f>
        <v>-4.8891848936741054E-2</v>
      </c>
      <c r="BD126" s="62">
        <f>BD$5*Yield!R6</f>
        <v>-1.9039644091451802E-2</v>
      </c>
      <c r="BE126" s="62">
        <f>BE$5*Yield!R5</f>
        <v>-4.5978609524069116E-3</v>
      </c>
      <c r="BF126" s="62"/>
      <c r="BG126" s="62"/>
      <c r="BH126" s="62"/>
      <c r="BI126" s="23"/>
      <c r="BJ126" s="61">
        <v>2077</v>
      </c>
      <c r="BK126" s="65">
        <f t="shared" si="15"/>
        <v>-17.591367308219013</v>
      </c>
      <c r="BL126" s="59"/>
      <c r="BM126" s="59"/>
      <c r="BN126" s="19"/>
      <c r="BO126"/>
      <c r="BP126"/>
      <c r="BQ126"/>
      <c r="BR126"/>
      <c r="BS126"/>
      <c r="BT126"/>
      <c r="BU126"/>
      <c r="BV126"/>
      <c r="BW126"/>
      <c r="BX126"/>
      <c r="BY126"/>
      <c r="BZ126"/>
      <c r="CA126"/>
      <c r="CB126"/>
      <c r="CC126"/>
      <c r="CD126"/>
      <c r="CE126"/>
      <c r="CF126"/>
    </row>
    <row r="127" spans="1:84" s="63" customFormat="1" x14ac:dyDescent="0.25">
      <c r="A127" s="61">
        <v>2078</v>
      </c>
      <c r="B127" s="62">
        <f>B$5*Yield!R61</f>
        <v>-0.33895806391562949</v>
      </c>
      <c r="C127" s="62">
        <f>C$5*Yield!R60</f>
        <v>-0.27080381385264773</v>
      </c>
      <c r="D127" s="62">
        <f>D$5*Yield!R59</f>
        <v>-0.3861283766693212</v>
      </c>
      <c r="E127" s="62">
        <f>E$5*Yield!R58</f>
        <v>-0.32754338158846397</v>
      </c>
      <c r="F127" s="62">
        <f>F$5*Yield!R57</f>
        <v>-0.24499179761088363</v>
      </c>
      <c r="G127" s="62">
        <f>G$5*Yield!R56</f>
        <v>-0.24499179761087964</v>
      </c>
      <c r="H127" s="62">
        <f>H$5*Yield!R55</f>
        <v>-0.24499179761088363</v>
      </c>
      <c r="I127" s="62">
        <f>I$5*Yield!R54</f>
        <v>-0.24499179761088363</v>
      </c>
      <c r="J127" s="62">
        <f>J$5*Yield!R53</f>
        <v>-0.25011509687410793</v>
      </c>
      <c r="K127" s="62">
        <f>K$5*Yield!R52</f>
        <v>-0.25346474481081949</v>
      </c>
      <c r="L127" s="62">
        <f>L$5*Yield!R51</f>
        <v>-0.25830220332075676</v>
      </c>
      <c r="M127" s="62">
        <f>M$5*Yield!R50</f>
        <v>-0.26322981128767081</v>
      </c>
      <c r="N127" s="62">
        <f>N$5*Yield!R49</f>
        <v>-0.26903977308345473</v>
      </c>
      <c r="O127" s="62">
        <f>O$5*Yield!R48</f>
        <v>-0.27422403296894365</v>
      </c>
      <c r="P127" s="62">
        <f>P$5*Yield!R47</f>
        <v>-0.28042311347393534</v>
      </c>
      <c r="Q127" s="62">
        <f>Q$5*Yield!R46</f>
        <v>-0.28566732706840442</v>
      </c>
      <c r="R127" s="62">
        <f>R$5*Yield!R45</f>
        <v>-0.29320519606741624</v>
      </c>
      <c r="S127" s="62">
        <f>S$5*Yield!R44</f>
        <v>-0.29612012289351941</v>
      </c>
      <c r="T127" s="62">
        <f>T$5*Yield!R43</f>
        <v>-0.29976886742228098</v>
      </c>
      <c r="U127" s="62">
        <f>U$5*Yield!R42</f>
        <v>-0.30466702995476275</v>
      </c>
      <c r="V127" s="62">
        <f>V$5*Yield!R41</f>
        <v>-0.31009217178276743</v>
      </c>
      <c r="W127" s="62">
        <f>W$5*Yield!R40</f>
        <v>-0.31619004279125984</v>
      </c>
      <c r="X127" s="62">
        <f>X$5*Yield!R39</f>
        <v>-0.32260126497902392</v>
      </c>
      <c r="Y127" s="62">
        <f>Y$5*Yield!R38</f>
        <v>-0.32875879177395251</v>
      </c>
      <c r="Z127" s="62">
        <f>Z$5*Yield!R37</f>
        <v>-0.33668470842558973</v>
      </c>
      <c r="AA127" s="62">
        <f>AA$5*Yield!R36</f>
        <v>-0.34271746146430637</v>
      </c>
      <c r="AB127" s="62">
        <f>AB$5*Yield!R35</f>
        <v>-0.34907735321695488</v>
      </c>
      <c r="AC127" s="62">
        <f>AC$5*Yield!R34</f>
        <v>-0.3569421512437474</v>
      </c>
      <c r="AD127" s="62">
        <f>AD$5*Yield!R33</f>
        <v>-0.36188864918188779</v>
      </c>
      <c r="AE127" s="62">
        <f>AE$5*Yield!R32</f>
        <v>-0.36602661475857107</v>
      </c>
      <c r="AF127" s="62">
        <f>AF$5*Yield!R31</f>
        <v>-0.37000666800516091</v>
      </c>
      <c r="AG127" s="62">
        <f>AG$5*Yield!R30</f>
        <v>-0.37382675971874185</v>
      </c>
      <c r="AH127" s="62">
        <f>AH$5*Yield!R29</f>
        <v>-0.3773289635706879</v>
      </c>
      <c r="AI127" s="62">
        <f>AI$5*Yield!R28</f>
        <v>-0.38083354087664534</v>
      </c>
      <c r="AJ127" s="62">
        <f>AJ$5*Yield!R27</f>
        <v>-0.38288673692052494</v>
      </c>
      <c r="AK127" s="62">
        <f>AK$5*Yield!R26</f>
        <v>-0.38288581887312817</v>
      </c>
      <c r="AL127" s="62">
        <f>AL$5*Yield!R25</f>
        <v>-0.38392711830527121</v>
      </c>
      <c r="AM127" s="62">
        <f>AM$5*Yield!R24</f>
        <v>-0.38661841323855722</v>
      </c>
      <c r="AN127" s="62">
        <f>AN$5*Yield!R23</f>
        <v>-0.38977836873354366</v>
      </c>
      <c r="AO127" s="62">
        <f>AO$5*Yield!R22</f>
        <v>-0.38936564128072987</v>
      </c>
      <c r="AP127" s="62">
        <f>AP$5*Yield!R21</f>
        <v>-0.38641314826087847</v>
      </c>
      <c r="AQ127" s="62">
        <f>AQ$5*Yield!R20</f>
        <v>-0.37890721120151061</v>
      </c>
      <c r="AR127" s="62">
        <f>AR$5*Yield!R19</f>
        <v>-0.36887028231776092</v>
      </c>
      <c r="AS127" s="62">
        <f>AS$5*Yield!R18</f>
        <v>-0.35656453816396189</v>
      </c>
      <c r="AT127" s="62">
        <f>AT$5*Yield!R17</f>
        <v>-0.33984671194635752</v>
      </c>
      <c r="AU127" s="62">
        <f>AU$5*Yield!R16</f>
        <v>-0.32534942681499607</v>
      </c>
      <c r="AV127" s="62">
        <f>AV$5*Yield!R15</f>
        <v>-0.3135400668627783</v>
      </c>
      <c r="AW127" s="62">
        <f>AW$5*Yield!R14</f>
        <v>-0.34980449115170553</v>
      </c>
      <c r="AX127" s="62">
        <f>AX$5*Yield!R13</f>
        <v>-0.38377752188489445</v>
      </c>
      <c r="AY127" s="62">
        <f>AY$5*Yield!R12</f>
        <v>-0.43392656129855006</v>
      </c>
      <c r="AZ127" s="62">
        <f>AZ$5*Yield!R11</f>
        <v>-0.44345613047539995</v>
      </c>
      <c r="BA127" s="62">
        <f>BA$5*Yield!R10</f>
        <v>-0.39052999975994906</v>
      </c>
      <c r="BB127" s="62">
        <f>BB$5*Yield!R9</f>
        <v>-0.28574657577043822</v>
      </c>
      <c r="BC127" s="62">
        <f>BC$5*Yield!R8</f>
        <v>-0.16703170110339347</v>
      </c>
      <c r="BD127" s="62">
        <f>BD$5*Yield!R7</f>
        <v>-4.8891848936741054E-2</v>
      </c>
      <c r="BE127" s="62">
        <f>BE$5*Yield!R6</f>
        <v>-1.9039644091451802E-2</v>
      </c>
      <c r="BF127" s="62">
        <f>BF$5*Yield!R5</f>
        <v>-4.5978609524069116E-3</v>
      </c>
      <c r="BG127" s="62"/>
      <c r="BH127" s="62"/>
      <c r="BI127" s="23"/>
      <c r="BJ127" s="61">
        <v>2078</v>
      </c>
      <c r="BK127" s="65">
        <f t="shared" si="15"/>
        <v>-17.836359105829892</v>
      </c>
      <c r="BL127" s="59"/>
      <c r="BM127" s="59"/>
      <c r="BN127" s="19"/>
      <c r="BO127"/>
      <c r="BP127"/>
      <c r="BQ127"/>
      <c r="BR127"/>
      <c r="BS127"/>
      <c r="BT127"/>
      <c r="BU127"/>
      <c r="BV127"/>
      <c r="BW127"/>
      <c r="BX127"/>
      <c r="BY127"/>
      <c r="BZ127"/>
      <c r="CA127"/>
      <c r="CB127"/>
      <c r="CC127"/>
      <c r="CD127"/>
      <c r="CE127"/>
      <c r="CF127"/>
    </row>
    <row r="128" spans="1:84" x14ac:dyDescent="0.25">
      <c r="A128" s="61">
        <v>2079</v>
      </c>
      <c r="B128" s="62">
        <f>B$5*Yield!R62</f>
        <v>-0.33895806391562949</v>
      </c>
      <c r="C128" s="62">
        <f>C$5*Yield!R61</f>
        <v>-0.27080381385264773</v>
      </c>
      <c r="D128" s="62">
        <f>D$5*Yield!R60</f>
        <v>-0.38612837666932748</v>
      </c>
      <c r="E128" s="62">
        <f>E$5*Yield!R59</f>
        <v>-0.32754338158845864</v>
      </c>
      <c r="F128" s="62">
        <f>F$5*Yield!R58</f>
        <v>-0.24499179761088363</v>
      </c>
      <c r="G128" s="62">
        <f>G$5*Yield!R57</f>
        <v>-0.24499179761088363</v>
      </c>
      <c r="H128" s="62">
        <f>H$5*Yield!R56</f>
        <v>-0.24499179761087964</v>
      </c>
      <c r="I128" s="62">
        <f>I$5*Yield!R55</f>
        <v>-0.24499179761088363</v>
      </c>
      <c r="J128" s="62">
        <f>J$5*Yield!R54</f>
        <v>-0.24499179761088363</v>
      </c>
      <c r="K128" s="62">
        <f>K$5*Yield!R53</f>
        <v>-0.25011509687410793</v>
      </c>
      <c r="L128" s="62">
        <f>L$5*Yield!R52</f>
        <v>-0.25346474481081949</v>
      </c>
      <c r="M128" s="62">
        <f>M$5*Yield!R51</f>
        <v>-0.25830220332075676</v>
      </c>
      <c r="N128" s="62">
        <f>N$5*Yield!R50</f>
        <v>-0.26322981128767081</v>
      </c>
      <c r="O128" s="62">
        <f>O$5*Yield!R49</f>
        <v>-0.26903977308345473</v>
      </c>
      <c r="P128" s="62">
        <f>P$5*Yield!R48</f>
        <v>-0.27422403296894365</v>
      </c>
      <c r="Q128" s="62">
        <f>Q$5*Yield!R47</f>
        <v>-0.28042311347393534</v>
      </c>
      <c r="R128" s="62">
        <f>R$5*Yield!R46</f>
        <v>-0.28566732706840442</v>
      </c>
      <c r="S128" s="62">
        <f>S$5*Yield!R45</f>
        <v>-0.29320519606741624</v>
      </c>
      <c r="T128" s="62">
        <f>T$5*Yield!R44</f>
        <v>-0.29612012289351941</v>
      </c>
      <c r="U128" s="62">
        <f>U$5*Yield!R43</f>
        <v>-0.29976886742228098</v>
      </c>
      <c r="V128" s="62">
        <f>V$5*Yield!R42</f>
        <v>-0.30466702995476275</v>
      </c>
      <c r="W128" s="62">
        <f>W$5*Yield!R41</f>
        <v>-0.31009217178276743</v>
      </c>
      <c r="X128" s="62">
        <f>X$5*Yield!R40</f>
        <v>-0.31619004279125984</v>
      </c>
      <c r="Y128" s="62">
        <f>Y$5*Yield!R39</f>
        <v>-0.32260126497902392</v>
      </c>
      <c r="Z128" s="62">
        <f>Z$5*Yield!R38</f>
        <v>-0.32875879177395251</v>
      </c>
      <c r="AA128" s="62">
        <f>AA$5*Yield!R37</f>
        <v>-0.33668470842558973</v>
      </c>
      <c r="AB128" s="62">
        <f>AB$5*Yield!R36</f>
        <v>-0.34271746146430637</v>
      </c>
      <c r="AC128" s="62">
        <f>AC$5*Yield!R35</f>
        <v>-0.34907735321695488</v>
      </c>
      <c r="AD128" s="62">
        <f>AD$5*Yield!R34</f>
        <v>-0.3569421512437474</v>
      </c>
      <c r="AE128" s="62">
        <f>AE$5*Yield!R33</f>
        <v>-0.36188864918188779</v>
      </c>
      <c r="AF128" s="62">
        <f>AF$5*Yield!R32</f>
        <v>-0.36602661475857107</v>
      </c>
      <c r="AG128" s="62">
        <f>AG$5*Yield!R31</f>
        <v>-0.37000666800516091</v>
      </c>
      <c r="AH128" s="62">
        <f>AH$5*Yield!R30</f>
        <v>-0.37382675971874185</v>
      </c>
      <c r="AI128" s="62">
        <f>AI$5*Yield!R29</f>
        <v>-0.3773289635706879</v>
      </c>
      <c r="AJ128" s="62">
        <f>AJ$5*Yield!R28</f>
        <v>-0.38083354087664534</v>
      </c>
      <c r="AK128" s="62">
        <f>AK$5*Yield!R27</f>
        <v>-0.38288673692052494</v>
      </c>
      <c r="AL128" s="62">
        <f>AL$5*Yield!R26</f>
        <v>-0.38288581887312817</v>
      </c>
      <c r="AM128" s="62">
        <f>AM$5*Yield!R25</f>
        <v>-0.38392711830527121</v>
      </c>
      <c r="AN128" s="62">
        <f>AN$5*Yield!R24</f>
        <v>-0.38661841323855722</v>
      </c>
      <c r="AO128" s="62">
        <f>AO$5*Yield!R23</f>
        <v>-0.38977836873354366</v>
      </c>
      <c r="AP128" s="62">
        <f>AP$5*Yield!R22</f>
        <v>-0.38936564128072987</v>
      </c>
      <c r="AQ128" s="62">
        <f>AQ$5*Yield!R21</f>
        <v>-0.38641314826087847</v>
      </c>
      <c r="AR128" s="62">
        <f>AR$5*Yield!R20</f>
        <v>-0.37890721120151061</v>
      </c>
      <c r="AS128" s="62">
        <f>AS$5*Yield!R19</f>
        <v>-0.36887028231776092</v>
      </c>
      <c r="AT128" s="62">
        <f>AT$5*Yield!R18</f>
        <v>-0.35656453816396189</v>
      </c>
      <c r="AU128" s="62">
        <f>AU$5*Yield!R17</f>
        <v>-0.33984671194635752</v>
      </c>
      <c r="AV128" s="62">
        <f>AV$5*Yield!R16</f>
        <v>-0.32534942681499607</v>
      </c>
      <c r="AW128" s="62">
        <f>AW$5*Yield!R15</f>
        <v>-0.3135400668627783</v>
      </c>
      <c r="AX128" s="62">
        <f>AX$5*Yield!R14</f>
        <v>-0.34980449115170553</v>
      </c>
      <c r="AY128" s="62">
        <f>AY$5*Yield!R13</f>
        <v>-0.38377752188489445</v>
      </c>
      <c r="AZ128" s="62">
        <f>AZ$5*Yield!R12</f>
        <v>-0.43392656129855006</v>
      </c>
      <c r="BA128" s="62">
        <f>BA$5*Yield!R11</f>
        <v>-0.44345613047539995</v>
      </c>
      <c r="BB128" s="62">
        <f>BB$5*Yield!R10</f>
        <v>-0.39052999975994906</v>
      </c>
      <c r="BC128" s="62">
        <f>BC$5*Yield!R9</f>
        <v>-0.28574657577043822</v>
      </c>
      <c r="BD128" s="62">
        <f>BD$5*Yield!R8</f>
        <v>-0.16703170110339347</v>
      </c>
      <c r="BE128" s="62">
        <f>BE$5*Yield!R7</f>
        <v>-4.8891848936741054E-2</v>
      </c>
      <c r="BF128" s="62">
        <f>BF$5*Yield!R6</f>
        <v>-1.9039644091451802E-2</v>
      </c>
      <c r="BG128" s="62">
        <f>BG$5*Yield!R5</f>
        <v>-4.5978609524069116E-3</v>
      </c>
      <c r="BH128" s="62"/>
      <c r="BJ128" s="61">
        <v>2079</v>
      </c>
      <c r="BK128" s="65">
        <f t="shared" si="15"/>
        <v>-18.081350903440779</v>
      </c>
      <c r="BL128" s="59"/>
      <c r="BM128" s="59"/>
    </row>
    <row r="129" spans="1:84" x14ac:dyDescent="0.25">
      <c r="A129" s="61">
        <v>2080</v>
      </c>
      <c r="B129" s="62">
        <f>B$5*Yield!R63</f>
        <v>-0.33895806391562677</v>
      </c>
      <c r="C129" s="62">
        <f>C$5*Yield!R62</f>
        <v>-0.27080381385264773</v>
      </c>
      <c r="D129" s="62">
        <f>D$5*Yield!R61</f>
        <v>-0.38612837666932748</v>
      </c>
      <c r="E129" s="62">
        <f>E$5*Yield!R60</f>
        <v>-0.32754338158846397</v>
      </c>
      <c r="F129" s="62">
        <f>F$5*Yield!R59</f>
        <v>-0.24499179761087964</v>
      </c>
      <c r="G129" s="62">
        <f>G$5*Yield!R58</f>
        <v>-0.24499179761088363</v>
      </c>
      <c r="H129" s="62">
        <f>H$5*Yield!R57</f>
        <v>-0.24499179761088363</v>
      </c>
      <c r="I129" s="62">
        <f>I$5*Yield!R56</f>
        <v>-0.24499179761087964</v>
      </c>
      <c r="J129" s="62">
        <f>J$5*Yield!R55</f>
        <v>-0.24499179761088363</v>
      </c>
      <c r="K129" s="62">
        <f>K$5*Yield!R54</f>
        <v>-0.24499179761088363</v>
      </c>
      <c r="L129" s="62">
        <f>L$5*Yield!R53</f>
        <v>-0.25011509687410793</v>
      </c>
      <c r="M129" s="62">
        <f>M$5*Yield!R52</f>
        <v>-0.25346474481081949</v>
      </c>
      <c r="N129" s="62">
        <f>N$5*Yield!R51</f>
        <v>-0.25830220332075676</v>
      </c>
      <c r="O129" s="62">
        <f>O$5*Yield!R50</f>
        <v>-0.26322981128767081</v>
      </c>
      <c r="P129" s="62">
        <f>P$5*Yield!R49</f>
        <v>-0.26903977308345473</v>
      </c>
      <c r="Q129" s="62">
        <f>Q$5*Yield!R48</f>
        <v>-0.27422403296894365</v>
      </c>
      <c r="R129" s="62">
        <f>R$5*Yield!R47</f>
        <v>-0.28042311347393534</v>
      </c>
      <c r="S129" s="62">
        <f>S$5*Yield!R46</f>
        <v>-0.28566732706840442</v>
      </c>
      <c r="T129" s="62">
        <f>T$5*Yield!R45</f>
        <v>-0.29320519606741624</v>
      </c>
      <c r="U129" s="62">
        <f>U$5*Yield!R44</f>
        <v>-0.29612012289351941</v>
      </c>
      <c r="V129" s="62">
        <f>V$5*Yield!R43</f>
        <v>-0.29976886742228098</v>
      </c>
      <c r="W129" s="62">
        <f>W$5*Yield!R42</f>
        <v>-0.30466702995476275</v>
      </c>
      <c r="X129" s="62">
        <f>X$5*Yield!R41</f>
        <v>-0.31009217178276743</v>
      </c>
      <c r="Y129" s="62">
        <f>Y$5*Yield!R40</f>
        <v>-0.31619004279125984</v>
      </c>
      <c r="Z129" s="62">
        <f>Z$5*Yield!R39</f>
        <v>-0.32260126497902392</v>
      </c>
      <c r="AA129" s="62">
        <f>AA$5*Yield!R38</f>
        <v>-0.32875879177395251</v>
      </c>
      <c r="AB129" s="62">
        <f>AB$5*Yield!R37</f>
        <v>-0.33668470842558973</v>
      </c>
      <c r="AC129" s="62">
        <f>AC$5*Yield!R36</f>
        <v>-0.34271746146430637</v>
      </c>
      <c r="AD129" s="62">
        <f>AD$5*Yield!R35</f>
        <v>-0.34907735321695488</v>
      </c>
      <c r="AE129" s="62">
        <f>AE$5*Yield!R34</f>
        <v>-0.3569421512437474</v>
      </c>
      <c r="AF129" s="62">
        <f>AF$5*Yield!R33</f>
        <v>-0.36188864918188779</v>
      </c>
      <c r="AG129" s="62">
        <f>AG$5*Yield!R32</f>
        <v>-0.36602661475857107</v>
      </c>
      <c r="AH129" s="62">
        <f>AH$5*Yield!R31</f>
        <v>-0.37000666800516091</v>
      </c>
      <c r="AI129" s="62">
        <f>AI$5*Yield!R30</f>
        <v>-0.37382675971874185</v>
      </c>
      <c r="AJ129" s="62">
        <f>AJ$5*Yield!R29</f>
        <v>-0.3773289635706879</v>
      </c>
      <c r="AK129" s="62">
        <f>AK$5*Yield!R28</f>
        <v>-0.38083354087664534</v>
      </c>
      <c r="AL129" s="62">
        <f>AL$5*Yield!R27</f>
        <v>-0.38288673692052494</v>
      </c>
      <c r="AM129" s="62">
        <f>AM$5*Yield!R26</f>
        <v>-0.38288581887312817</v>
      </c>
      <c r="AN129" s="62">
        <f>AN$5*Yield!R25</f>
        <v>-0.38392711830527121</v>
      </c>
      <c r="AO129" s="62">
        <f>AO$5*Yield!R24</f>
        <v>-0.38661841323855722</v>
      </c>
      <c r="AP129" s="62">
        <f>AP$5*Yield!R23</f>
        <v>-0.38977836873354366</v>
      </c>
      <c r="AQ129" s="62">
        <f>AQ$5*Yield!R22</f>
        <v>-0.38936564128072987</v>
      </c>
      <c r="AR129" s="62">
        <f>AR$5*Yield!R21</f>
        <v>-0.38641314826087847</v>
      </c>
      <c r="AS129" s="62">
        <f>AS$5*Yield!R20</f>
        <v>-0.37890721120151061</v>
      </c>
      <c r="AT129" s="62">
        <f>AT$5*Yield!R19</f>
        <v>-0.36887028231776092</v>
      </c>
      <c r="AU129" s="62">
        <f>AU$5*Yield!R18</f>
        <v>-0.35656453816396189</v>
      </c>
      <c r="AV129" s="62">
        <f>AV$5*Yield!R17</f>
        <v>-0.33984671194635752</v>
      </c>
      <c r="AW129" s="62">
        <f>AW$5*Yield!R16</f>
        <v>-0.32534942681499607</v>
      </c>
      <c r="AX129" s="62">
        <f>AX$5*Yield!R15</f>
        <v>-0.3135400668627783</v>
      </c>
      <c r="AY129" s="62">
        <f>AY$5*Yield!R14</f>
        <v>-0.34980449115170553</v>
      </c>
      <c r="AZ129" s="62">
        <f>AZ$5*Yield!R13</f>
        <v>-0.38377752188489445</v>
      </c>
      <c r="BA129" s="62">
        <f>BA$5*Yield!R12</f>
        <v>-0.43392656129855006</v>
      </c>
      <c r="BB129" s="62">
        <f>BB$5*Yield!R11</f>
        <v>-0.44345613047539995</v>
      </c>
      <c r="BC129" s="62">
        <f>BC$5*Yield!R10</f>
        <v>-0.39052999975994906</v>
      </c>
      <c r="BD129" s="62">
        <f>BD$5*Yield!R9</f>
        <v>-0.28574657577043822</v>
      </c>
      <c r="BE129" s="62">
        <f>BE$5*Yield!R8</f>
        <v>-0.16703170110339347</v>
      </c>
      <c r="BF129" s="62">
        <f>BF$5*Yield!R7</f>
        <v>-4.8891848936741054E-2</v>
      </c>
      <c r="BG129" s="62">
        <f>BG$5*Yield!R6</f>
        <v>-1.9039644091451802E-2</v>
      </c>
      <c r="BH129" s="62">
        <f>BH$5*Yield!R5</f>
        <v>-4.5978609524069116E-3</v>
      </c>
      <c r="BI129" s="23"/>
      <c r="BJ129" s="61">
        <v>2080</v>
      </c>
      <c r="BK129" s="65">
        <f t="shared" si="15"/>
        <v>-18.326342701051665</v>
      </c>
      <c r="BL129" s="59"/>
      <c r="BM129" s="59"/>
    </row>
    <row r="130" spans="1:84" x14ac:dyDescent="0.25">
      <c r="AF130" s="23"/>
    </row>
    <row r="131" spans="1:84" x14ac:dyDescent="0.25">
      <c r="A131" s="64" t="s">
        <v>360</v>
      </c>
      <c r="B131" s="4">
        <f t="shared" ref="B131:AG131" si="16">B70</f>
        <v>2022</v>
      </c>
      <c r="C131" s="4">
        <f t="shared" si="16"/>
        <v>2023</v>
      </c>
      <c r="D131" s="4">
        <f t="shared" si="16"/>
        <v>2024</v>
      </c>
      <c r="E131" s="4">
        <f t="shared" si="16"/>
        <v>2025</v>
      </c>
      <c r="F131" s="4">
        <f t="shared" si="16"/>
        <v>2026</v>
      </c>
      <c r="G131" s="4">
        <f t="shared" si="16"/>
        <v>2027</v>
      </c>
      <c r="H131" s="4">
        <f t="shared" si="16"/>
        <v>2028</v>
      </c>
      <c r="I131" s="4">
        <f t="shared" si="16"/>
        <v>2029</v>
      </c>
      <c r="J131" s="4">
        <f t="shared" si="16"/>
        <v>2030</v>
      </c>
      <c r="K131" s="4">
        <f t="shared" si="16"/>
        <v>2031</v>
      </c>
      <c r="L131" s="4">
        <f t="shared" si="16"/>
        <v>2032</v>
      </c>
      <c r="M131" s="4">
        <f t="shared" si="16"/>
        <v>2033</v>
      </c>
      <c r="N131" s="4">
        <f t="shared" si="16"/>
        <v>2034</v>
      </c>
      <c r="O131" s="4">
        <f t="shared" si="16"/>
        <v>2035</v>
      </c>
      <c r="P131" s="4">
        <f t="shared" si="16"/>
        <v>2036</v>
      </c>
      <c r="Q131" s="4">
        <f t="shared" si="16"/>
        <v>2037</v>
      </c>
      <c r="R131" s="4">
        <f t="shared" si="16"/>
        <v>2038</v>
      </c>
      <c r="S131" s="4">
        <f t="shared" si="16"/>
        <v>2039</v>
      </c>
      <c r="T131" s="4">
        <f t="shared" si="16"/>
        <v>2040</v>
      </c>
      <c r="U131" s="4">
        <f t="shared" si="16"/>
        <v>2041</v>
      </c>
      <c r="V131" s="4">
        <f t="shared" si="16"/>
        <v>2042</v>
      </c>
      <c r="W131" s="4">
        <f t="shared" si="16"/>
        <v>2043</v>
      </c>
      <c r="X131" s="4">
        <f t="shared" si="16"/>
        <v>2044</v>
      </c>
      <c r="Y131" s="4">
        <f t="shared" si="16"/>
        <v>2045</v>
      </c>
      <c r="Z131" s="4">
        <f t="shared" si="16"/>
        <v>2046</v>
      </c>
      <c r="AA131" s="4">
        <f t="shared" si="16"/>
        <v>2047</v>
      </c>
      <c r="AB131" s="4">
        <f t="shared" si="16"/>
        <v>2048</v>
      </c>
      <c r="AC131" s="4">
        <f t="shared" si="16"/>
        <v>2049</v>
      </c>
      <c r="AD131" s="4">
        <f t="shared" si="16"/>
        <v>2050</v>
      </c>
      <c r="AE131" s="4">
        <f t="shared" si="16"/>
        <v>2051</v>
      </c>
      <c r="AF131" s="4">
        <f t="shared" si="16"/>
        <v>2052</v>
      </c>
      <c r="AG131" s="4">
        <f t="shared" si="16"/>
        <v>2053</v>
      </c>
      <c r="AH131" s="4">
        <f t="shared" ref="AH131:BH131" si="17">AH70</f>
        <v>2054</v>
      </c>
      <c r="AI131" s="4">
        <f t="shared" si="17"/>
        <v>2055</v>
      </c>
      <c r="AJ131" s="4">
        <f t="shared" si="17"/>
        <v>2056</v>
      </c>
      <c r="AK131" s="4">
        <f t="shared" si="17"/>
        <v>2057</v>
      </c>
      <c r="AL131" s="4">
        <f t="shared" si="17"/>
        <v>2058</v>
      </c>
      <c r="AM131" s="4">
        <f t="shared" si="17"/>
        <v>2059</v>
      </c>
      <c r="AN131" s="4">
        <f t="shared" si="17"/>
        <v>2060</v>
      </c>
      <c r="AO131" s="4">
        <f t="shared" si="17"/>
        <v>2061</v>
      </c>
      <c r="AP131" s="4">
        <f t="shared" si="17"/>
        <v>2062</v>
      </c>
      <c r="AQ131" s="4">
        <f t="shared" si="17"/>
        <v>2063</v>
      </c>
      <c r="AR131" s="4">
        <f t="shared" si="17"/>
        <v>2064</v>
      </c>
      <c r="AS131" s="4">
        <f t="shared" si="17"/>
        <v>2065</v>
      </c>
      <c r="AT131" s="4">
        <f t="shared" si="17"/>
        <v>2066</v>
      </c>
      <c r="AU131" s="4">
        <f t="shared" si="17"/>
        <v>2067</v>
      </c>
      <c r="AV131" s="4">
        <f t="shared" si="17"/>
        <v>2068</v>
      </c>
      <c r="AW131" s="4">
        <f t="shared" si="17"/>
        <v>2069</v>
      </c>
      <c r="AX131" s="4">
        <f t="shared" si="17"/>
        <v>2070</v>
      </c>
      <c r="AY131" s="4">
        <f t="shared" si="17"/>
        <v>2071</v>
      </c>
      <c r="AZ131" s="4">
        <f t="shared" si="17"/>
        <v>2072</v>
      </c>
      <c r="BA131" s="4">
        <f t="shared" si="17"/>
        <v>2073</v>
      </c>
      <c r="BB131" s="4">
        <f t="shared" si="17"/>
        <v>2074</v>
      </c>
      <c r="BC131" s="4">
        <f t="shared" si="17"/>
        <v>2075</v>
      </c>
      <c r="BD131" s="4">
        <f t="shared" si="17"/>
        <v>2076</v>
      </c>
      <c r="BE131" s="4">
        <f t="shared" si="17"/>
        <v>2077</v>
      </c>
      <c r="BF131" s="4">
        <f t="shared" si="17"/>
        <v>2078</v>
      </c>
      <c r="BG131" s="4">
        <f t="shared" si="17"/>
        <v>2079</v>
      </c>
      <c r="BH131" s="4">
        <f t="shared" si="17"/>
        <v>2080</v>
      </c>
      <c r="BJ131" s="61" t="s">
        <v>246</v>
      </c>
      <c r="BK131" s="61" t="s">
        <v>360</v>
      </c>
    </row>
    <row r="132" spans="1:84" s="63" customFormat="1" x14ac:dyDescent="0.25">
      <c r="A132" s="61">
        <v>2022</v>
      </c>
      <c r="B132" s="62">
        <f>$B$7*Yield!I5</f>
        <v>-3.4037108947434933E-2</v>
      </c>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23"/>
      <c r="BJ132" s="61">
        <v>2022</v>
      </c>
      <c r="BK132" s="60">
        <f t="shared" ref="BK132:BK163" si="18">SUM(B132:BH132)</f>
        <v>-3.4037108947434933E-2</v>
      </c>
      <c r="BL132" s="59"/>
      <c r="BM132" s="59"/>
      <c r="BN132" s="59"/>
      <c r="BO132"/>
      <c r="BP132"/>
      <c r="BQ132"/>
      <c r="BR132"/>
      <c r="BS132"/>
      <c r="BT132"/>
      <c r="BU132"/>
      <c r="BV132"/>
      <c r="BW132"/>
      <c r="BX132"/>
      <c r="BY132"/>
      <c r="BZ132"/>
      <c r="CA132"/>
      <c r="CB132"/>
      <c r="CC132"/>
      <c r="CD132"/>
      <c r="CE132"/>
      <c r="CF132"/>
    </row>
    <row r="133" spans="1:84" s="63" customFormat="1" x14ac:dyDescent="0.25">
      <c r="A133" s="61">
        <v>2023</v>
      </c>
      <c r="B133" s="62">
        <f>$B$7*Yield!I6</f>
        <v>-0.14501398975586044</v>
      </c>
      <c r="C133" s="62">
        <f>$C$7*Yield!I5</f>
        <v>-2.8408159266504279E-2</v>
      </c>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23"/>
      <c r="BJ133" s="61">
        <v>2023</v>
      </c>
      <c r="BK133" s="60">
        <f t="shared" si="18"/>
        <v>-0.17342214902236472</v>
      </c>
      <c r="BL133" s="59"/>
      <c r="BM133" s="59"/>
      <c r="BN133" s="59"/>
      <c r="BO133"/>
      <c r="BP133"/>
      <c r="BQ133"/>
      <c r="BR133"/>
      <c r="BS133"/>
      <c r="BT133"/>
      <c r="BU133"/>
      <c r="BV133"/>
      <c r="BW133"/>
      <c r="BX133"/>
      <c r="BY133"/>
      <c r="BZ133"/>
      <c r="CA133"/>
      <c r="CB133"/>
      <c r="CC133"/>
      <c r="CD133"/>
      <c r="CE133"/>
      <c r="CF133"/>
    </row>
    <row r="134" spans="1:84" s="63" customFormat="1" x14ac:dyDescent="0.25">
      <c r="A134" s="61">
        <v>2024</v>
      </c>
      <c r="B134" s="62">
        <f>$B$7*Yield!I7</f>
        <v>-0.36236409778017115</v>
      </c>
      <c r="C134" s="62">
        <f>$C$7*Yield!I6</f>
        <v>-0.12103203369057461</v>
      </c>
      <c r="D134" s="62">
        <f>$D$7*Yield!I5</f>
        <v>-2.1706316891995488E-2</v>
      </c>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23"/>
      <c r="BJ134" s="61">
        <v>2024</v>
      </c>
      <c r="BK134" s="60">
        <f t="shared" si="18"/>
        <v>-0.50510244836274132</v>
      </c>
      <c r="BL134" s="59"/>
      <c r="BM134" s="59"/>
      <c r="BN134" s="59"/>
      <c r="BO134"/>
      <c r="BP134"/>
      <c r="BQ134"/>
      <c r="BR134"/>
      <c r="BS134"/>
      <c r="BT134"/>
      <c r="BU134"/>
      <c r="BV134"/>
      <c r="BW134"/>
      <c r="BX134"/>
      <c r="BY134"/>
      <c r="BZ134"/>
      <c r="CA134"/>
      <c r="CB134"/>
      <c r="CC134"/>
      <c r="CD134"/>
      <c r="CE134"/>
      <c r="CF134"/>
    </row>
    <row r="135" spans="1:84" s="63" customFormat="1" x14ac:dyDescent="0.25">
      <c r="A135" s="61">
        <v>2025</v>
      </c>
      <c r="B135" s="62">
        <f>$B$7*Yield!I8</f>
        <v>-1.2673896116839707</v>
      </c>
      <c r="C135" s="62">
        <f>$C$7*Yield!I7</f>
        <v>-0.30243746665146787</v>
      </c>
      <c r="D135" s="62">
        <f>$D$7*Yield!I6</f>
        <v>-9.2479053384776633E-2</v>
      </c>
      <c r="E135" s="62">
        <f ca="1">$E$7*Yield!I5</f>
        <v>-1.2046923519385286E-2</v>
      </c>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23"/>
      <c r="BJ135" s="61">
        <v>2025</v>
      </c>
      <c r="BK135" s="60">
        <f t="shared" ca="1" si="18"/>
        <v>-1.6743530552396004</v>
      </c>
      <c r="BL135" s="59"/>
      <c r="BM135" s="59"/>
      <c r="BN135" s="59"/>
      <c r="BO135"/>
      <c r="BP135"/>
      <c r="BQ135"/>
      <c r="BR135"/>
      <c r="BS135"/>
      <c r="BT135"/>
      <c r="BU135"/>
      <c r="BV135"/>
      <c r="BW135"/>
      <c r="BX135"/>
      <c r="BY135"/>
      <c r="BZ135"/>
      <c r="CA135"/>
      <c r="CB135"/>
      <c r="CC135"/>
      <c r="CD135"/>
      <c r="CE135"/>
      <c r="CF135"/>
    </row>
    <row r="136" spans="1:84" s="63" customFormat="1" x14ac:dyDescent="0.25">
      <c r="A136" s="61">
        <v>2026</v>
      </c>
      <c r="B136" s="62">
        <f>$B$7*Yield!I9</f>
        <v>-2.1468753502820821</v>
      </c>
      <c r="C136" s="62">
        <f>$C$7*Yield!I8</f>
        <v>-1.0577927166797332</v>
      </c>
      <c r="D136" s="62">
        <f>$D$7*Yield!I7</f>
        <v>-0.2310886611681863</v>
      </c>
      <c r="E136" s="62">
        <f ca="1">$E$7*Yield!I6</f>
        <v>-5.1325523754902382E-2</v>
      </c>
      <c r="F136" s="62">
        <f>$F$7*Yield!I5</f>
        <v>-8.7603969519264302E-3</v>
      </c>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23"/>
      <c r="BJ136" s="61">
        <v>2026</v>
      </c>
      <c r="BK136" s="60">
        <f t="shared" ca="1" si="18"/>
        <v>-3.4958426488368306</v>
      </c>
      <c r="BL136" s="59"/>
      <c r="BM136" s="59"/>
      <c r="BN136" s="59"/>
      <c r="BO136"/>
      <c r="BP136"/>
      <c r="BQ136"/>
      <c r="BR136"/>
      <c r="BS136"/>
      <c r="BT136"/>
      <c r="BU136"/>
      <c r="BV136"/>
      <c r="BW136"/>
      <c r="BX136"/>
      <c r="BY136"/>
      <c r="BZ136"/>
      <c r="CA136"/>
      <c r="CB136"/>
      <c r="CC136"/>
      <c r="CD136"/>
      <c r="CE136"/>
      <c r="CF136"/>
    </row>
    <row r="137" spans="1:84" s="63" customFormat="1" x14ac:dyDescent="0.25">
      <c r="A137" s="61">
        <v>2027</v>
      </c>
      <c r="B137" s="62">
        <f>$B$7*Yield!I10</f>
        <v>-2.8921675713704085</v>
      </c>
      <c r="C137" s="62">
        <f>$C$7*Yield!I9</f>
        <v>-1.7918318788570824</v>
      </c>
      <c r="D137" s="62">
        <f>$D$7*Yield!I8</f>
        <v>-0.80824609925951363</v>
      </c>
      <c r="E137" s="62">
        <f ca="1">$E$7*Yield!I7</f>
        <v>-0.12825333017767221</v>
      </c>
      <c r="F137" s="62">
        <f>$F$7*Yield!I6</f>
        <v>-3.7323384774125098E-2</v>
      </c>
      <c r="G137" s="62">
        <f>$G$7*Yield!I5</f>
        <v>-8.7603969519264302E-3</v>
      </c>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23"/>
      <c r="BJ137" s="61">
        <v>2027</v>
      </c>
      <c r="BK137" s="60">
        <f t="shared" ca="1" si="18"/>
        <v>-5.666582661390728</v>
      </c>
      <c r="BL137" s="59"/>
      <c r="BM137" s="59"/>
      <c r="BN137" s="59"/>
      <c r="BO137"/>
      <c r="BP137"/>
      <c r="BQ137"/>
      <c r="BR137"/>
      <c r="BS137"/>
      <c r="BT137"/>
      <c r="BU137"/>
      <c r="BV137"/>
      <c r="BW137"/>
      <c r="BX137"/>
      <c r="BY137"/>
      <c r="BZ137"/>
      <c r="CA137"/>
      <c r="CB137"/>
      <c r="CC137"/>
      <c r="CD137"/>
      <c r="CE137"/>
      <c r="CF137"/>
    </row>
    <row r="138" spans="1:84" s="63" customFormat="1" x14ac:dyDescent="0.25">
      <c r="A138" s="61">
        <v>2028</v>
      </c>
      <c r="B138" s="62">
        <f>$B$7*Yield!I11</f>
        <v>-3.2417561401775039</v>
      </c>
      <c r="C138" s="62">
        <f>$C$7*Yield!I10</f>
        <v>-2.4138700240315556</v>
      </c>
      <c r="D138" s="62">
        <f>$D$7*Yield!I9</f>
        <v>-1.3691161829520941</v>
      </c>
      <c r="E138" s="62">
        <f ca="1">$E$7*Yield!I8</f>
        <v>-0.44857351853236149</v>
      </c>
      <c r="F138" s="62">
        <f>$F$7*Yield!I7</f>
        <v>-9.3264482085815101E-2</v>
      </c>
      <c r="G138" s="62">
        <f>$G$7*Yield!I6</f>
        <v>-3.7323384774125098E-2</v>
      </c>
      <c r="H138" s="62">
        <f>$H$7*Yield!I5</f>
        <v>-8.7603969519264302E-3</v>
      </c>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23"/>
      <c r="BJ138" s="61">
        <v>2028</v>
      </c>
      <c r="BK138" s="60">
        <f t="shared" ca="1" si="18"/>
        <v>-7.6126641295053821</v>
      </c>
      <c r="BL138" s="59"/>
      <c r="BM138" s="59"/>
      <c r="BN138" s="59"/>
      <c r="BO138"/>
      <c r="BP138"/>
      <c r="BQ138"/>
      <c r="BR138"/>
      <c r="BS138"/>
      <c r="BT138"/>
      <c r="BU138"/>
      <c r="BV138"/>
      <c r="BW138"/>
      <c r="BX138"/>
      <c r="BY138"/>
      <c r="BZ138"/>
      <c r="CA138"/>
      <c r="CB138"/>
      <c r="CC138"/>
      <c r="CD138"/>
      <c r="CE138"/>
      <c r="CF138"/>
    </row>
    <row r="139" spans="1:84" s="63" customFormat="1" x14ac:dyDescent="0.25">
      <c r="A139" s="61">
        <v>2029</v>
      </c>
      <c r="B139" s="62">
        <f>$B$7*Yield!I12</f>
        <v>-3.1128009414720954</v>
      </c>
      <c r="C139" s="62">
        <f>$C$7*Yield!I11</f>
        <v>-2.705644738381074</v>
      </c>
      <c r="D139" s="62">
        <f>$D$7*Yield!I10</f>
        <v>-1.8444076994280116</v>
      </c>
      <c r="E139" s="62">
        <f ca="1">$E$7*Yield!I9</f>
        <v>-0.75985428699139901</v>
      </c>
      <c r="F139" s="62">
        <f>$F$7*Yield!I8</f>
        <v>-0.32619797727962435</v>
      </c>
      <c r="G139" s="62">
        <f>$G$7*Yield!I7</f>
        <v>-9.3264482085815101E-2</v>
      </c>
      <c r="H139" s="62">
        <f>$H$7*Yield!I6</f>
        <v>-3.7323384774125098E-2</v>
      </c>
      <c r="I139" s="62">
        <f>$I$7*Yield!I5</f>
        <v>-8.7603969519264302E-3</v>
      </c>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23"/>
      <c r="BJ139" s="61">
        <v>2029</v>
      </c>
      <c r="BK139" s="60">
        <f t="shared" ca="1" si="18"/>
        <v>-8.8882539073640707</v>
      </c>
      <c r="BL139" s="59"/>
      <c r="BM139" s="59"/>
      <c r="BN139" s="59"/>
      <c r="BO139"/>
      <c r="BP139"/>
      <c r="BQ139"/>
      <c r="BR139"/>
      <c r="BS139"/>
      <c r="BT139"/>
      <c r="BU139"/>
      <c r="BV139"/>
      <c r="BW139"/>
      <c r="BX139"/>
      <c r="BY139"/>
      <c r="BZ139"/>
      <c r="CA139"/>
      <c r="CB139"/>
      <c r="CC139"/>
      <c r="CD139"/>
      <c r="CE139"/>
      <c r="CF139"/>
    </row>
    <row r="140" spans="1:84" s="63" customFormat="1" x14ac:dyDescent="0.25">
      <c r="A140" s="61">
        <v>2030</v>
      </c>
      <c r="B140" s="62">
        <f>$B$7*Yield!I13</f>
        <v>-2.6807065504768741</v>
      </c>
      <c r="C140" s="62">
        <f>$C$7*Yield!I12</f>
        <v>-2.5980157435470979</v>
      </c>
      <c r="D140" s="62">
        <f>$D$7*Yield!I11</f>
        <v>-2.0673490857856169</v>
      </c>
      <c r="E140" s="62">
        <f ca="1">$E$7*Yield!I10</f>
        <v>-1.0236392753377868</v>
      </c>
      <c r="F140" s="62">
        <f>$F$7*Yield!I9</f>
        <v>-0.5525581007429976</v>
      </c>
      <c r="G140" s="62">
        <f>$G$7*Yield!I8</f>
        <v>-0.32619797727962435</v>
      </c>
      <c r="H140" s="62">
        <f>$H$7*Yield!I7</f>
        <v>-9.3264482085815101E-2</v>
      </c>
      <c r="I140" s="62">
        <f>$I$7*Yield!I6</f>
        <v>-3.7323384774125098E-2</v>
      </c>
      <c r="J140" s="62">
        <f>$J$7*Yield!I5</f>
        <v>-8.7603969519264302E-3</v>
      </c>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23"/>
      <c r="BJ140" s="61">
        <v>2030</v>
      </c>
      <c r="BK140" s="60">
        <f ca="1">SUM(B140:BH140)</f>
        <v>-9.3878149969818629</v>
      </c>
      <c r="BL140" s="59"/>
      <c r="BM140" s="59"/>
      <c r="BN140" s="59"/>
      <c r="BO140"/>
      <c r="BP140"/>
      <c r="BQ140"/>
      <c r="BR140"/>
      <c r="BS140"/>
      <c r="BT140"/>
      <c r="BU140"/>
      <c r="BV140"/>
      <c r="BW140"/>
      <c r="BX140"/>
      <c r="BY140"/>
      <c r="BZ140"/>
      <c r="CA140"/>
      <c r="CB140"/>
      <c r="CC140"/>
      <c r="CD140"/>
      <c r="CE140"/>
      <c r="CF140"/>
    </row>
    <row r="141" spans="1:84" s="63" customFormat="1" x14ac:dyDescent="0.25">
      <c r="A141" s="61">
        <v>2031</v>
      </c>
      <c r="B141" s="62">
        <f>$B$7*Yield!I14</f>
        <v>-2.4608913670214565</v>
      </c>
      <c r="C141" s="62">
        <f>$C$7*Yield!I13</f>
        <v>-2.2373797595535021</v>
      </c>
      <c r="D141" s="62">
        <f>$D$7*Yield!I12</f>
        <v>-1.9851111256729439</v>
      </c>
      <c r="E141" s="62">
        <f ca="1">$E$7*Yield!I11</f>
        <v>-1.1473708989070623</v>
      </c>
      <c r="F141" s="62">
        <f>$F$7*Yield!I10</f>
        <v>-0.74437978900682078</v>
      </c>
      <c r="G141" s="62">
        <f>$G$7*Yield!I9</f>
        <v>-0.5525581007429976</v>
      </c>
      <c r="H141" s="62">
        <f>$H$7*Yield!I8</f>
        <v>-0.32619797727962435</v>
      </c>
      <c r="I141" s="62">
        <f>$I$7*Yield!I7</f>
        <v>-9.3264482085815101E-2</v>
      </c>
      <c r="J141" s="62">
        <f>$J$7*Yield!I6</f>
        <v>-3.7323384774125098E-2</v>
      </c>
      <c r="K141" s="62">
        <f>$K$7*Yield!I5</f>
        <v>-8.7603969519264302E-3</v>
      </c>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23"/>
      <c r="BJ141" s="61">
        <v>2031</v>
      </c>
      <c r="BK141" s="60">
        <f t="shared" ca="1" si="18"/>
        <v>-9.5932372819962719</v>
      </c>
      <c r="BL141" s="59"/>
      <c r="BM141" s="59"/>
      <c r="BN141" s="59"/>
      <c r="BO141"/>
      <c r="BP141"/>
      <c r="BQ141"/>
      <c r="BR141"/>
      <c r="BS141"/>
      <c r="BT141"/>
      <c r="BU141"/>
      <c r="BV141"/>
      <c r="BW141"/>
      <c r="BX141"/>
      <c r="BY141"/>
      <c r="BZ141"/>
      <c r="CA141"/>
      <c r="CB141"/>
      <c r="CC141"/>
      <c r="CD141"/>
      <c r="CE141"/>
      <c r="CF141"/>
    </row>
    <row r="142" spans="1:84" s="63" customFormat="1" x14ac:dyDescent="0.25">
      <c r="A142" s="61">
        <v>2032</v>
      </c>
      <c r="B142" s="62">
        <f>$B$7*Yield!I15</f>
        <v>-2.2451940446714986</v>
      </c>
      <c r="C142" s="62">
        <f>$C$7*Yield!I14</f>
        <v>-2.0539169175582819</v>
      </c>
      <c r="D142" s="62">
        <f>$D$7*Yield!I13</f>
        <v>-1.7095537100099167</v>
      </c>
      <c r="E142" s="62">
        <f ca="1">$E$7*Yield!I12</f>
        <v>-1.1017291430625706</v>
      </c>
      <c r="F142" s="62">
        <f>$F$7*Yield!I11</f>
        <v>-0.83435613327670632</v>
      </c>
      <c r="G142" s="62">
        <f>$G$7*Yield!I10</f>
        <v>-0.74437978900682078</v>
      </c>
      <c r="H142" s="62">
        <f>$H$7*Yield!I9</f>
        <v>-0.5525581007429976</v>
      </c>
      <c r="I142" s="62">
        <f>$I$7*Yield!I8</f>
        <v>-0.32619797727962435</v>
      </c>
      <c r="J142" s="62">
        <f>$J$7*Yield!I7</f>
        <v>-9.3264482085815101E-2</v>
      </c>
      <c r="K142" s="62">
        <f>$K$7*Yield!I6</f>
        <v>-3.7323384774125098E-2</v>
      </c>
      <c r="L142" s="62">
        <f>$L$7*Yield!I5</f>
        <v>-8.7603969519264302E-3</v>
      </c>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23"/>
      <c r="BJ142" s="61">
        <v>2032</v>
      </c>
      <c r="BK142" s="60">
        <f t="shared" ca="1" si="18"/>
        <v>-9.7072340794202834</v>
      </c>
      <c r="BL142" s="59"/>
      <c r="BM142" s="59"/>
      <c r="BN142" s="59"/>
      <c r="BO142"/>
      <c r="BP142"/>
      <c r="BQ142"/>
      <c r="BR142"/>
      <c r="BS142"/>
      <c r="BT142"/>
      <c r="BU142"/>
      <c r="BV142"/>
      <c r="BW142"/>
      <c r="BX142"/>
      <c r="BY142"/>
      <c r="BZ142"/>
      <c r="CA142"/>
      <c r="CB142"/>
      <c r="CC142"/>
      <c r="CD142"/>
      <c r="CE142"/>
      <c r="CF142"/>
    </row>
    <row r="143" spans="1:84" s="63" customFormat="1" x14ac:dyDescent="0.25">
      <c r="A143" s="61">
        <v>2033</v>
      </c>
      <c r="B143" s="62">
        <f>$B$7*Yield!I16</f>
        <v>-2.3607866422673167</v>
      </c>
      <c r="C143" s="62">
        <f>$C$7*Yield!I15</f>
        <v>-1.8738909377919275</v>
      </c>
      <c r="D143" s="62">
        <f>$D$7*Yield!I14</f>
        <v>-1.5693720618821609</v>
      </c>
      <c r="E143" s="62">
        <f ca="1">$E$7*Yield!I13</f>
        <v>-0.94879582285862085</v>
      </c>
      <c r="F143" s="62">
        <f>$F$7*Yield!I12</f>
        <v>-0.80116592515948415</v>
      </c>
      <c r="G143" s="62">
        <f>$G$7*Yield!I11</f>
        <v>-0.83435613327670632</v>
      </c>
      <c r="H143" s="62">
        <f>$H$7*Yield!I10</f>
        <v>-0.74437978900682078</v>
      </c>
      <c r="I143" s="62">
        <f>$I$7*Yield!I9</f>
        <v>-0.5525581007429976</v>
      </c>
      <c r="J143" s="62">
        <f>$J$7*Yield!I8</f>
        <v>-0.32619797727962435</v>
      </c>
      <c r="K143" s="62">
        <f>$K$7*Yield!I7</f>
        <v>-9.3264482085815101E-2</v>
      </c>
      <c r="L143" s="62">
        <f>$L$7*Yield!I6</f>
        <v>-3.7323384774125098E-2</v>
      </c>
      <c r="M143" s="62">
        <f>$M$7*Yield!I5</f>
        <v>-8.7603969519264302E-3</v>
      </c>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23"/>
      <c r="BJ143" s="61">
        <v>2033</v>
      </c>
      <c r="BK143" s="60">
        <f t="shared" ca="1" si="18"/>
        <v>-10.150851654077526</v>
      </c>
      <c r="BL143" s="59"/>
      <c r="BM143" s="59"/>
      <c r="BN143" s="59"/>
      <c r="BO143"/>
      <c r="BP143"/>
      <c r="BQ143"/>
      <c r="BR143"/>
      <c r="BS143"/>
      <c r="BT143"/>
      <c r="BU143"/>
      <c r="BV143"/>
      <c r="BW143"/>
      <c r="BX143"/>
      <c r="BY143"/>
      <c r="BZ143"/>
      <c r="CA143"/>
      <c r="CB143"/>
      <c r="CC143"/>
      <c r="CD143"/>
      <c r="CE143"/>
      <c r="CF143"/>
    </row>
    <row r="144" spans="1:84" s="63" customFormat="1" x14ac:dyDescent="0.25">
      <c r="A144" s="61">
        <v>2034</v>
      </c>
      <c r="B144" s="62">
        <f>$B$7*Yield!I17</f>
        <v>-2.4867990875674306</v>
      </c>
      <c r="C144" s="62">
        <f>$C$7*Yield!I16</f>
        <v>-1.9703671963249956</v>
      </c>
      <c r="D144" s="62">
        <f>$D$7*Yield!I15</f>
        <v>-1.4318164769200623</v>
      </c>
      <c r="E144" s="62">
        <f ca="1">$E$7*Yield!I14</f>
        <v>-0.87099554000919788</v>
      </c>
      <c r="F144" s="62">
        <f>$F$7*Yield!I13</f>
        <v>-0.68995441211162556</v>
      </c>
      <c r="G144" s="62">
        <f>$G$7*Yield!I12</f>
        <v>-0.80116592515948415</v>
      </c>
      <c r="H144" s="62">
        <f>$H$7*Yield!I11</f>
        <v>-0.83435613327670632</v>
      </c>
      <c r="I144" s="62">
        <f>$I$7*Yield!I10</f>
        <v>-0.74437978900682078</v>
      </c>
      <c r="J144" s="62">
        <f>$J$7*Yield!I9</f>
        <v>-0.5525581007429976</v>
      </c>
      <c r="K144" s="62">
        <f>$K$7*Yield!I8</f>
        <v>-0.32619797727962435</v>
      </c>
      <c r="L144" s="62">
        <f>$L$7*Yield!I7</f>
        <v>-9.3264482085815101E-2</v>
      </c>
      <c r="M144" s="62">
        <f>$M$7*Yield!I6</f>
        <v>-3.7323384774125098E-2</v>
      </c>
      <c r="N144" s="62">
        <f>$N$7*Yield!I5</f>
        <v>-8.7603969519264302E-3</v>
      </c>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23"/>
      <c r="BJ144" s="61">
        <v>2034</v>
      </c>
      <c r="BK144" s="60">
        <f t="shared" ca="1" si="18"/>
        <v>-10.84793890221081</v>
      </c>
      <c r="BL144" s="59"/>
      <c r="BM144" s="59"/>
      <c r="BN144" s="59"/>
      <c r="BO144"/>
      <c r="BP144"/>
      <c r="BQ144"/>
      <c r="BR144"/>
      <c r="BS144"/>
      <c r="BT144"/>
      <c r="BU144"/>
      <c r="BV144"/>
      <c r="BW144"/>
      <c r="BX144"/>
      <c r="BY144"/>
      <c r="BZ144"/>
      <c r="CA144"/>
      <c r="CB144"/>
      <c r="CC144"/>
      <c r="CD144"/>
      <c r="CE144"/>
      <c r="CF144"/>
    </row>
    <row r="145" spans="1:84" s="63" customFormat="1" x14ac:dyDescent="0.25">
      <c r="A145" s="61">
        <v>2035</v>
      </c>
      <c r="B145" s="62">
        <f>$B$7*Yield!I18</f>
        <v>-2.6256450679745762</v>
      </c>
      <c r="C145" s="62">
        <f>$C$7*Yield!I17</f>
        <v>-2.0755401010266179</v>
      </c>
      <c r="D145" s="62">
        <f>$D$7*Yield!I16</f>
        <v>-1.5055327716164963</v>
      </c>
      <c r="E145" s="62">
        <f ca="1">$E$7*Yield!I15</f>
        <v>-0.79465271225320067</v>
      </c>
      <c r="F145" s="62">
        <f>$F$7*Yield!I14</f>
        <v>-0.63337885905558056</v>
      </c>
      <c r="G145" s="62">
        <f>$G$7*Yield!I13</f>
        <v>-0.68995441211162556</v>
      </c>
      <c r="H145" s="62">
        <f>$H$7*Yield!I12</f>
        <v>-0.80116592515948415</v>
      </c>
      <c r="I145" s="62">
        <f>$I$7*Yield!I11</f>
        <v>-0.83435613327670632</v>
      </c>
      <c r="J145" s="62">
        <f>$J$7*Yield!I10</f>
        <v>-0.74437978900682078</v>
      </c>
      <c r="K145" s="62">
        <f>$K$7*Yield!I9</f>
        <v>-0.5525581007429976</v>
      </c>
      <c r="L145" s="62">
        <f>$L$7*Yield!I8</f>
        <v>-0.32619797727962435</v>
      </c>
      <c r="M145" s="62">
        <f>$M$7*Yield!I7</f>
        <v>-9.3264482085815101E-2</v>
      </c>
      <c r="N145" s="62">
        <f>$N$7*Yield!I6</f>
        <v>-3.7323384774125098E-2</v>
      </c>
      <c r="O145" s="62">
        <f>$O$7*Yield!I5</f>
        <v>-8.7603969519264302E-3</v>
      </c>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23"/>
      <c r="BJ145" s="61">
        <v>2035</v>
      </c>
      <c r="BK145" s="60">
        <f t="shared" ca="1" si="18"/>
        <v>-11.722710113315596</v>
      </c>
      <c r="BL145" s="59"/>
      <c r="BM145" s="59"/>
      <c r="BN145" s="59"/>
      <c r="BO145"/>
      <c r="BP145"/>
      <c r="BQ145"/>
      <c r="BR145"/>
      <c r="BS145"/>
      <c r="BT145"/>
      <c r="BU145"/>
      <c r="BV145"/>
      <c r="BW145"/>
      <c r="BX145"/>
      <c r="BY145"/>
      <c r="BZ145"/>
      <c r="CA145"/>
      <c r="CB145"/>
      <c r="CC145"/>
      <c r="CD145"/>
      <c r="CE145"/>
      <c r="CF145"/>
    </row>
    <row r="146" spans="1:84" s="63" customFormat="1" x14ac:dyDescent="0.25">
      <c r="A146" s="61">
        <v>2036</v>
      </c>
      <c r="B146" s="62">
        <f>$B$7*Yield!I19</f>
        <v>-2.7243465683747901</v>
      </c>
      <c r="C146" s="62">
        <f>$C$7*Yield!I18</f>
        <v>-2.1914241712927374</v>
      </c>
      <c r="D146" s="62">
        <f>$D$7*Yield!I17</f>
        <v>-1.585894064176441</v>
      </c>
      <c r="E146" s="62">
        <f ca="1">$E$7*Yield!I16</f>
        <v>-0.83556497612362679</v>
      </c>
      <c r="F146" s="62">
        <f>$F$7*Yield!I15</f>
        <v>-0.57786315212020456</v>
      </c>
      <c r="G146" s="62">
        <f>$G$7*Yield!I14</f>
        <v>-0.63337885905558056</v>
      </c>
      <c r="H146" s="62">
        <f>$H$7*Yield!I13</f>
        <v>-0.68995441211162556</v>
      </c>
      <c r="I146" s="62">
        <f>$I$7*Yield!I12</f>
        <v>-0.80116592515948415</v>
      </c>
      <c r="J146" s="62">
        <f>$J$7*Yield!I11</f>
        <v>-0.83435613327670632</v>
      </c>
      <c r="K146" s="62">
        <f>$K$7*Yield!I10</f>
        <v>-0.74437978900682078</v>
      </c>
      <c r="L146" s="62">
        <f>$L$7*Yield!I9</f>
        <v>-0.5525581007429976</v>
      </c>
      <c r="M146" s="62">
        <f>$M$7*Yield!I8</f>
        <v>-0.32619797727962435</v>
      </c>
      <c r="N146" s="62">
        <f>$N$7*Yield!I7</f>
        <v>-9.3264482085815101E-2</v>
      </c>
      <c r="O146" s="62">
        <f>$O$7*Yield!I6</f>
        <v>-3.7323384774125098E-2</v>
      </c>
      <c r="P146" s="62">
        <f>$P$7*Yield!I5</f>
        <v>-8.7603969519264302E-3</v>
      </c>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23"/>
      <c r="BJ146" s="61">
        <v>2036</v>
      </c>
      <c r="BK146" s="60">
        <f t="shared" ca="1" si="18"/>
        <v>-12.636432392532503</v>
      </c>
      <c r="BL146" s="59"/>
      <c r="BM146" s="59"/>
      <c r="BN146" s="59"/>
      <c r="BO146"/>
      <c r="BP146"/>
      <c r="BQ146"/>
      <c r="BR146"/>
      <c r="BS146"/>
      <c r="BT146"/>
      <c r="BU146"/>
      <c r="BV146"/>
      <c r="BW146"/>
      <c r="BX146"/>
      <c r="BY146"/>
      <c r="BZ146"/>
      <c r="CA146"/>
      <c r="CB146"/>
      <c r="CC146"/>
      <c r="CD146"/>
      <c r="CE146"/>
      <c r="CF146"/>
    </row>
    <row r="147" spans="1:84" s="63" customFormat="1" x14ac:dyDescent="0.25">
      <c r="A147" s="61">
        <v>2037</v>
      </c>
      <c r="B147" s="62">
        <f>$B$7*Yield!I20</f>
        <v>-2.808062051992315</v>
      </c>
      <c r="C147" s="62">
        <f>$C$7*Yield!I19</f>
        <v>-2.2738027289881764</v>
      </c>
      <c r="D147" s="62">
        <f>$D$7*Yield!I18</f>
        <v>-1.6744396235114507</v>
      </c>
      <c r="E147" s="62">
        <f ca="1">$E$7*Yield!I17</f>
        <v>-0.88016518859659598</v>
      </c>
      <c r="F147" s="62">
        <f>$F$7*Yield!I16</f>
        <v>-0.60761412307392226</v>
      </c>
      <c r="G147" s="62">
        <f>$G$7*Yield!I15</f>
        <v>-0.57786315212020456</v>
      </c>
      <c r="H147" s="62">
        <f>$H$7*Yield!I14</f>
        <v>-0.63337885905558056</v>
      </c>
      <c r="I147" s="62">
        <f>$I$7*Yield!I13</f>
        <v>-0.68995441211162556</v>
      </c>
      <c r="J147" s="62">
        <f>$J$7*Yield!I12</f>
        <v>-0.80116592515948415</v>
      </c>
      <c r="K147" s="62">
        <f>$K$7*Yield!I11</f>
        <v>-0.83435613327670632</v>
      </c>
      <c r="L147" s="62">
        <f>$L$7*Yield!I10</f>
        <v>-0.74437978900682078</v>
      </c>
      <c r="M147" s="62">
        <f>$M$7*Yield!I9</f>
        <v>-0.5525581007429976</v>
      </c>
      <c r="N147" s="62">
        <f>$N$7*Yield!I8</f>
        <v>-0.32619797727962435</v>
      </c>
      <c r="O147" s="62">
        <f>$O$7*Yield!I7</f>
        <v>-9.3264482085815101E-2</v>
      </c>
      <c r="P147" s="62">
        <f>$P$7*Yield!I6</f>
        <v>-3.7323384774125098E-2</v>
      </c>
      <c r="Q147" s="62">
        <f>$Q$7*Yield!I5</f>
        <v>-8.7603969519264302E-3</v>
      </c>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23"/>
      <c r="BJ147" s="61">
        <v>2037</v>
      </c>
      <c r="BK147" s="60">
        <f t="shared" ca="1" si="18"/>
        <v>-13.543286328727371</v>
      </c>
      <c r="BL147" s="59"/>
      <c r="BM147" s="59"/>
      <c r="BN147" s="59"/>
      <c r="BO147"/>
      <c r="BP147"/>
      <c r="BQ147"/>
      <c r="BR147"/>
      <c r="BS147"/>
      <c r="BT147"/>
      <c r="BU147"/>
      <c r="BV147"/>
      <c r="BW147"/>
      <c r="BX147"/>
      <c r="BY147"/>
      <c r="BZ147"/>
      <c r="CA147"/>
      <c r="CB147"/>
      <c r="CC147"/>
      <c r="CD147"/>
      <c r="CE147"/>
      <c r="CF147"/>
    </row>
    <row r="148" spans="1:84" s="63" customFormat="1" x14ac:dyDescent="0.25">
      <c r="A148" s="61">
        <v>2038</v>
      </c>
      <c r="B148" s="62">
        <f>$B$7*Yield!I21</f>
        <v>0</v>
      </c>
      <c r="C148" s="62">
        <f>$C$7*Yield!I20</f>
        <v>-2.3436736100712863</v>
      </c>
      <c r="D148" s="62">
        <f>$D$7*Yield!I19</f>
        <v>-1.73738404246052</v>
      </c>
      <c r="E148" s="62">
        <f ca="1">$E$7*Yield!I18</f>
        <v>-0.92930763807789951</v>
      </c>
      <c r="F148" s="62">
        <f>$F$7*Yield!I17</f>
        <v>-0.64004693173040217</v>
      </c>
      <c r="G148" s="62">
        <f>$G$7*Yield!I16</f>
        <v>-0.60761412307392226</v>
      </c>
      <c r="H148" s="62">
        <f>$H$7*Yield!I15</f>
        <v>-0.57786315212020456</v>
      </c>
      <c r="I148" s="62">
        <f>$I$7*Yield!I14</f>
        <v>-0.63337885905558056</v>
      </c>
      <c r="J148" s="62">
        <f>$J$7*Yield!I13</f>
        <v>-0.68995441211162556</v>
      </c>
      <c r="K148" s="62">
        <f>$K$7*Yield!I12</f>
        <v>-0.80116592515948415</v>
      </c>
      <c r="L148" s="62">
        <f>$L$7*Yield!I11</f>
        <v>-0.83435613327670632</v>
      </c>
      <c r="M148" s="62">
        <f>$M$7*Yield!I10</f>
        <v>-0.74437978900682078</v>
      </c>
      <c r="N148" s="62">
        <f>$N$7*Yield!I9</f>
        <v>-0.5525581007429976</v>
      </c>
      <c r="O148" s="62">
        <f>$O$7*Yield!I8</f>
        <v>-0.32619797727962435</v>
      </c>
      <c r="P148" s="62">
        <f>$P$7*Yield!I7</f>
        <v>-9.3264482085815101E-2</v>
      </c>
      <c r="Q148" s="62">
        <f>$Q$7*Yield!I6</f>
        <v>-3.7323384774125098E-2</v>
      </c>
      <c r="R148" s="62">
        <f>$R$7*Yield!I5</f>
        <v>-8.7603969519264302E-3</v>
      </c>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23"/>
      <c r="BJ148" s="61">
        <v>2038</v>
      </c>
      <c r="BK148" s="60">
        <f t="shared" ca="1" si="18"/>
        <v>-11.557228957978939</v>
      </c>
      <c r="BL148" s="59"/>
      <c r="BM148" s="59"/>
      <c r="BN148" s="59"/>
      <c r="BO148"/>
      <c r="BP148"/>
      <c r="BQ148"/>
      <c r="BR148"/>
      <c r="BS148"/>
      <c r="BT148"/>
      <c r="BU148"/>
      <c r="BV148"/>
      <c r="BW148"/>
      <c r="BX148"/>
      <c r="BY148"/>
      <c r="BZ148"/>
      <c r="CA148"/>
      <c r="CB148"/>
      <c r="CC148"/>
      <c r="CD148"/>
      <c r="CE148"/>
      <c r="CF148"/>
    </row>
    <row r="149" spans="1:84" s="63" customFormat="1" x14ac:dyDescent="0.25">
      <c r="A149" s="61">
        <v>2039</v>
      </c>
      <c r="B149" s="62">
        <f>$B$7*Yield!I22</f>
        <v>0</v>
      </c>
      <c r="C149" s="62">
        <f>$C$7*Yield!I21</f>
        <v>0</v>
      </c>
      <c r="D149" s="62">
        <f>$D$7*Yield!I20</f>
        <v>-1.7907715031574603</v>
      </c>
      <c r="E149" s="62">
        <f ca="1">$E$7*Yield!I19</f>
        <v>-0.96424155177798065</v>
      </c>
      <c r="F149" s="62">
        <f>$F$7*Yield!I18</f>
        <v>-0.67578280769520438</v>
      </c>
      <c r="G149" s="62">
        <f>$G$7*Yield!I17</f>
        <v>-0.64004693173040217</v>
      </c>
      <c r="H149" s="62">
        <f>$H$7*Yield!I16</f>
        <v>-0.60761412307392226</v>
      </c>
      <c r="I149" s="62">
        <f>$I$7*Yield!I15</f>
        <v>-0.57786315212020456</v>
      </c>
      <c r="J149" s="62">
        <f>$J$7*Yield!I14</f>
        <v>-0.63337885905558056</v>
      </c>
      <c r="K149" s="62">
        <f>$K$7*Yield!I13</f>
        <v>-0.68995441211162556</v>
      </c>
      <c r="L149" s="62">
        <f>$L$7*Yield!I12</f>
        <v>-0.80116592515948415</v>
      </c>
      <c r="M149" s="62">
        <f>$M$7*Yield!I11</f>
        <v>-0.83435613327670632</v>
      </c>
      <c r="N149" s="62">
        <f>$N$7*Yield!I10</f>
        <v>-0.74437978900682078</v>
      </c>
      <c r="O149" s="62">
        <f>$O$7*Yield!I9</f>
        <v>-0.5525581007429976</v>
      </c>
      <c r="P149" s="62">
        <f>$P$7*Yield!I8</f>
        <v>-0.32619797727962435</v>
      </c>
      <c r="Q149" s="62">
        <f>$Q$7*Yield!I7</f>
        <v>-9.3264482085815101E-2</v>
      </c>
      <c r="R149" s="62">
        <f>$R$7*Yield!I6</f>
        <v>-3.7323384774125098E-2</v>
      </c>
      <c r="S149" s="62">
        <f>$S$7*Yield!I5</f>
        <v>-8.7603969519264302E-3</v>
      </c>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23"/>
      <c r="BJ149" s="61">
        <v>2039</v>
      </c>
      <c r="BK149" s="60">
        <f t="shared" ca="1" si="18"/>
        <v>-9.9776595299998796</v>
      </c>
      <c r="BL149" s="59"/>
      <c r="BM149" s="59"/>
      <c r="BN149" s="59"/>
      <c r="BO149"/>
      <c r="BP149"/>
      <c r="BQ149"/>
      <c r="BR149"/>
      <c r="BS149"/>
      <c r="BT149"/>
      <c r="BU149"/>
      <c r="BV149"/>
      <c r="BW149"/>
      <c r="BX149"/>
      <c r="BY149"/>
      <c r="BZ149"/>
      <c r="CA149"/>
      <c r="CB149"/>
      <c r="CC149"/>
      <c r="CD149"/>
      <c r="CE149"/>
      <c r="CF149"/>
    </row>
    <row r="150" spans="1:84" s="63" customFormat="1" x14ac:dyDescent="0.25">
      <c r="A150" s="61">
        <v>2040</v>
      </c>
      <c r="B150" s="62">
        <f>$B$7*Yield!I23</f>
        <v>0</v>
      </c>
      <c r="C150" s="62">
        <f>$C$7*Yield!I22</f>
        <v>0</v>
      </c>
      <c r="D150" s="62">
        <f>$D$7*Yield!I21</f>
        <v>0</v>
      </c>
      <c r="E150" s="62">
        <f ca="1">$E$7*Yield!I20</f>
        <v>-0.993871389908069</v>
      </c>
      <c r="F150" s="62">
        <f>$F$7*Yield!I19</f>
        <v>-0.70118638484953721</v>
      </c>
      <c r="G150" s="62">
        <f>$G$7*Yield!I18</f>
        <v>-0.67578280769520438</v>
      </c>
      <c r="H150" s="62">
        <f>$H$7*Yield!I17</f>
        <v>-0.64004693173040217</v>
      </c>
      <c r="I150" s="62">
        <f>$I$7*Yield!I16</f>
        <v>-0.60761412307392226</v>
      </c>
      <c r="J150" s="62">
        <f>$J$7*Yield!I15</f>
        <v>-0.57786315212020456</v>
      </c>
      <c r="K150" s="62">
        <f>$K$7*Yield!I14</f>
        <v>-0.63337885905558056</v>
      </c>
      <c r="L150" s="62">
        <f>$L$7*Yield!I13</f>
        <v>-0.68995441211162556</v>
      </c>
      <c r="M150" s="62">
        <f>$M$7*Yield!I12</f>
        <v>-0.80116592515948415</v>
      </c>
      <c r="N150" s="62">
        <f>$N$7*Yield!I11</f>
        <v>-0.83435613327670632</v>
      </c>
      <c r="O150" s="62">
        <f>$O$7*Yield!I10</f>
        <v>-0.74437978900682078</v>
      </c>
      <c r="P150" s="62">
        <f>$P$7*Yield!I9</f>
        <v>-0.5525581007429976</v>
      </c>
      <c r="Q150" s="62">
        <f>$Q$7*Yield!I8</f>
        <v>-0.32619797727962435</v>
      </c>
      <c r="R150" s="62">
        <f>$R$7*Yield!I7</f>
        <v>-9.3264482085815101E-2</v>
      </c>
      <c r="S150" s="62">
        <f>$S$7*Yield!I6</f>
        <v>-3.7323384774125098E-2</v>
      </c>
      <c r="T150" s="62">
        <f>$T$7*Yield!I5</f>
        <v>-8.7603969519264302E-3</v>
      </c>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23"/>
      <c r="BJ150" s="61">
        <v>2040</v>
      </c>
      <c r="BK150" s="60">
        <f t="shared" ca="1" si="18"/>
        <v>-8.9177042498220462</v>
      </c>
      <c r="BL150" s="59"/>
      <c r="BM150" s="59"/>
      <c r="BN150" s="59"/>
      <c r="BO150"/>
      <c r="BP150"/>
      <c r="BQ150"/>
      <c r="BR150"/>
      <c r="BS150"/>
      <c r="BT150"/>
      <c r="BU150"/>
      <c r="BV150"/>
      <c r="BW150"/>
      <c r="BX150"/>
      <c r="BY150"/>
      <c r="BZ150"/>
      <c r="CA150"/>
      <c r="CB150"/>
      <c r="CC150"/>
      <c r="CD150"/>
      <c r="CE150"/>
      <c r="CF150"/>
    </row>
    <row r="151" spans="1:84" s="63" customFormat="1" x14ac:dyDescent="0.25">
      <c r="A151" s="61">
        <v>2041</v>
      </c>
      <c r="B151" s="62">
        <f>$B$7*Yield!I24</f>
        <v>0</v>
      </c>
      <c r="C151" s="62">
        <f>$C$7*Yield!I23</f>
        <v>0</v>
      </c>
      <c r="D151" s="62">
        <f>$D$7*Yield!I22</f>
        <v>0</v>
      </c>
      <c r="E151" s="62">
        <f ca="1">$E$7*Yield!I21</f>
        <v>0</v>
      </c>
      <c r="F151" s="62">
        <f>$F$7*Yield!I20</f>
        <v>-0.72273289365099291</v>
      </c>
      <c r="G151" s="62">
        <f>$G$7*Yield!I19</f>
        <v>-0.70118638484953721</v>
      </c>
      <c r="H151" s="62">
        <f>$H$7*Yield!I18</f>
        <v>-0.67578280769520438</v>
      </c>
      <c r="I151" s="62">
        <f>$I$7*Yield!I17</f>
        <v>-0.64004693173040217</v>
      </c>
      <c r="J151" s="62">
        <f>$J$7*Yield!I16</f>
        <v>-0.60761412307392226</v>
      </c>
      <c r="K151" s="62">
        <f>$K$7*Yield!I15</f>
        <v>-0.57786315212020456</v>
      </c>
      <c r="L151" s="62">
        <f>$L$7*Yield!I14</f>
        <v>-0.63337885905558056</v>
      </c>
      <c r="M151" s="62">
        <f>$M$7*Yield!I13</f>
        <v>-0.68995441211162556</v>
      </c>
      <c r="N151" s="62">
        <f>$N$7*Yield!I12</f>
        <v>-0.80116592515948415</v>
      </c>
      <c r="O151" s="62">
        <f>$O$7*Yield!I11</f>
        <v>-0.83435613327670632</v>
      </c>
      <c r="P151" s="62">
        <f>$P$7*Yield!I10</f>
        <v>-0.74437978900682078</v>
      </c>
      <c r="Q151" s="62">
        <f>$Q$7*Yield!I9</f>
        <v>-0.5525581007429976</v>
      </c>
      <c r="R151" s="62">
        <f>$R$7*Yield!I8</f>
        <v>-0.32619797727962435</v>
      </c>
      <c r="S151" s="62">
        <f>$S$7*Yield!I7</f>
        <v>-9.3264482085815101E-2</v>
      </c>
      <c r="T151" s="62">
        <f>$T$7*Yield!I6</f>
        <v>-3.7323384774125098E-2</v>
      </c>
      <c r="U151" s="62">
        <f>$U$7*Yield!I5</f>
        <v>-8.7603969519264302E-3</v>
      </c>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23"/>
      <c r="BJ151" s="61">
        <v>2041</v>
      </c>
      <c r="BK151" s="60">
        <f t="shared" ca="1" si="18"/>
        <v>-8.6465657535649694</v>
      </c>
      <c r="BL151" s="59"/>
      <c r="BM151" s="59"/>
      <c r="BN151" s="59"/>
      <c r="BO151"/>
      <c r="BP151"/>
      <c r="BQ151"/>
      <c r="BR151"/>
      <c r="BS151"/>
      <c r="BT151"/>
      <c r="BU151"/>
      <c r="BV151"/>
      <c r="BW151"/>
      <c r="BX151"/>
      <c r="BY151"/>
      <c r="BZ151"/>
      <c r="CA151"/>
      <c r="CB151"/>
      <c r="CC151"/>
      <c r="CD151"/>
      <c r="CE151"/>
      <c r="CF151"/>
    </row>
    <row r="152" spans="1:84" s="63" customFormat="1" x14ac:dyDescent="0.25">
      <c r="A152" s="61">
        <v>2042</v>
      </c>
      <c r="B152" s="62">
        <f>$B$7*Yield!I25</f>
        <v>0</v>
      </c>
      <c r="C152" s="62">
        <f>$C$7*Yield!I24</f>
        <v>0</v>
      </c>
      <c r="D152" s="62">
        <f>$D$7*Yield!I23</f>
        <v>0</v>
      </c>
      <c r="E152" s="62">
        <f ca="1">$E$7*Yield!I22</f>
        <v>0</v>
      </c>
      <c r="F152" s="62">
        <f>$F$7*Yield!I21</f>
        <v>0</v>
      </c>
      <c r="G152" s="62">
        <f>$G$7*Yield!I20</f>
        <v>-0.72273289365099291</v>
      </c>
      <c r="H152" s="62">
        <f>$H$7*Yield!I19</f>
        <v>-0.70118638484953721</v>
      </c>
      <c r="I152" s="62">
        <f>$I$7*Yield!I18</f>
        <v>-0.67578280769520438</v>
      </c>
      <c r="J152" s="62">
        <f>$J$7*Yield!I17</f>
        <v>-0.64004693173040217</v>
      </c>
      <c r="K152" s="62">
        <f>$K$7*Yield!I16</f>
        <v>-0.60761412307392226</v>
      </c>
      <c r="L152" s="62">
        <f>$L$7*Yield!I15</f>
        <v>-0.57786315212020456</v>
      </c>
      <c r="M152" s="62">
        <f>$M$7*Yield!I14</f>
        <v>-0.63337885905558056</v>
      </c>
      <c r="N152" s="62">
        <f>$N$7*Yield!I13</f>
        <v>-0.68995441211162556</v>
      </c>
      <c r="O152" s="62">
        <f>$O$7*Yield!I12</f>
        <v>-0.80116592515948415</v>
      </c>
      <c r="P152" s="62">
        <f>$P$7*Yield!I11</f>
        <v>-0.83435613327670632</v>
      </c>
      <c r="Q152" s="62">
        <f>$Q$7*Yield!I10</f>
        <v>-0.74437978900682078</v>
      </c>
      <c r="R152" s="62">
        <f>$R$7*Yield!I9</f>
        <v>-0.5525581007429976</v>
      </c>
      <c r="S152" s="62">
        <f>$S$7*Yield!I8</f>
        <v>-0.32619797727962435</v>
      </c>
      <c r="T152" s="62">
        <f>$T$7*Yield!I7</f>
        <v>-9.3264482085815101E-2</v>
      </c>
      <c r="U152" s="62">
        <f>$U$7*Yield!I6</f>
        <v>-3.7323384774125098E-2</v>
      </c>
      <c r="V152" s="62">
        <f>$V$7*Yield!I5</f>
        <v>-8.7603969519264302E-3</v>
      </c>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23"/>
      <c r="BJ152" s="61">
        <v>2042</v>
      </c>
      <c r="BK152" s="60">
        <f t="shared" ca="1" si="18"/>
        <v>-8.6465657535649694</v>
      </c>
      <c r="BL152" s="59"/>
      <c r="BM152" s="59"/>
      <c r="BN152" s="59"/>
      <c r="BO152"/>
      <c r="BP152"/>
      <c r="BQ152"/>
      <c r="BR152"/>
      <c r="BS152"/>
      <c r="BT152"/>
      <c r="BU152"/>
      <c r="BV152"/>
      <c r="BW152"/>
      <c r="BX152"/>
      <c r="BY152"/>
      <c r="BZ152"/>
      <c r="CA152"/>
      <c r="CB152"/>
      <c r="CC152"/>
      <c r="CD152"/>
      <c r="CE152"/>
      <c r="CF152"/>
    </row>
    <row r="153" spans="1:84" s="63" customFormat="1" x14ac:dyDescent="0.25">
      <c r="A153" s="61">
        <v>2043</v>
      </c>
      <c r="B153" s="62">
        <f>$B$7*Yield!I26</f>
        <v>0</v>
      </c>
      <c r="C153" s="62">
        <f>$C$7*Yield!I25</f>
        <v>0</v>
      </c>
      <c r="D153" s="62">
        <f>$D$7*Yield!I24</f>
        <v>0</v>
      </c>
      <c r="E153" s="62">
        <f ca="1">$E$7*Yield!I23</f>
        <v>0</v>
      </c>
      <c r="F153" s="62">
        <f>$F$7*Yield!I22</f>
        <v>0</v>
      </c>
      <c r="G153" s="62">
        <f>$G$7*Yield!I21</f>
        <v>0</v>
      </c>
      <c r="H153" s="62">
        <f>$H$7*Yield!I20</f>
        <v>-0.72273289365099291</v>
      </c>
      <c r="I153" s="62">
        <f>$I$7*Yield!I19</f>
        <v>-0.70118638484953721</v>
      </c>
      <c r="J153" s="62">
        <f>$J$7*Yield!I18</f>
        <v>-0.67578280769520438</v>
      </c>
      <c r="K153" s="62">
        <f>$K$7*Yield!I17</f>
        <v>-0.64004693173040217</v>
      </c>
      <c r="L153" s="62">
        <f>$L$7*Yield!I16</f>
        <v>-0.60761412307392226</v>
      </c>
      <c r="M153" s="62">
        <f>$M$7*Yield!I15</f>
        <v>-0.57786315212020456</v>
      </c>
      <c r="N153" s="62">
        <f>$N$7*Yield!I14</f>
        <v>-0.63337885905558056</v>
      </c>
      <c r="O153" s="62">
        <f>$O$7*Yield!I13</f>
        <v>-0.68995441211162556</v>
      </c>
      <c r="P153" s="62">
        <f>$P$7*Yield!I12</f>
        <v>-0.80116592515948415</v>
      </c>
      <c r="Q153" s="62">
        <f>$Q$7*Yield!I11</f>
        <v>-0.83435613327670632</v>
      </c>
      <c r="R153" s="62">
        <f>$R$7*Yield!I10</f>
        <v>-0.74437978900682078</v>
      </c>
      <c r="S153" s="62">
        <f>$S$7*Yield!I9</f>
        <v>-0.5525581007429976</v>
      </c>
      <c r="T153" s="62">
        <f>$T$7*Yield!I8</f>
        <v>-0.32619797727962435</v>
      </c>
      <c r="U153" s="62">
        <f>$U$7*Yield!I7</f>
        <v>-9.3264482085815101E-2</v>
      </c>
      <c r="V153" s="62">
        <f>$V$7*Yield!I6</f>
        <v>-3.7323384774125098E-2</v>
      </c>
      <c r="W153" s="62">
        <f>$W$7*Yield!I5</f>
        <v>-8.7603969519264302E-3</v>
      </c>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23"/>
      <c r="BJ153" s="61">
        <v>2043</v>
      </c>
      <c r="BK153" s="60">
        <f t="shared" ca="1" si="18"/>
        <v>-8.6465657535649694</v>
      </c>
      <c r="BL153" s="59"/>
      <c r="BM153" s="59"/>
      <c r="BN153" s="59"/>
      <c r="BO153"/>
      <c r="BP153"/>
      <c r="BQ153"/>
      <c r="BR153"/>
      <c r="BS153"/>
      <c r="BT153"/>
      <c r="BU153"/>
      <c r="BV153"/>
      <c r="BW153"/>
      <c r="BX153"/>
      <c r="BY153"/>
      <c r="BZ153"/>
      <c r="CA153"/>
      <c r="CB153"/>
      <c r="CC153"/>
      <c r="CD153"/>
      <c r="CE153"/>
      <c r="CF153"/>
    </row>
    <row r="154" spans="1:84" s="63" customFormat="1" x14ac:dyDescent="0.25">
      <c r="A154" s="61">
        <v>2044</v>
      </c>
      <c r="B154" s="62">
        <f>$B$7*Yield!I27</f>
        <v>0</v>
      </c>
      <c r="C154" s="62">
        <f>$C$7*Yield!I26</f>
        <v>0</v>
      </c>
      <c r="D154" s="62">
        <f>$D$7*Yield!I25</f>
        <v>0</v>
      </c>
      <c r="E154" s="62">
        <f ca="1">$E$7*Yield!I24</f>
        <v>0</v>
      </c>
      <c r="F154" s="62">
        <f>$F$7*Yield!I23</f>
        <v>0</v>
      </c>
      <c r="G154" s="62">
        <f>$G$7*Yield!I22</f>
        <v>0</v>
      </c>
      <c r="H154" s="62">
        <f>$H$7*Yield!I21</f>
        <v>0</v>
      </c>
      <c r="I154" s="62">
        <f>$I$7*Yield!I20</f>
        <v>-0.72273289365099291</v>
      </c>
      <c r="J154" s="62">
        <f>$J$7*Yield!I19</f>
        <v>-0.70118638484953721</v>
      </c>
      <c r="K154" s="62">
        <f>$K$7*Yield!I18</f>
        <v>-0.67578280769520438</v>
      </c>
      <c r="L154" s="62">
        <f>$L$7*Yield!I17</f>
        <v>-0.64004693173040217</v>
      </c>
      <c r="M154" s="62">
        <f>$M$7*Yield!I16</f>
        <v>-0.60761412307392226</v>
      </c>
      <c r="N154" s="62">
        <f>$N$7*Yield!I15</f>
        <v>-0.57786315212020456</v>
      </c>
      <c r="O154" s="62">
        <f>$O$7*Yield!I14</f>
        <v>-0.63337885905558056</v>
      </c>
      <c r="P154" s="62">
        <f>$P$7*Yield!I13</f>
        <v>-0.68995441211162556</v>
      </c>
      <c r="Q154" s="62">
        <f>$Q$7*Yield!I12</f>
        <v>-0.80116592515948415</v>
      </c>
      <c r="R154" s="62">
        <f>$R$7*Yield!I11</f>
        <v>-0.83435613327670632</v>
      </c>
      <c r="S154" s="62">
        <f>$S$7*Yield!I10</f>
        <v>-0.74437978900682078</v>
      </c>
      <c r="T154" s="62">
        <f>$T$7*Yield!I9</f>
        <v>-0.5525581007429976</v>
      </c>
      <c r="U154" s="62">
        <f>$U$7*Yield!I8</f>
        <v>-0.32619797727962435</v>
      </c>
      <c r="V154" s="62">
        <f>$V$7*Yield!I7</f>
        <v>-9.3264482085815101E-2</v>
      </c>
      <c r="W154" s="62">
        <f>$W$7*Yield!I6</f>
        <v>-3.7323384774125098E-2</v>
      </c>
      <c r="X154" s="62">
        <f>$X$7*Yield!I5</f>
        <v>-8.7603969519264302E-3</v>
      </c>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23"/>
      <c r="BJ154" s="61">
        <v>2044</v>
      </c>
      <c r="BK154" s="60">
        <f t="shared" ca="1" si="18"/>
        <v>-8.6465657535649694</v>
      </c>
      <c r="BL154" s="59"/>
      <c r="BM154" s="59"/>
      <c r="BN154" s="59"/>
      <c r="BO154"/>
      <c r="BP154"/>
      <c r="BQ154"/>
      <c r="BR154"/>
      <c r="BS154"/>
      <c r="BT154"/>
      <c r="BU154"/>
      <c r="BV154"/>
      <c r="BW154"/>
      <c r="BX154"/>
      <c r="BY154"/>
      <c r="BZ154"/>
      <c r="CA154"/>
      <c r="CB154"/>
      <c r="CC154"/>
      <c r="CD154"/>
      <c r="CE154"/>
      <c r="CF154"/>
    </row>
    <row r="155" spans="1:84" s="63" customFormat="1" x14ac:dyDescent="0.25">
      <c r="A155" s="61">
        <v>2045</v>
      </c>
      <c r="B155" s="62">
        <f>$B$7*Yield!I28</f>
        <v>0</v>
      </c>
      <c r="C155" s="62">
        <f>$C$7*Yield!I27</f>
        <v>0</v>
      </c>
      <c r="D155" s="62">
        <f>$D$7*Yield!I26</f>
        <v>0</v>
      </c>
      <c r="E155" s="62">
        <f ca="1">$E$7*Yield!I25</f>
        <v>0</v>
      </c>
      <c r="F155" s="62">
        <f>$F$7*Yield!I24</f>
        <v>0</v>
      </c>
      <c r="G155" s="62">
        <f>$G$7*Yield!I23</f>
        <v>0</v>
      </c>
      <c r="H155" s="62">
        <f>$H$7*Yield!I22</f>
        <v>0</v>
      </c>
      <c r="I155" s="62">
        <f>$I$7*Yield!I21</f>
        <v>0</v>
      </c>
      <c r="J155" s="62">
        <f>$J$7*Yield!I20</f>
        <v>-0.72273289365099291</v>
      </c>
      <c r="K155" s="62">
        <f>$K$7*Yield!I19</f>
        <v>-0.70118638484953721</v>
      </c>
      <c r="L155" s="62">
        <f>$L$7*Yield!I18</f>
        <v>-0.67578280769520438</v>
      </c>
      <c r="M155" s="62">
        <f>$M$7*Yield!I17</f>
        <v>-0.64004693173040217</v>
      </c>
      <c r="N155" s="62">
        <f>$N$7*Yield!I16</f>
        <v>-0.60761412307392226</v>
      </c>
      <c r="O155" s="62">
        <f>$O$7*Yield!I15</f>
        <v>-0.57786315212020456</v>
      </c>
      <c r="P155" s="62">
        <f>$P$7*Yield!I14</f>
        <v>-0.63337885905558056</v>
      </c>
      <c r="Q155" s="62">
        <f>$Q$7*Yield!I13</f>
        <v>-0.68995441211162556</v>
      </c>
      <c r="R155" s="62">
        <f>$R$7*Yield!I12</f>
        <v>-0.80116592515948415</v>
      </c>
      <c r="S155" s="62">
        <f>$S$7*Yield!I11</f>
        <v>-0.83435613327670632</v>
      </c>
      <c r="T155" s="62">
        <f>$T$7*Yield!I10</f>
        <v>-0.74437978900682078</v>
      </c>
      <c r="U155" s="62">
        <f>$U$7*Yield!I9</f>
        <v>-0.5525581007429976</v>
      </c>
      <c r="V155" s="62">
        <f>$V$7*Yield!I8</f>
        <v>-0.32619797727962435</v>
      </c>
      <c r="W155" s="62">
        <f>$W$7*Yield!I7</f>
        <v>-9.3264482085815101E-2</v>
      </c>
      <c r="X155" s="62">
        <f>$X$7*Yield!I6</f>
        <v>-3.7323384774125098E-2</v>
      </c>
      <c r="Y155" s="62">
        <f>$Y$7*Yield!I5</f>
        <v>-8.7603969519264302E-3</v>
      </c>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23"/>
      <c r="BJ155" s="61">
        <v>2045</v>
      </c>
      <c r="BK155" s="60">
        <f t="shared" ca="1" si="18"/>
        <v>-8.6465657535649694</v>
      </c>
      <c r="BL155" s="59"/>
      <c r="BM155" s="59"/>
      <c r="BN155" s="59"/>
      <c r="BO155"/>
      <c r="BP155"/>
      <c r="BQ155"/>
      <c r="BR155"/>
      <c r="BS155"/>
      <c r="BT155"/>
      <c r="BU155"/>
      <c r="BV155"/>
      <c r="BW155"/>
      <c r="BX155"/>
      <c r="BY155"/>
      <c r="BZ155"/>
      <c r="CA155"/>
      <c r="CB155"/>
      <c r="CC155"/>
      <c r="CD155"/>
      <c r="CE155"/>
      <c r="CF155"/>
    </row>
    <row r="156" spans="1:84" s="63" customFormat="1" x14ac:dyDescent="0.25">
      <c r="A156" s="61">
        <v>2046</v>
      </c>
      <c r="B156" s="62">
        <f>$B$7*Yield!I29</f>
        <v>0</v>
      </c>
      <c r="C156" s="62">
        <f>$C$7*Yield!I28</f>
        <v>0</v>
      </c>
      <c r="D156" s="62">
        <f>$D$7*Yield!I27</f>
        <v>0</v>
      </c>
      <c r="E156" s="62">
        <f ca="1">$E$7*Yield!I26</f>
        <v>0</v>
      </c>
      <c r="F156" s="62">
        <f>$F$7*Yield!I25</f>
        <v>0</v>
      </c>
      <c r="G156" s="62">
        <f>$G$7*Yield!I24</f>
        <v>0</v>
      </c>
      <c r="H156" s="62">
        <f>$H$7*Yield!I23</f>
        <v>0</v>
      </c>
      <c r="I156" s="62">
        <f>$I$7*Yield!I22</f>
        <v>0</v>
      </c>
      <c r="J156" s="62">
        <f>$J$7*Yield!I21</f>
        <v>0</v>
      </c>
      <c r="K156" s="62">
        <f>$K$7*Yield!I20</f>
        <v>-0.72273289365099291</v>
      </c>
      <c r="L156" s="62">
        <f>$L$7*Yield!I19</f>
        <v>-0.70118638484953721</v>
      </c>
      <c r="M156" s="62">
        <f>$M$7*Yield!I18</f>
        <v>-0.67578280769520438</v>
      </c>
      <c r="N156" s="62">
        <f>$N$7*Yield!I17</f>
        <v>-0.64004693173040217</v>
      </c>
      <c r="O156" s="62">
        <f>$O$7*Yield!I16</f>
        <v>-0.60761412307392226</v>
      </c>
      <c r="P156" s="62">
        <f>$P$7*Yield!I15</f>
        <v>-0.57786315212020456</v>
      </c>
      <c r="Q156" s="62">
        <f>$Q$7*Yield!I14</f>
        <v>-0.63337885905558056</v>
      </c>
      <c r="R156" s="62">
        <f>$R$7*Yield!I13</f>
        <v>-0.68995441211162556</v>
      </c>
      <c r="S156" s="62">
        <f>$S$7*Yield!I12</f>
        <v>-0.80116592515948415</v>
      </c>
      <c r="T156" s="62">
        <f>$T$7*Yield!I11</f>
        <v>-0.83435613327670632</v>
      </c>
      <c r="U156" s="62">
        <f>$U$7*Yield!I10</f>
        <v>-0.74437978900682078</v>
      </c>
      <c r="V156" s="62">
        <f>$V$7*Yield!I9</f>
        <v>-0.5525581007429976</v>
      </c>
      <c r="W156" s="62">
        <f>$W$7*Yield!I8</f>
        <v>-0.32619797727962435</v>
      </c>
      <c r="X156" s="62">
        <f>$X$7*Yield!I7</f>
        <v>-9.3264482085815101E-2</v>
      </c>
      <c r="Y156" s="62">
        <f>$Y$7*Yield!I6</f>
        <v>-3.7323384774125098E-2</v>
      </c>
      <c r="Z156" s="62">
        <f>$Z$7*Yield!I5</f>
        <v>-8.7603969519264302E-3</v>
      </c>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23"/>
      <c r="BJ156" s="61">
        <v>2046</v>
      </c>
      <c r="BK156" s="60">
        <f t="shared" ca="1" si="18"/>
        <v>-8.6465657535649694</v>
      </c>
      <c r="BL156" s="59"/>
      <c r="BM156" s="59"/>
      <c r="BN156" s="59"/>
      <c r="BO156"/>
      <c r="BP156"/>
      <c r="BQ156"/>
      <c r="BR156"/>
      <c r="BS156"/>
      <c r="BT156"/>
      <c r="BU156"/>
      <c r="BV156"/>
      <c r="BW156"/>
      <c r="BX156"/>
      <c r="BY156"/>
      <c r="BZ156"/>
      <c r="CA156"/>
      <c r="CB156"/>
      <c r="CC156"/>
      <c r="CD156"/>
      <c r="CE156"/>
      <c r="CF156"/>
    </row>
    <row r="157" spans="1:84" s="63" customFormat="1" x14ac:dyDescent="0.25">
      <c r="A157" s="61">
        <v>2047</v>
      </c>
      <c r="B157" s="62">
        <f>$B$7*Yield!I30</f>
        <v>0</v>
      </c>
      <c r="C157" s="62">
        <f>$C$7*Yield!I29</f>
        <v>0</v>
      </c>
      <c r="D157" s="62">
        <f>$D$7*Yield!I28</f>
        <v>0</v>
      </c>
      <c r="E157" s="62">
        <f ca="1">$E$7*Yield!I27</f>
        <v>0</v>
      </c>
      <c r="F157" s="62">
        <f>$F$7*Yield!I26</f>
        <v>0</v>
      </c>
      <c r="G157" s="62">
        <f>$G$7*Yield!I25</f>
        <v>0</v>
      </c>
      <c r="H157" s="62">
        <f>$H$7*Yield!I24</f>
        <v>0</v>
      </c>
      <c r="I157" s="62">
        <f>$I$7*Yield!I23</f>
        <v>0</v>
      </c>
      <c r="J157" s="62">
        <f>$J$7*Yield!I22</f>
        <v>0</v>
      </c>
      <c r="K157" s="62">
        <f>$K$7*Yield!I21</f>
        <v>0</v>
      </c>
      <c r="L157" s="62">
        <f>$L$7*Yield!I20</f>
        <v>-0.72273289365099291</v>
      </c>
      <c r="M157" s="62">
        <f>$M$7*Yield!I19</f>
        <v>-0.70118638484953721</v>
      </c>
      <c r="N157" s="62">
        <f>$N$7*Yield!I18</f>
        <v>-0.67578280769520438</v>
      </c>
      <c r="O157" s="62">
        <f>$O$7*Yield!I17</f>
        <v>-0.64004693173040217</v>
      </c>
      <c r="P157" s="62">
        <f>$P$7*Yield!I16</f>
        <v>-0.60761412307392226</v>
      </c>
      <c r="Q157" s="62">
        <f>$Q$7*Yield!I15</f>
        <v>-0.57786315212020456</v>
      </c>
      <c r="R157" s="62">
        <f>$R$7*Yield!I14</f>
        <v>-0.63337885905558056</v>
      </c>
      <c r="S157" s="62">
        <f>$S$7*Yield!I13</f>
        <v>-0.68995441211162556</v>
      </c>
      <c r="T157" s="62">
        <f>$T$7*Yield!I12</f>
        <v>-0.80116592515948415</v>
      </c>
      <c r="U157" s="62">
        <f>$U$7*Yield!I11</f>
        <v>-0.83435613327670632</v>
      </c>
      <c r="V157" s="62">
        <f>$V$7*Yield!I10</f>
        <v>-0.74437978900682078</v>
      </c>
      <c r="W157" s="62">
        <f>$W$7*Yield!I9</f>
        <v>-0.5525581007429976</v>
      </c>
      <c r="X157" s="62">
        <f>$X$7*Yield!I8</f>
        <v>-0.32619797727962435</v>
      </c>
      <c r="Y157" s="62">
        <f>$Y$7*Yield!I7</f>
        <v>-9.3264482085815101E-2</v>
      </c>
      <c r="Z157" s="62">
        <f>$Z$7*Yield!I6</f>
        <v>-3.7323384774125098E-2</v>
      </c>
      <c r="AA157" s="62">
        <f>$AA$7*Yield!I5</f>
        <v>-8.7603969519264302E-3</v>
      </c>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23"/>
      <c r="BJ157" s="61">
        <v>2047</v>
      </c>
      <c r="BK157" s="60">
        <f t="shared" ca="1" si="18"/>
        <v>-8.6465657535649694</v>
      </c>
      <c r="BL157" s="59"/>
      <c r="BM157" s="59"/>
      <c r="BN157" s="59"/>
      <c r="BO157"/>
      <c r="BP157"/>
      <c r="BQ157"/>
      <c r="BR157"/>
      <c r="BS157"/>
      <c r="BT157"/>
      <c r="BU157"/>
      <c r="BV157"/>
      <c r="BW157"/>
      <c r="BX157"/>
      <c r="BY157"/>
      <c r="BZ157"/>
      <c r="CA157"/>
      <c r="CB157"/>
      <c r="CC157"/>
      <c r="CD157"/>
      <c r="CE157"/>
      <c r="CF157"/>
    </row>
    <row r="158" spans="1:84" s="63" customFormat="1" x14ac:dyDescent="0.25">
      <c r="A158" s="61">
        <v>2048</v>
      </c>
      <c r="B158" s="62">
        <f>$B$7*Yield!I31</f>
        <v>0</v>
      </c>
      <c r="C158" s="62">
        <f>$C$7*Yield!I30</f>
        <v>0</v>
      </c>
      <c r="D158" s="62">
        <f>$D$7*Yield!I29</f>
        <v>0</v>
      </c>
      <c r="E158" s="62">
        <f ca="1">$E$7*Yield!I28</f>
        <v>0</v>
      </c>
      <c r="F158" s="62">
        <f>$F$7*Yield!I27</f>
        <v>0</v>
      </c>
      <c r="G158" s="62">
        <f>$G$7*Yield!I26</f>
        <v>0</v>
      </c>
      <c r="H158" s="62">
        <f>$H$7*Yield!I25</f>
        <v>0</v>
      </c>
      <c r="I158" s="62">
        <f>$I$7*Yield!I24</f>
        <v>0</v>
      </c>
      <c r="J158" s="62">
        <f>$J$7*Yield!I23</f>
        <v>0</v>
      </c>
      <c r="K158" s="62">
        <f>$K$7*Yield!I22</f>
        <v>0</v>
      </c>
      <c r="L158" s="62">
        <f>$L$7*Yield!I21</f>
        <v>0</v>
      </c>
      <c r="M158" s="62">
        <f>$M$7*Yield!I20</f>
        <v>-0.72273289365099291</v>
      </c>
      <c r="N158" s="62">
        <f>$N$7*Yield!I19</f>
        <v>-0.70118638484953721</v>
      </c>
      <c r="O158" s="62">
        <f>$O$7*Yield!I18</f>
        <v>-0.67578280769520438</v>
      </c>
      <c r="P158" s="62">
        <f>$P$7*Yield!I17</f>
        <v>-0.64004693173040217</v>
      </c>
      <c r="Q158" s="62">
        <f>$Q$7*Yield!I16</f>
        <v>-0.60761412307392226</v>
      </c>
      <c r="R158" s="62">
        <f>$R$7*Yield!I15</f>
        <v>-0.57786315212020456</v>
      </c>
      <c r="S158" s="62">
        <f>$S$7*Yield!I14</f>
        <v>-0.63337885905558056</v>
      </c>
      <c r="T158" s="62">
        <f>$T$7*Yield!I13</f>
        <v>-0.68995441211162556</v>
      </c>
      <c r="U158" s="62">
        <f>$U$7*Yield!I12</f>
        <v>-0.80116592515948415</v>
      </c>
      <c r="V158" s="62">
        <f>$V$7*Yield!I11</f>
        <v>-0.83435613327670632</v>
      </c>
      <c r="W158" s="62">
        <f>$W$7*Yield!I10</f>
        <v>-0.74437978900682078</v>
      </c>
      <c r="X158" s="62">
        <f>$X$7*Yield!I9</f>
        <v>-0.5525581007429976</v>
      </c>
      <c r="Y158" s="62">
        <f>$Y$7*Yield!I8</f>
        <v>-0.32619797727962435</v>
      </c>
      <c r="Z158" s="62">
        <f>$Z$7*Yield!I7</f>
        <v>-9.3264482085815101E-2</v>
      </c>
      <c r="AA158" s="62">
        <f>$AA$7*Yield!I6</f>
        <v>-3.7323384774125098E-2</v>
      </c>
      <c r="AB158" s="62">
        <f>$AB$7*Yield!I5</f>
        <v>-8.7603969519264302E-3</v>
      </c>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23"/>
      <c r="BJ158" s="61">
        <v>2048</v>
      </c>
      <c r="BK158" s="60">
        <f t="shared" ca="1" si="18"/>
        <v>-8.6465657535649694</v>
      </c>
      <c r="BL158" s="59"/>
      <c r="BM158" s="59"/>
      <c r="BN158" s="59"/>
      <c r="BO158"/>
      <c r="BP158"/>
      <c r="BQ158"/>
      <c r="BR158"/>
      <c r="BS158"/>
      <c r="BT158"/>
      <c r="BU158"/>
      <c r="BV158"/>
      <c r="BW158"/>
      <c r="BX158"/>
      <c r="BY158"/>
      <c r="BZ158"/>
      <c r="CA158"/>
      <c r="CB158"/>
      <c r="CC158"/>
      <c r="CD158"/>
      <c r="CE158"/>
      <c r="CF158"/>
    </row>
    <row r="159" spans="1:84" s="63" customFormat="1" x14ac:dyDescent="0.25">
      <c r="A159" s="61">
        <v>2049</v>
      </c>
      <c r="B159" s="62">
        <f>$B$7*Yield!I32</f>
        <v>0</v>
      </c>
      <c r="C159" s="62">
        <f>$C$7*Yield!I31</f>
        <v>0</v>
      </c>
      <c r="D159" s="62">
        <f>$D$7*Yield!I30</f>
        <v>0</v>
      </c>
      <c r="E159" s="62">
        <f ca="1">$E$7*Yield!I29</f>
        <v>0</v>
      </c>
      <c r="F159" s="62">
        <f>$F$7*Yield!I28</f>
        <v>0</v>
      </c>
      <c r="G159" s="62">
        <f>$G$7*Yield!I27</f>
        <v>0</v>
      </c>
      <c r="H159" s="62">
        <f>$H$7*Yield!I26</f>
        <v>0</v>
      </c>
      <c r="I159" s="62">
        <f>$I$7*Yield!I25</f>
        <v>0</v>
      </c>
      <c r="J159" s="62">
        <f>$J$7*Yield!I24</f>
        <v>0</v>
      </c>
      <c r="K159" s="62">
        <f>$K$7*Yield!I23</f>
        <v>0</v>
      </c>
      <c r="L159" s="62">
        <f>$L$7*Yield!I22</f>
        <v>0</v>
      </c>
      <c r="M159" s="62">
        <f>$M$7*Yield!I21</f>
        <v>0</v>
      </c>
      <c r="N159" s="62">
        <f>$N$7*Yield!I20</f>
        <v>-0.72273289365099291</v>
      </c>
      <c r="O159" s="62">
        <f>$O$7*Yield!I19</f>
        <v>-0.70118638484953721</v>
      </c>
      <c r="P159" s="62">
        <f>$P$7*Yield!I18</f>
        <v>-0.67578280769520438</v>
      </c>
      <c r="Q159" s="62">
        <f>$Q$7*Yield!I17</f>
        <v>-0.64004693173040217</v>
      </c>
      <c r="R159" s="62">
        <f>$R$7*Yield!I16</f>
        <v>-0.60761412307392226</v>
      </c>
      <c r="S159" s="62">
        <f>$S$7*Yield!I15</f>
        <v>-0.57786315212020456</v>
      </c>
      <c r="T159" s="62">
        <f>$T$7*Yield!I14</f>
        <v>-0.63337885905558056</v>
      </c>
      <c r="U159" s="62">
        <f>$U$7*Yield!I13</f>
        <v>-0.68995441211162556</v>
      </c>
      <c r="V159" s="62">
        <f>$V$7*Yield!I12</f>
        <v>-0.80116592515948415</v>
      </c>
      <c r="W159" s="62">
        <f>$W$7*Yield!I11</f>
        <v>-0.83435613327670632</v>
      </c>
      <c r="X159" s="62">
        <f>$X$7*Yield!I10</f>
        <v>-0.74437978900682078</v>
      </c>
      <c r="Y159" s="62">
        <f>$Y$7*Yield!I9</f>
        <v>-0.5525581007429976</v>
      </c>
      <c r="Z159" s="62">
        <f>$Z$7*Yield!I8</f>
        <v>-0.32619797727962435</v>
      </c>
      <c r="AA159" s="62">
        <f>$AA$7*Yield!I7</f>
        <v>-9.3264482085815101E-2</v>
      </c>
      <c r="AB159" s="62">
        <f>$AB$7*Yield!I6</f>
        <v>-3.7323384774125098E-2</v>
      </c>
      <c r="AC159" s="62">
        <f>$AC$7*Yield!I5</f>
        <v>-8.7603969519264302E-3</v>
      </c>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23"/>
      <c r="BJ159" s="61">
        <v>2049</v>
      </c>
      <c r="BK159" s="60">
        <f t="shared" ca="1" si="18"/>
        <v>-8.6465657535649694</v>
      </c>
      <c r="BL159" s="59"/>
      <c r="BM159" s="59"/>
      <c r="BN159" s="59"/>
      <c r="BO159"/>
      <c r="BP159"/>
      <c r="BQ159"/>
      <c r="BR159"/>
      <c r="BS159"/>
      <c r="BT159"/>
      <c r="BU159"/>
      <c r="BV159"/>
      <c r="BW159"/>
      <c r="BX159"/>
      <c r="BY159"/>
      <c r="BZ159"/>
      <c r="CA159"/>
      <c r="CB159"/>
      <c r="CC159"/>
      <c r="CD159"/>
      <c r="CE159"/>
      <c r="CF159"/>
    </row>
    <row r="160" spans="1:84" s="63" customFormat="1" x14ac:dyDescent="0.25">
      <c r="A160" s="61">
        <v>2050</v>
      </c>
      <c r="B160" s="62">
        <f>$B$7*Yield!I33</f>
        <v>0</v>
      </c>
      <c r="C160" s="62">
        <f>$C$7*Yield!I32</f>
        <v>0</v>
      </c>
      <c r="D160" s="62">
        <f>$D$7*Yield!I31</f>
        <v>0</v>
      </c>
      <c r="E160" s="62">
        <f ca="1">$E$7*Yield!I30</f>
        <v>0</v>
      </c>
      <c r="F160" s="62">
        <f>$F$7*Yield!I29</f>
        <v>0</v>
      </c>
      <c r="G160" s="62">
        <f>$G$7*Yield!I28</f>
        <v>0</v>
      </c>
      <c r="H160" s="62">
        <f>$H$7*Yield!I27</f>
        <v>0</v>
      </c>
      <c r="I160" s="62">
        <f>$I$7*Yield!I26</f>
        <v>0</v>
      </c>
      <c r="J160" s="62">
        <f>$J$7*Yield!I25</f>
        <v>0</v>
      </c>
      <c r="K160" s="62">
        <f>$K$7*Yield!I24</f>
        <v>0</v>
      </c>
      <c r="L160" s="62">
        <f>$L$7*Yield!I23</f>
        <v>0</v>
      </c>
      <c r="M160" s="62">
        <f>$M$7*Yield!I22</f>
        <v>0</v>
      </c>
      <c r="N160" s="62">
        <f>$N$7*Yield!I21</f>
        <v>0</v>
      </c>
      <c r="O160" s="62">
        <f>$O$7*Yield!I20</f>
        <v>-0.72273289365099291</v>
      </c>
      <c r="P160" s="62">
        <f>$P$7*Yield!I19</f>
        <v>-0.70118638484953721</v>
      </c>
      <c r="Q160" s="62">
        <f>$Q$7*Yield!I18</f>
        <v>-0.67578280769520438</v>
      </c>
      <c r="R160" s="62">
        <f>$R$7*Yield!I17</f>
        <v>-0.64004693173040217</v>
      </c>
      <c r="S160" s="62">
        <f>$S$7*Yield!I16</f>
        <v>-0.60761412307392226</v>
      </c>
      <c r="T160" s="62">
        <f>$T$7*Yield!I15</f>
        <v>-0.57786315212020456</v>
      </c>
      <c r="U160" s="62">
        <f>$U$7*Yield!I14</f>
        <v>-0.63337885905558056</v>
      </c>
      <c r="V160" s="62">
        <f>$V$7*Yield!I13</f>
        <v>-0.68995441211162556</v>
      </c>
      <c r="W160" s="62">
        <f>$W$7*Yield!I12</f>
        <v>-0.80116592515948415</v>
      </c>
      <c r="X160" s="62">
        <f>$X$7*Yield!I11</f>
        <v>-0.83435613327670632</v>
      </c>
      <c r="Y160" s="62">
        <f>$Y$7*Yield!I10</f>
        <v>-0.74437978900682078</v>
      </c>
      <c r="Z160" s="62">
        <f>$Z$7*Yield!I9</f>
        <v>-0.5525581007429976</v>
      </c>
      <c r="AA160" s="62">
        <f>$AA$7*Yield!I8</f>
        <v>-0.32619797727962435</v>
      </c>
      <c r="AB160" s="62">
        <f>$AB$7*Yield!I7</f>
        <v>-9.3264482085815101E-2</v>
      </c>
      <c r="AC160" s="62">
        <f>$AC$7*Yield!I6</f>
        <v>-3.7323384774125098E-2</v>
      </c>
      <c r="AD160" s="62">
        <f>AD$7*Yield!I5</f>
        <v>-8.7603969519264302E-3</v>
      </c>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23"/>
      <c r="BJ160" s="61">
        <v>2050</v>
      </c>
      <c r="BK160" s="60">
        <f t="shared" ca="1" si="18"/>
        <v>-8.6465657535649694</v>
      </c>
      <c r="BL160" s="59"/>
      <c r="BM160" s="59"/>
      <c r="BN160" s="59"/>
      <c r="BO160"/>
      <c r="BP160"/>
      <c r="BQ160"/>
      <c r="BR160"/>
      <c r="BS160"/>
      <c r="BT160"/>
      <c r="BU160"/>
      <c r="BV160"/>
      <c r="BW160"/>
      <c r="BX160"/>
      <c r="BY160"/>
      <c r="BZ160"/>
      <c r="CA160"/>
      <c r="CB160"/>
      <c r="CC160"/>
      <c r="CD160"/>
      <c r="CE160"/>
      <c r="CF160"/>
    </row>
    <row r="161" spans="1:84" s="63" customFormat="1" x14ac:dyDescent="0.25">
      <c r="A161" s="61">
        <v>2051</v>
      </c>
      <c r="B161" s="62">
        <f>$B$7*Yield!I34</f>
        <v>0</v>
      </c>
      <c r="C161" s="62">
        <f>$C$7*Yield!I33</f>
        <v>0</v>
      </c>
      <c r="D161" s="62">
        <f>$D$7*Yield!I32</f>
        <v>0</v>
      </c>
      <c r="E161" s="62">
        <f ca="1">$E$7*Yield!I31</f>
        <v>0</v>
      </c>
      <c r="F161" s="62">
        <f>$F$7*Yield!I30</f>
        <v>0</v>
      </c>
      <c r="G161" s="62">
        <f>$G$7*Yield!I29</f>
        <v>0</v>
      </c>
      <c r="H161" s="62">
        <f>$H$7*Yield!I28</f>
        <v>0</v>
      </c>
      <c r="I161" s="62">
        <f>$I$7*Yield!I27</f>
        <v>0</v>
      </c>
      <c r="J161" s="62">
        <f>$J$7*Yield!I26</f>
        <v>0</v>
      </c>
      <c r="K161" s="62">
        <f>$K$7*Yield!I25</f>
        <v>0</v>
      </c>
      <c r="L161" s="62">
        <f>$L$7*Yield!I24</f>
        <v>0</v>
      </c>
      <c r="M161" s="62">
        <f>$M$7*Yield!I23</f>
        <v>0</v>
      </c>
      <c r="N161" s="62">
        <f>$N$7*Yield!I22</f>
        <v>0</v>
      </c>
      <c r="O161" s="62">
        <f>$O$7*Yield!I21</f>
        <v>0</v>
      </c>
      <c r="P161" s="62">
        <f>$P$7*Yield!I20</f>
        <v>-0.72273289365099291</v>
      </c>
      <c r="Q161" s="62">
        <f>$Q$7*Yield!I19</f>
        <v>-0.70118638484953721</v>
      </c>
      <c r="R161" s="62">
        <f>$R$7*Yield!I18</f>
        <v>-0.67578280769520438</v>
      </c>
      <c r="S161" s="62">
        <f>$S$7*Yield!I17</f>
        <v>-0.64004693173040217</v>
      </c>
      <c r="T161" s="62">
        <f>$T$7*Yield!I16</f>
        <v>-0.60761412307392226</v>
      </c>
      <c r="U161" s="62">
        <f>$U$7*Yield!I15</f>
        <v>-0.57786315212020456</v>
      </c>
      <c r="V161" s="62">
        <f>$V$7*Yield!I14</f>
        <v>-0.63337885905558056</v>
      </c>
      <c r="W161" s="62">
        <f>$W$7*Yield!I13</f>
        <v>-0.68995441211162556</v>
      </c>
      <c r="X161" s="62">
        <f>$X$7*Yield!I12</f>
        <v>-0.80116592515948415</v>
      </c>
      <c r="Y161" s="62">
        <f>$Y$7*Yield!I11</f>
        <v>-0.83435613327670632</v>
      </c>
      <c r="Z161" s="62">
        <f>$Z$7*Yield!I10</f>
        <v>-0.74437978900682078</v>
      </c>
      <c r="AA161" s="62">
        <f>$AA$7*Yield!I9</f>
        <v>-0.5525581007429976</v>
      </c>
      <c r="AB161" s="62">
        <f>$AB$7*Yield!I8</f>
        <v>-0.32619797727962435</v>
      </c>
      <c r="AC161" s="62">
        <f>$AC$7*Yield!I7</f>
        <v>-9.3264482085815101E-2</v>
      </c>
      <c r="AD161" s="62">
        <f>AD$7*Yield!I6</f>
        <v>-3.7323384774125098E-2</v>
      </c>
      <c r="AE161" s="62">
        <f>AE$7*Yield!I5</f>
        <v>-8.7603969519264302E-3</v>
      </c>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23"/>
      <c r="BJ161" s="61">
        <v>2051</v>
      </c>
      <c r="BK161" s="60">
        <f t="shared" ca="1" si="18"/>
        <v>-8.6465657535649694</v>
      </c>
      <c r="BL161" s="59"/>
      <c r="BM161" s="59"/>
      <c r="BN161" s="59"/>
      <c r="BO161"/>
      <c r="BP161"/>
      <c r="BQ161"/>
      <c r="BR161"/>
      <c r="BS161"/>
      <c r="BT161"/>
      <c r="BU161"/>
      <c r="BV161"/>
      <c r="BW161"/>
      <c r="BX161"/>
      <c r="BY161"/>
      <c r="BZ161"/>
      <c r="CA161"/>
      <c r="CB161"/>
      <c r="CC161"/>
      <c r="CD161"/>
      <c r="CE161"/>
      <c r="CF161"/>
    </row>
    <row r="162" spans="1:84" s="63" customFormat="1" x14ac:dyDescent="0.25">
      <c r="A162" s="61">
        <v>2052</v>
      </c>
      <c r="B162" s="62">
        <f>$B$7*Yield!I35</f>
        <v>0</v>
      </c>
      <c r="C162" s="62">
        <f>$C$7*Yield!I34</f>
        <v>0</v>
      </c>
      <c r="D162" s="62">
        <f>$D$7*Yield!I33</f>
        <v>0</v>
      </c>
      <c r="E162" s="62">
        <f ca="1">$E$7*Yield!I32</f>
        <v>0</v>
      </c>
      <c r="F162" s="62">
        <f>$F$7*Yield!I31</f>
        <v>0</v>
      </c>
      <c r="G162" s="62">
        <f>$G$7*Yield!I30</f>
        <v>0</v>
      </c>
      <c r="H162" s="62">
        <f>$H$7*Yield!I29</f>
        <v>0</v>
      </c>
      <c r="I162" s="62">
        <f>$I$7*Yield!I28</f>
        <v>0</v>
      </c>
      <c r="J162" s="62">
        <f>$J$7*Yield!I27</f>
        <v>0</v>
      </c>
      <c r="K162" s="62">
        <f>$K$7*Yield!I26</f>
        <v>0</v>
      </c>
      <c r="L162" s="62">
        <f>$L$7*Yield!I25</f>
        <v>0</v>
      </c>
      <c r="M162" s="62">
        <f>$M$7*Yield!I24</f>
        <v>0</v>
      </c>
      <c r="N162" s="62">
        <f>$N$7*Yield!I23</f>
        <v>0</v>
      </c>
      <c r="O162" s="62">
        <f>$O$7*Yield!I22</f>
        <v>0</v>
      </c>
      <c r="P162" s="62">
        <f>$P$7*Yield!I21</f>
        <v>0</v>
      </c>
      <c r="Q162" s="62">
        <f>$Q$7*Yield!I20</f>
        <v>-0.72273289365099291</v>
      </c>
      <c r="R162" s="62">
        <f>$R$7*Yield!I19</f>
        <v>-0.70118638484953721</v>
      </c>
      <c r="S162" s="62">
        <f>$S$7*Yield!I18</f>
        <v>-0.67578280769520438</v>
      </c>
      <c r="T162" s="62">
        <f>$T$7*Yield!I17</f>
        <v>-0.64004693173040217</v>
      </c>
      <c r="U162" s="62">
        <f>$U$7*Yield!I16</f>
        <v>-0.60761412307392226</v>
      </c>
      <c r="V162" s="62">
        <f>$V$7*Yield!I15</f>
        <v>-0.57786315212020456</v>
      </c>
      <c r="W162" s="62">
        <f>$W$7*Yield!I14</f>
        <v>-0.63337885905558056</v>
      </c>
      <c r="X162" s="62">
        <f>$X$7*Yield!I13</f>
        <v>-0.68995441211162556</v>
      </c>
      <c r="Y162" s="62">
        <f>$Y$7*Yield!I12</f>
        <v>-0.80116592515948415</v>
      </c>
      <c r="Z162" s="62">
        <f>$Z$7*Yield!I11</f>
        <v>-0.83435613327670632</v>
      </c>
      <c r="AA162" s="62">
        <f>$AA$7*Yield!I10</f>
        <v>-0.74437978900682078</v>
      </c>
      <c r="AB162" s="62">
        <f>$AB$7*Yield!I9</f>
        <v>-0.5525581007429976</v>
      </c>
      <c r="AC162" s="62">
        <f>$AC$7*Yield!I8</f>
        <v>-0.32619797727962435</v>
      </c>
      <c r="AD162" s="62">
        <f>AD$7*Yield!I7</f>
        <v>-9.3264482085815101E-2</v>
      </c>
      <c r="AE162" s="62">
        <f>AE$7*Yield!I6</f>
        <v>-3.7323384774125098E-2</v>
      </c>
      <c r="AF162" s="62">
        <f>AF$7*Yield!I5</f>
        <v>-8.7603969519264302E-3</v>
      </c>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23"/>
      <c r="BJ162" s="61">
        <v>2052</v>
      </c>
      <c r="BK162" s="60">
        <f t="shared" ca="1" si="18"/>
        <v>-8.6465657535649694</v>
      </c>
      <c r="BL162" s="59"/>
      <c r="BM162" s="59"/>
      <c r="BN162" s="59"/>
      <c r="BO162"/>
      <c r="BP162"/>
      <c r="BQ162"/>
      <c r="BR162"/>
      <c r="BS162"/>
      <c r="BT162"/>
      <c r="BU162"/>
      <c r="BV162"/>
      <c r="BW162"/>
      <c r="BX162"/>
      <c r="BY162"/>
      <c r="BZ162"/>
      <c r="CA162"/>
      <c r="CB162"/>
      <c r="CC162"/>
      <c r="CD162"/>
      <c r="CE162"/>
      <c r="CF162"/>
    </row>
    <row r="163" spans="1:84" s="63" customFormat="1" x14ac:dyDescent="0.25">
      <c r="A163" s="61">
        <v>2053</v>
      </c>
      <c r="B163" s="62">
        <f>$B$7*Yield!I36</f>
        <v>0</v>
      </c>
      <c r="C163" s="62">
        <f>$C$7*Yield!I35</f>
        <v>0</v>
      </c>
      <c r="D163" s="62">
        <f>$D$7*Yield!I34</f>
        <v>0</v>
      </c>
      <c r="E163" s="62">
        <f ca="1">$E$7*Yield!I33</f>
        <v>0</v>
      </c>
      <c r="F163" s="62">
        <f>$F$7*Yield!I32</f>
        <v>0</v>
      </c>
      <c r="G163" s="62">
        <f>$G$7*Yield!I31</f>
        <v>0</v>
      </c>
      <c r="H163" s="62">
        <f>$H$7*Yield!I30</f>
        <v>0</v>
      </c>
      <c r="I163" s="62">
        <f>$I$7*Yield!I29</f>
        <v>0</v>
      </c>
      <c r="J163" s="62">
        <f>$J$7*Yield!I28</f>
        <v>0</v>
      </c>
      <c r="K163" s="62">
        <f>$K$7*Yield!I27</f>
        <v>0</v>
      </c>
      <c r="L163" s="62">
        <f>$L$7*Yield!I26</f>
        <v>0</v>
      </c>
      <c r="M163" s="62">
        <f>$M$7*Yield!I25</f>
        <v>0</v>
      </c>
      <c r="N163" s="62">
        <f>$N$7*Yield!I24</f>
        <v>0</v>
      </c>
      <c r="O163" s="62">
        <f>$O$7*Yield!I23</f>
        <v>0</v>
      </c>
      <c r="P163" s="62">
        <f>$P$7*Yield!I22</f>
        <v>0</v>
      </c>
      <c r="Q163" s="62">
        <f>$Q$7*Yield!I21</f>
        <v>0</v>
      </c>
      <c r="R163" s="62">
        <f>$R$7*Yield!I20</f>
        <v>-0.72273289365099291</v>
      </c>
      <c r="S163" s="62">
        <f>$S$7*Yield!I19</f>
        <v>-0.70118638484953721</v>
      </c>
      <c r="T163" s="62">
        <f>$T$7*Yield!I18</f>
        <v>-0.67578280769520438</v>
      </c>
      <c r="U163" s="62">
        <f>$U$7*Yield!I17</f>
        <v>-0.64004693173040217</v>
      </c>
      <c r="V163" s="62">
        <f>$V$7*Yield!I16</f>
        <v>-0.60761412307392226</v>
      </c>
      <c r="W163" s="62">
        <f>$W$7*Yield!I15</f>
        <v>-0.57786315212020456</v>
      </c>
      <c r="X163" s="62">
        <f>$X$7*Yield!I14</f>
        <v>-0.63337885905558056</v>
      </c>
      <c r="Y163" s="62">
        <f>$Y$7*Yield!I13</f>
        <v>-0.68995441211162556</v>
      </c>
      <c r="Z163" s="62">
        <f>$Z$7*Yield!I12</f>
        <v>-0.80116592515948415</v>
      </c>
      <c r="AA163" s="62">
        <f>$AA$7*Yield!I11</f>
        <v>-0.83435613327670632</v>
      </c>
      <c r="AB163" s="62">
        <f>$AB$7*Yield!I10</f>
        <v>-0.74437978900682078</v>
      </c>
      <c r="AC163" s="62">
        <f>$AC$7*Yield!I9</f>
        <v>-0.5525581007429976</v>
      </c>
      <c r="AD163" s="62">
        <f>AD$7*Yield!I8</f>
        <v>-0.32619797727962435</v>
      </c>
      <c r="AE163" s="62">
        <f>AE$7*Yield!I7</f>
        <v>-9.3264482085815101E-2</v>
      </c>
      <c r="AF163" s="62">
        <f>AF$7*Yield!I6</f>
        <v>-3.7323384774125098E-2</v>
      </c>
      <c r="AG163" s="62">
        <f>AG$7*Yield!I5</f>
        <v>-8.7603969519264302E-3</v>
      </c>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23"/>
      <c r="BJ163" s="61">
        <v>2053</v>
      </c>
      <c r="BK163" s="60">
        <f t="shared" ca="1" si="18"/>
        <v>-8.6465657535649694</v>
      </c>
      <c r="BL163" s="59"/>
      <c r="BM163" s="59"/>
      <c r="BN163" s="59"/>
      <c r="BO163"/>
      <c r="BP163"/>
      <c r="BQ163"/>
      <c r="BR163"/>
      <c r="BS163"/>
      <c r="BT163"/>
      <c r="BU163"/>
      <c r="BV163"/>
      <c r="BW163"/>
      <c r="BX163"/>
      <c r="BY163"/>
      <c r="BZ163"/>
      <c r="CA163"/>
      <c r="CB163"/>
      <c r="CC163"/>
      <c r="CD163"/>
      <c r="CE163"/>
      <c r="CF163"/>
    </row>
    <row r="164" spans="1:84" s="63" customFormat="1" x14ac:dyDescent="0.25">
      <c r="A164" s="61">
        <v>2054</v>
      </c>
      <c r="B164" s="62">
        <f>$B$7*Yield!I37</f>
        <v>0</v>
      </c>
      <c r="C164" s="62">
        <f>$C$7*Yield!I36</f>
        <v>0</v>
      </c>
      <c r="D164" s="62">
        <f>$D$7*Yield!I35</f>
        <v>0</v>
      </c>
      <c r="E164" s="62">
        <f ca="1">$E$7*Yield!I34</f>
        <v>0</v>
      </c>
      <c r="F164" s="62">
        <f>$F$7*Yield!I33</f>
        <v>0</v>
      </c>
      <c r="G164" s="62">
        <f>$G$7*Yield!I32</f>
        <v>0</v>
      </c>
      <c r="H164" s="62">
        <f>$H$7*Yield!I31</f>
        <v>0</v>
      </c>
      <c r="I164" s="62">
        <f>$I$7*Yield!I30</f>
        <v>0</v>
      </c>
      <c r="J164" s="62">
        <f>$J$7*Yield!I29</f>
        <v>0</v>
      </c>
      <c r="K164" s="62">
        <f>$K$7*Yield!I28</f>
        <v>0</v>
      </c>
      <c r="L164" s="62">
        <f>$L$7*Yield!I27</f>
        <v>0</v>
      </c>
      <c r="M164" s="62">
        <f>$M$7*Yield!I26</f>
        <v>0</v>
      </c>
      <c r="N164" s="62">
        <f>$N$7*Yield!I25</f>
        <v>0</v>
      </c>
      <c r="O164" s="62">
        <f>$O$7*Yield!I24</f>
        <v>0</v>
      </c>
      <c r="P164" s="62">
        <f>$P$7*Yield!I23</f>
        <v>0</v>
      </c>
      <c r="Q164" s="62">
        <f>$Q$7*Yield!I22</f>
        <v>0</v>
      </c>
      <c r="R164" s="62">
        <f>$R$7*Yield!I21</f>
        <v>0</v>
      </c>
      <c r="S164" s="62">
        <f>$S$7*Yield!I20</f>
        <v>-0.72273289365099291</v>
      </c>
      <c r="T164" s="62">
        <f>$T$7*Yield!I19</f>
        <v>-0.70118638484953721</v>
      </c>
      <c r="U164" s="62">
        <f>$U$7*Yield!I18</f>
        <v>-0.67578280769520438</v>
      </c>
      <c r="V164" s="62">
        <f>$V$7*Yield!I17</f>
        <v>-0.64004693173040217</v>
      </c>
      <c r="W164" s="62">
        <f>$W$7*Yield!I16</f>
        <v>-0.60761412307392226</v>
      </c>
      <c r="X164" s="62">
        <f>$X$7*Yield!I15</f>
        <v>-0.57786315212020456</v>
      </c>
      <c r="Y164" s="62">
        <f>$Y$7*Yield!I14</f>
        <v>-0.63337885905558056</v>
      </c>
      <c r="Z164" s="62">
        <f>$Z$7*Yield!I13</f>
        <v>-0.68995441211162556</v>
      </c>
      <c r="AA164" s="62">
        <f>$AA$7*Yield!I12</f>
        <v>-0.80116592515948415</v>
      </c>
      <c r="AB164" s="62">
        <f>$AB$7*Yield!I11</f>
        <v>-0.83435613327670632</v>
      </c>
      <c r="AC164" s="62">
        <f>$AC$7*Yield!I10</f>
        <v>-0.74437978900682078</v>
      </c>
      <c r="AD164" s="62">
        <f>AD$7*Yield!I9</f>
        <v>-0.5525581007429976</v>
      </c>
      <c r="AE164" s="62">
        <f>AE$7*Yield!I8</f>
        <v>-0.32619797727962435</v>
      </c>
      <c r="AF164" s="62">
        <f>AF$7*Yield!I7</f>
        <v>-9.3264482085815101E-2</v>
      </c>
      <c r="AG164" s="62">
        <f>AG$7*Yield!I6</f>
        <v>-3.7323384774125098E-2</v>
      </c>
      <c r="AH164" s="62">
        <f>AH$7*Yield!I5</f>
        <v>-8.7603969519264302E-3</v>
      </c>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23"/>
      <c r="BJ164" s="61">
        <v>2054</v>
      </c>
      <c r="BK164" s="60">
        <f t="shared" ref="BK164:BK190" ca="1" si="19">SUM(B164:BH164)</f>
        <v>-8.6465657535649694</v>
      </c>
      <c r="BL164" s="59"/>
      <c r="BM164" s="59"/>
      <c r="BN164" s="59"/>
      <c r="BO164"/>
      <c r="BP164"/>
      <c r="BQ164"/>
      <c r="BR164"/>
      <c r="BS164"/>
      <c r="BT164"/>
      <c r="BU164"/>
      <c r="BV164"/>
      <c r="BW164"/>
      <c r="BX164"/>
      <c r="BY164"/>
      <c r="BZ164"/>
      <c r="CA164"/>
      <c r="CB164"/>
      <c r="CC164"/>
      <c r="CD164"/>
      <c r="CE164"/>
      <c r="CF164"/>
    </row>
    <row r="165" spans="1:84" s="63" customFormat="1" x14ac:dyDescent="0.25">
      <c r="A165" s="61">
        <v>2055</v>
      </c>
      <c r="B165" s="62">
        <f>$B$7*Yield!I38</f>
        <v>0</v>
      </c>
      <c r="C165" s="62">
        <f>$C$7*Yield!I37</f>
        <v>0</v>
      </c>
      <c r="D165" s="62">
        <f>$D$7*Yield!I36</f>
        <v>0</v>
      </c>
      <c r="E165" s="62">
        <f ca="1">$E$7*Yield!I35</f>
        <v>0</v>
      </c>
      <c r="F165" s="62">
        <f>$F$7*Yield!I34</f>
        <v>0</v>
      </c>
      <c r="G165" s="62">
        <f>$G$7*Yield!I33</f>
        <v>0</v>
      </c>
      <c r="H165" s="62">
        <f>$H$7*Yield!I32</f>
        <v>0</v>
      </c>
      <c r="I165" s="62">
        <f>$I$7*Yield!I31</f>
        <v>0</v>
      </c>
      <c r="J165" s="62">
        <f>$J$7*Yield!I30</f>
        <v>0</v>
      </c>
      <c r="K165" s="62">
        <f>$K$7*Yield!I29</f>
        <v>0</v>
      </c>
      <c r="L165" s="62">
        <f>$L$7*Yield!I28</f>
        <v>0</v>
      </c>
      <c r="M165" s="62">
        <f>$M$7*Yield!I27</f>
        <v>0</v>
      </c>
      <c r="N165" s="62">
        <f>$N$7*Yield!I26</f>
        <v>0</v>
      </c>
      <c r="O165" s="62">
        <f>$O$7*Yield!I25</f>
        <v>0</v>
      </c>
      <c r="P165" s="62">
        <f>$P$7*Yield!I24</f>
        <v>0</v>
      </c>
      <c r="Q165" s="62">
        <f>$Q$7*Yield!I23</f>
        <v>0</v>
      </c>
      <c r="R165" s="62">
        <f>$R$7*Yield!I22</f>
        <v>0</v>
      </c>
      <c r="S165" s="62">
        <f>$S$7*Yield!I21</f>
        <v>0</v>
      </c>
      <c r="T165" s="62">
        <f>$T$7*Yield!I20</f>
        <v>-0.72273289365099291</v>
      </c>
      <c r="U165" s="62">
        <f>$U$7*Yield!I19</f>
        <v>-0.70118638484953721</v>
      </c>
      <c r="V165" s="62">
        <f>$V$7*Yield!I18</f>
        <v>-0.67578280769520438</v>
      </c>
      <c r="W165" s="62">
        <f>$W$7*Yield!I17</f>
        <v>-0.64004693173040217</v>
      </c>
      <c r="X165" s="62">
        <f>$X$7*Yield!I16</f>
        <v>-0.60761412307392226</v>
      </c>
      <c r="Y165" s="62">
        <f>$Y$7*Yield!I15</f>
        <v>-0.57786315212020456</v>
      </c>
      <c r="Z165" s="62">
        <f>$Z$7*Yield!I14</f>
        <v>-0.63337885905558056</v>
      </c>
      <c r="AA165" s="62">
        <f>$AA$7*Yield!I13</f>
        <v>-0.68995441211162556</v>
      </c>
      <c r="AB165" s="62">
        <f>$AB$7*Yield!I12</f>
        <v>-0.80116592515948415</v>
      </c>
      <c r="AC165" s="62">
        <f>$AC$7*Yield!I11</f>
        <v>-0.83435613327670632</v>
      </c>
      <c r="AD165" s="62">
        <f>AD$7*Yield!I10</f>
        <v>-0.74437978900682078</v>
      </c>
      <c r="AE165" s="62">
        <f>AE$7*Yield!I9</f>
        <v>-0.5525581007429976</v>
      </c>
      <c r="AF165" s="62">
        <f>AF$7*Yield!I8</f>
        <v>-0.32619797727962435</v>
      </c>
      <c r="AG165" s="62">
        <f>AG$7*Yield!I7</f>
        <v>-9.3264482085815101E-2</v>
      </c>
      <c r="AH165" s="62">
        <f>AH$7*Yield!I6</f>
        <v>-3.7323384774125098E-2</v>
      </c>
      <c r="AI165" s="62">
        <f>AI$7*Yield!I5</f>
        <v>-8.7603969519264302E-3</v>
      </c>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23"/>
      <c r="BJ165" s="61">
        <v>2055</v>
      </c>
      <c r="BK165" s="60">
        <f t="shared" ca="1" si="19"/>
        <v>-8.6465657535649694</v>
      </c>
      <c r="BL165" s="59"/>
      <c r="BM165" s="59"/>
      <c r="BN165" s="59"/>
      <c r="BO165"/>
      <c r="BP165"/>
      <c r="BQ165"/>
      <c r="BR165"/>
      <c r="BS165"/>
      <c r="BT165"/>
      <c r="BU165"/>
      <c r="BV165"/>
      <c r="BW165"/>
      <c r="BX165"/>
      <c r="BY165"/>
      <c r="BZ165"/>
      <c r="CA165"/>
      <c r="CB165"/>
      <c r="CC165"/>
      <c r="CD165"/>
      <c r="CE165"/>
      <c r="CF165"/>
    </row>
    <row r="166" spans="1:84" s="63" customFormat="1" x14ac:dyDescent="0.25">
      <c r="A166" s="61">
        <v>2056</v>
      </c>
      <c r="B166" s="62">
        <f>$B$7*Yield!I39</f>
        <v>0</v>
      </c>
      <c r="C166" s="62">
        <f>$C$7*Yield!I38</f>
        <v>0</v>
      </c>
      <c r="D166" s="62">
        <f>$D$7*Yield!I37</f>
        <v>0</v>
      </c>
      <c r="E166" s="62">
        <f ca="1">$E$7*Yield!I36</f>
        <v>0</v>
      </c>
      <c r="F166" s="62">
        <f>$F$7*Yield!I35</f>
        <v>0</v>
      </c>
      <c r="G166" s="62">
        <f>$G$7*Yield!I34</f>
        <v>0</v>
      </c>
      <c r="H166" s="62">
        <f>$H$7*Yield!I33</f>
        <v>0</v>
      </c>
      <c r="I166" s="62">
        <f>$I$7*Yield!I32</f>
        <v>0</v>
      </c>
      <c r="J166" s="62">
        <f>$J$7*Yield!I31</f>
        <v>0</v>
      </c>
      <c r="K166" s="62">
        <f>$K$7*Yield!I30</f>
        <v>0</v>
      </c>
      <c r="L166" s="62">
        <f>$L$7*Yield!I29</f>
        <v>0</v>
      </c>
      <c r="M166" s="62">
        <f>$M$7*Yield!I28</f>
        <v>0</v>
      </c>
      <c r="N166" s="62">
        <f>$N$7*Yield!I27</f>
        <v>0</v>
      </c>
      <c r="O166" s="62">
        <f>$O$7*Yield!I26</f>
        <v>0</v>
      </c>
      <c r="P166" s="62">
        <f>$P$7*Yield!I25</f>
        <v>0</v>
      </c>
      <c r="Q166" s="62">
        <f>$Q$7*Yield!I24</f>
        <v>0</v>
      </c>
      <c r="R166" s="62">
        <f>$R$7*Yield!I23</f>
        <v>0</v>
      </c>
      <c r="S166" s="62">
        <f>$S$7*Yield!I22</f>
        <v>0</v>
      </c>
      <c r="T166" s="62">
        <f>$T$7*Yield!I21</f>
        <v>0</v>
      </c>
      <c r="U166" s="62">
        <f>$U$7*Yield!I20</f>
        <v>-0.72273289365099291</v>
      </c>
      <c r="V166" s="62">
        <f>$V$7*Yield!I19</f>
        <v>-0.70118638484953721</v>
      </c>
      <c r="W166" s="62">
        <f>$W$7*Yield!I18</f>
        <v>-0.67578280769520438</v>
      </c>
      <c r="X166" s="62">
        <f>$X$7*Yield!I17</f>
        <v>-0.64004693173040217</v>
      </c>
      <c r="Y166" s="62">
        <f>$Y$7*Yield!I16</f>
        <v>-0.60761412307392226</v>
      </c>
      <c r="Z166" s="62">
        <f>$Z$7*Yield!I15</f>
        <v>-0.57786315212020456</v>
      </c>
      <c r="AA166" s="62">
        <f>$AA$7*Yield!I14</f>
        <v>-0.63337885905558056</v>
      </c>
      <c r="AB166" s="62">
        <f>$AB$7*Yield!I13</f>
        <v>-0.68995441211162556</v>
      </c>
      <c r="AC166" s="62">
        <f>$AC$7*Yield!I12</f>
        <v>-0.80116592515948415</v>
      </c>
      <c r="AD166" s="62">
        <f>AD$7*Yield!I11</f>
        <v>-0.83435613327670632</v>
      </c>
      <c r="AE166" s="62">
        <f>AE$7*Yield!I10</f>
        <v>-0.74437978900682078</v>
      </c>
      <c r="AF166" s="62">
        <f>AF$7*Yield!I9</f>
        <v>-0.5525581007429976</v>
      </c>
      <c r="AG166" s="62">
        <f>AG$7*Yield!I8</f>
        <v>-0.32619797727962435</v>
      </c>
      <c r="AH166" s="62">
        <f>AH$7*Yield!I7</f>
        <v>-9.3264482085815101E-2</v>
      </c>
      <c r="AI166" s="62">
        <f>AI$7*Yield!I6</f>
        <v>-3.7323384774125098E-2</v>
      </c>
      <c r="AJ166" s="62">
        <f>AJ$7*Yield!I5</f>
        <v>-8.7603969519264302E-3</v>
      </c>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23"/>
      <c r="BJ166" s="61">
        <v>2056</v>
      </c>
      <c r="BK166" s="60">
        <f t="shared" ca="1" si="19"/>
        <v>-8.6465657535649694</v>
      </c>
      <c r="BL166" s="59"/>
      <c r="BM166" s="59"/>
      <c r="BN166" s="59"/>
      <c r="BO166"/>
      <c r="BP166"/>
      <c r="BQ166"/>
      <c r="BR166"/>
      <c r="BS166"/>
      <c r="BT166"/>
      <c r="BU166"/>
      <c r="BV166"/>
      <c r="BW166"/>
      <c r="BX166"/>
      <c r="BY166"/>
      <c r="BZ166"/>
      <c r="CA166"/>
      <c r="CB166"/>
      <c r="CC166"/>
      <c r="CD166"/>
      <c r="CE166"/>
      <c r="CF166"/>
    </row>
    <row r="167" spans="1:84" s="63" customFormat="1" x14ac:dyDescent="0.25">
      <c r="A167" s="61">
        <v>2057</v>
      </c>
      <c r="B167" s="62">
        <f>$B$7*Yield!I40</f>
        <v>0</v>
      </c>
      <c r="C167" s="62">
        <f>$C$7*Yield!I39</f>
        <v>0</v>
      </c>
      <c r="D167" s="62">
        <f>$D$7*Yield!I38</f>
        <v>0</v>
      </c>
      <c r="E167" s="62">
        <f ca="1">$E$7*Yield!I37</f>
        <v>0</v>
      </c>
      <c r="F167" s="62">
        <f>$F$7*Yield!I36</f>
        <v>0</v>
      </c>
      <c r="G167" s="62">
        <f>$G$7*Yield!I35</f>
        <v>0</v>
      </c>
      <c r="H167" s="62">
        <f>$H$7*Yield!I34</f>
        <v>0</v>
      </c>
      <c r="I167" s="62">
        <f>$I$7*Yield!I33</f>
        <v>0</v>
      </c>
      <c r="J167" s="62">
        <f>$J$7*Yield!I32</f>
        <v>0</v>
      </c>
      <c r="K167" s="62">
        <f>$K$7*Yield!I31</f>
        <v>0</v>
      </c>
      <c r="L167" s="62">
        <f>$L$7*Yield!I30</f>
        <v>0</v>
      </c>
      <c r="M167" s="62">
        <f>$M$7*Yield!I29</f>
        <v>0</v>
      </c>
      <c r="N167" s="62">
        <f>$N$7*Yield!I28</f>
        <v>0</v>
      </c>
      <c r="O167" s="62">
        <f>$O$7*Yield!I27</f>
        <v>0</v>
      </c>
      <c r="P167" s="62">
        <f>$P$7*Yield!I26</f>
        <v>0</v>
      </c>
      <c r="Q167" s="62">
        <f>$Q$7*Yield!I25</f>
        <v>0</v>
      </c>
      <c r="R167" s="62">
        <f>$R$7*Yield!I24</f>
        <v>0</v>
      </c>
      <c r="S167" s="62">
        <f>$S$7*Yield!I23</f>
        <v>0</v>
      </c>
      <c r="T167" s="62">
        <f>$T$7*Yield!I22</f>
        <v>0</v>
      </c>
      <c r="U167" s="62">
        <f>$U$7*Yield!I21</f>
        <v>0</v>
      </c>
      <c r="V167" s="62">
        <f>$V$7*Yield!I20</f>
        <v>-0.72273289365099291</v>
      </c>
      <c r="W167" s="62">
        <f>$W$7*Yield!I19</f>
        <v>-0.70118638484953721</v>
      </c>
      <c r="X167" s="62">
        <f>$X$7*Yield!I18</f>
        <v>-0.67578280769520438</v>
      </c>
      <c r="Y167" s="62">
        <f>$Y$7*Yield!I17</f>
        <v>-0.64004693173040217</v>
      </c>
      <c r="Z167" s="62">
        <f>$Z$7*Yield!I16</f>
        <v>-0.60761412307392226</v>
      </c>
      <c r="AA167" s="62">
        <f>$AA$7*Yield!I15</f>
        <v>-0.57786315212020456</v>
      </c>
      <c r="AB167" s="62">
        <f>$AB$7*Yield!I14</f>
        <v>-0.63337885905558056</v>
      </c>
      <c r="AC167" s="62">
        <f>$AC$7*Yield!I13</f>
        <v>-0.68995441211162556</v>
      </c>
      <c r="AD167" s="62">
        <f>AD$7*Yield!I12</f>
        <v>-0.80116592515948415</v>
      </c>
      <c r="AE167" s="62">
        <f>AE$7*Yield!I11</f>
        <v>-0.83435613327670632</v>
      </c>
      <c r="AF167" s="62">
        <f>AF$7*Yield!I10</f>
        <v>-0.74437978900682078</v>
      </c>
      <c r="AG167" s="62">
        <f>AG$7*Yield!I9</f>
        <v>-0.5525581007429976</v>
      </c>
      <c r="AH167" s="62">
        <f>AH$7*Yield!I8</f>
        <v>-0.32619797727962435</v>
      </c>
      <c r="AI167" s="62">
        <f>AI$7*Yield!I7</f>
        <v>-9.3264482085815101E-2</v>
      </c>
      <c r="AJ167" s="62">
        <f>AJ$7*Yield!I6</f>
        <v>-3.7323384774125098E-2</v>
      </c>
      <c r="AK167" s="62">
        <f>AK$7*Yield!I5</f>
        <v>-8.7603969519264302E-3</v>
      </c>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23"/>
      <c r="BJ167" s="61">
        <v>2057</v>
      </c>
      <c r="BK167" s="60">
        <f t="shared" ca="1" si="19"/>
        <v>-8.6465657535649694</v>
      </c>
      <c r="BL167" s="59"/>
      <c r="BM167" s="59"/>
      <c r="BN167" s="59"/>
      <c r="BO167"/>
      <c r="BP167"/>
      <c r="BQ167"/>
      <c r="BR167"/>
      <c r="BS167"/>
      <c r="BT167"/>
      <c r="BU167"/>
      <c r="BV167"/>
      <c r="BW167"/>
      <c r="BX167"/>
      <c r="BY167"/>
      <c r="BZ167"/>
      <c r="CA167"/>
      <c r="CB167"/>
      <c r="CC167"/>
      <c r="CD167"/>
      <c r="CE167"/>
      <c r="CF167"/>
    </row>
    <row r="168" spans="1:84" s="63" customFormat="1" x14ac:dyDescent="0.25">
      <c r="A168" s="61">
        <v>2058</v>
      </c>
      <c r="B168" s="62">
        <f>$B$7*Yield!I41</f>
        <v>0</v>
      </c>
      <c r="C168" s="62">
        <f>$C$7*Yield!I40</f>
        <v>0</v>
      </c>
      <c r="D168" s="62">
        <f>$D$7*Yield!I39</f>
        <v>0</v>
      </c>
      <c r="E168" s="62">
        <f ca="1">$E$7*Yield!I38</f>
        <v>0</v>
      </c>
      <c r="F168" s="62">
        <f>$F$7*Yield!I37</f>
        <v>0</v>
      </c>
      <c r="G168" s="62">
        <f>$G$7*Yield!I36</f>
        <v>0</v>
      </c>
      <c r="H168" s="62">
        <f>$H$7*Yield!I35</f>
        <v>0</v>
      </c>
      <c r="I168" s="62">
        <f>$I$7*Yield!I34</f>
        <v>0</v>
      </c>
      <c r="J168" s="62">
        <f>$J$7*Yield!I33</f>
        <v>0</v>
      </c>
      <c r="K168" s="62">
        <f>$K$7*Yield!I32</f>
        <v>0</v>
      </c>
      <c r="L168" s="62">
        <f>$L$7*Yield!I31</f>
        <v>0</v>
      </c>
      <c r="M168" s="62">
        <f>$M$7*Yield!I30</f>
        <v>0</v>
      </c>
      <c r="N168" s="62">
        <f>$N$7*Yield!I29</f>
        <v>0</v>
      </c>
      <c r="O168" s="62">
        <f>$O$7*Yield!I28</f>
        <v>0</v>
      </c>
      <c r="P168" s="62">
        <f>$P$7*Yield!I27</f>
        <v>0</v>
      </c>
      <c r="Q168" s="62">
        <f>$Q$7*Yield!I26</f>
        <v>0</v>
      </c>
      <c r="R168" s="62">
        <f>$R$7*Yield!I25</f>
        <v>0</v>
      </c>
      <c r="S168" s="62">
        <f>$S$7*Yield!I24</f>
        <v>0</v>
      </c>
      <c r="T168" s="62">
        <f>$T$7*Yield!I23</f>
        <v>0</v>
      </c>
      <c r="U168" s="62">
        <f>$U$7*Yield!I22</f>
        <v>0</v>
      </c>
      <c r="V168" s="62">
        <f>$V$7*Yield!I21</f>
        <v>0</v>
      </c>
      <c r="W168" s="62">
        <f>$W$7*Yield!I20</f>
        <v>-0.72273289365099291</v>
      </c>
      <c r="X168" s="62">
        <f>$X$7*Yield!I19</f>
        <v>-0.70118638484953721</v>
      </c>
      <c r="Y168" s="62">
        <f>$Y$7*Yield!I18</f>
        <v>-0.67578280769520438</v>
      </c>
      <c r="Z168" s="62">
        <f>$Z$7*Yield!I17</f>
        <v>-0.64004693173040217</v>
      </c>
      <c r="AA168" s="62">
        <f>$AA$7*Yield!I16</f>
        <v>-0.60761412307392226</v>
      </c>
      <c r="AB168" s="62">
        <f>$AB$7*Yield!I15</f>
        <v>-0.57786315212020456</v>
      </c>
      <c r="AC168" s="62">
        <f>$AC$7*Yield!I14</f>
        <v>-0.63337885905558056</v>
      </c>
      <c r="AD168" s="62">
        <f>AD$7*Yield!I13</f>
        <v>-0.68995441211162556</v>
      </c>
      <c r="AE168" s="62">
        <f>AE$7*Yield!I12</f>
        <v>-0.80116592515948415</v>
      </c>
      <c r="AF168" s="62">
        <f>AF$7*Yield!I11</f>
        <v>-0.83435613327670632</v>
      </c>
      <c r="AG168" s="62">
        <f>AG$7*Yield!I10</f>
        <v>-0.74437978900682078</v>
      </c>
      <c r="AH168" s="62">
        <f>AH$7*Yield!I9</f>
        <v>-0.5525581007429976</v>
      </c>
      <c r="AI168" s="62">
        <f>AI$7*Yield!I8</f>
        <v>-0.32619797727962435</v>
      </c>
      <c r="AJ168" s="62">
        <f>AJ$7*Yield!I7</f>
        <v>-9.3264482085815101E-2</v>
      </c>
      <c r="AK168" s="62">
        <f>AK$7*Yield!I6</f>
        <v>-3.7323384774125098E-2</v>
      </c>
      <c r="AL168" s="62">
        <f>AL$7*Yield!I5</f>
        <v>-8.7603969519264302E-3</v>
      </c>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23"/>
      <c r="BJ168" s="61">
        <v>2058</v>
      </c>
      <c r="BK168" s="60">
        <f t="shared" ca="1" si="19"/>
        <v>-8.6465657535649694</v>
      </c>
      <c r="BL168" s="59"/>
      <c r="BM168" s="59"/>
      <c r="BN168" s="59"/>
      <c r="BO168"/>
      <c r="BP168"/>
      <c r="BQ168"/>
      <c r="BR168"/>
      <c r="BS168"/>
      <c r="BT168"/>
      <c r="BU168"/>
      <c r="BV168"/>
      <c r="BW168"/>
      <c r="BX168"/>
      <c r="BY168"/>
      <c r="BZ168"/>
      <c r="CA168"/>
      <c r="CB168"/>
      <c r="CC168"/>
      <c r="CD168"/>
      <c r="CE168"/>
      <c r="CF168"/>
    </row>
    <row r="169" spans="1:84" s="63" customFormat="1" x14ac:dyDescent="0.25">
      <c r="A169" s="61">
        <v>2059</v>
      </c>
      <c r="B169" s="62">
        <f>$B$7*Yield!I42</f>
        <v>0</v>
      </c>
      <c r="C169" s="62">
        <f>$C$7*Yield!I41</f>
        <v>0</v>
      </c>
      <c r="D169" s="62">
        <f>$D$7*Yield!I40</f>
        <v>0</v>
      </c>
      <c r="E169" s="62">
        <f ca="1">$E$7*Yield!I39</f>
        <v>0</v>
      </c>
      <c r="F169" s="62">
        <f>$F$7*Yield!I38</f>
        <v>0</v>
      </c>
      <c r="G169" s="62">
        <f>$G$7*Yield!I37</f>
        <v>0</v>
      </c>
      <c r="H169" s="62">
        <f>$H$7*Yield!I36</f>
        <v>0</v>
      </c>
      <c r="I169" s="62">
        <f>$I$7*Yield!I35</f>
        <v>0</v>
      </c>
      <c r="J169" s="62">
        <f>$J$7*Yield!I34</f>
        <v>0</v>
      </c>
      <c r="K169" s="62">
        <f>$K$7*Yield!I33</f>
        <v>0</v>
      </c>
      <c r="L169" s="62">
        <f>$L$7*Yield!I32</f>
        <v>0</v>
      </c>
      <c r="M169" s="62">
        <f>$M$7*Yield!I31</f>
        <v>0</v>
      </c>
      <c r="N169" s="62">
        <f>$N$7*Yield!I30</f>
        <v>0</v>
      </c>
      <c r="O169" s="62">
        <f>$O$7*Yield!I29</f>
        <v>0</v>
      </c>
      <c r="P169" s="62">
        <f>$P$7*Yield!I28</f>
        <v>0</v>
      </c>
      <c r="Q169" s="62">
        <f>$Q$7*Yield!I27</f>
        <v>0</v>
      </c>
      <c r="R169" s="62">
        <f>$R$7*Yield!I26</f>
        <v>0</v>
      </c>
      <c r="S169" s="62">
        <f>$S$7*Yield!I25</f>
        <v>0</v>
      </c>
      <c r="T169" s="62">
        <f>$T$7*Yield!I24</f>
        <v>0</v>
      </c>
      <c r="U169" s="62">
        <f>$U$7*Yield!I23</f>
        <v>0</v>
      </c>
      <c r="V169" s="62">
        <f>$V$7*Yield!I22</f>
        <v>0</v>
      </c>
      <c r="W169" s="62">
        <f>$W$7*Yield!I21</f>
        <v>0</v>
      </c>
      <c r="X169" s="62">
        <f>$X$7*Yield!I20</f>
        <v>-0.72273289365099291</v>
      </c>
      <c r="Y169" s="62">
        <f>$Y$7*Yield!I19</f>
        <v>-0.70118638484953721</v>
      </c>
      <c r="Z169" s="62">
        <f>$Z$7*Yield!I18</f>
        <v>-0.67578280769520438</v>
      </c>
      <c r="AA169" s="62">
        <f>$AA$7*Yield!I17</f>
        <v>-0.64004693173040217</v>
      </c>
      <c r="AB169" s="62">
        <f>$AB$7*Yield!I16</f>
        <v>-0.60761412307392226</v>
      </c>
      <c r="AC169" s="62">
        <f>$AC$7*Yield!I15</f>
        <v>-0.57786315212020456</v>
      </c>
      <c r="AD169" s="62">
        <f>AD$7*Yield!I14</f>
        <v>-0.63337885905558056</v>
      </c>
      <c r="AE169" s="62">
        <f>AE$7*Yield!I13</f>
        <v>-0.68995441211162556</v>
      </c>
      <c r="AF169" s="62">
        <f>AF$7*Yield!I12</f>
        <v>-0.80116592515948415</v>
      </c>
      <c r="AG169" s="62">
        <f>AG$7*Yield!I11</f>
        <v>-0.83435613327670632</v>
      </c>
      <c r="AH169" s="62">
        <f>AH$7*Yield!I10</f>
        <v>-0.74437978900682078</v>
      </c>
      <c r="AI169" s="62">
        <f>AI$7*Yield!I9</f>
        <v>-0.5525581007429976</v>
      </c>
      <c r="AJ169" s="62">
        <f>AJ$7*Yield!I8</f>
        <v>-0.32619797727962435</v>
      </c>
      <c r="AK169" s="62">
        <f>AK$7*Yield!I7</f>
        <v>-9.3264482085815101E-2</v>
      </c>
      <c r="AL169" s="62">
        <f>AL$7*Yield!I6</f>
        <v>-3.7323384774125098E-2</v>
      </c>
      <c r="AM169" s="62">
        <f>AM$7*Yield!I5</f>
        <v>-8.7603969519264302E-3</v>
      </c>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23"/>
      <c r="BJ169" s="61">
        <v>2059</v>
      </c>
      <c r="BK169" s="60">
        <f t="shared" ca="1" si="19"/>
        <v>-8.6465657535649694</v>
      </c>
      <c r="BL169" s="59"/>
      <c r="BM169" s="59"/>
      <c r="BN169" s="59"/>
      <c r="BO169"/>
      <c r="BP169"/>
      <c r="BQ169"/>
      <c r="BR169"/>
      <c r="BS169"/>
      <c r="BT169"/>
      <c r="BU169"/>
      <c r="BV169"/>
      <c r="BW169"/>
      <c r="BX169"/>
      <c r="BY169"/>
      <c r="BZ169"/>
      <c r="CA169"/>
      <c r="CB169"/>
      <c r="CC169"/>
      <c r="CD169"/>
      <c r="CE169"/>
      <c r="CF169"/>
    </row>
    <row r="170" spans="1:84" s="63" customFormat="1" x14ac:dyDescent="0.25">
      <c r="A170" s="61">
        <v>2060</v>
      </c>
      <c r="B170" s="62">
        <f>$B$7*Yield!I43</f>
        <v>0</v>
      </c>
      <c r="C170" s="62">
        <f>$C$7*Yield!I42</f>
        <v>0</v>
      </c>
      <c r="D170" s="62">
        <f>$D$7*Yield!I41</f>
        <v>0</v>
      </c>
      <c r="E170" s="62">
        <f ca="1">$E$7*Yield!I40</f>
        <v>0</v>
      </c>
      <c r="F170" s="62">
        <f>$F$7*Yield!I39</f>
        <v>0</v>
      </c>
      <c r="G170" s="62">
        <f>$G$7*Yield!I38</f>
        <v>0</v>
      </c>
      <c r="H170" s="62">
        <f>$H$7*Yield!I37</f>
        <v>0</v>
      </c>
      <c r="I170" s="62">
        <f>$I$7*Yield!I36</f>
        <v>0</v>
      </c>
      <c r="J170" s="62">
        <f>$J$7*Yield!I35</f>
        <v>0</v>
      </c>
      <c r="K170" s="62">
        <f>$K$7*Yield!I34</f>
        <v>0</v>
      </c>
      <c r="L170" s="62">
        <f>$L$7*Yield!I33</f>
        <v>0</v>
      </c>
      <c r="M170" s="62">
        <f>$M$7*Yield!I32</f>
        <v>0</v>
      </c>
      <c r="N170" s="62">
        <f>$N$7*Yield!I31</f>
        <v>0</v>
      </c>
      <c r="O170" s="62">
        <f>$O$7*Yield!I30</f>
        <v>0</v>
      </c>
      <c r="P170" s="62">
        <f>$P$7*Yield!I29</f>
        <v>0</v>
      </c>
      <c r="Q170" s="62">
        <f>$Q$7*Yield!I28</f>
        <v>0</v>
      </c>
      <c r="R170" s="62">
        <f>$R$7*Yield!I27</f>
        <v>0</v>
      </c>
      <c r="S170" s="62">
        <f>$S$7*Yield!I26</f>
        <v>0</v>
      </c>
      <c r="T170" s="62">
        <f>$T$7*Yield!I25</f>
        <v>0</v>
      </c>
      <c r="U170" s="62">
        <f>$U$7*Yield!I24</f>
        <v>0</v>
      </c>
      <c r="V170" s="62">
        <f>$V$7*Yield!I23</f>
        <v>0</v>
      </c>
      <c r="W170" s="62">
        <f>$W$7*Yield!I22</f>
        <v>0</v>
      </c>
      <c r="X170" s="62">
        <f>$X$7*Yield!I21</f>
        <v>0</v>
      </c>
      <c r="Y170" s="62">
        <f>$Y$7*Yield!I20</f>
        <v>-0.72273289365099291</v>
      </c>
      <c r="Z170" s="62">
        <f>$Z$7*Yield!I19</f>
        <v>-0.70118638484953721</v>
      </c>
      <c r="AA170" s="62">
        <f>$AA$7*Yield!I18</f>
        <v>-0.67578280769520438</v>
      </c>
      <c r="AB170" s="62">
        <f>$AB$7*Yield!I17</f>
        <v>-0.64004693173040217</v>
      </c>
      <c r="AC170" s="62">
        <f>$AC$7*Yield!I16</f>
        <v>-0.60761412307392226</v>
      </c>
      <c r="AD170" s="62">
        <f>AD$7*Yield!I15</f>
        <v>-0.57786315212020456</v>
      </c>
      <c r="AE170" s="62">
        <f>AE$7*Yield!I14</f>
        <v>-0.63337885905558056</v>
      </c>
      <c r="AF170" s="62">
        <f>AF$7*Yield!I13</f>
        <v>-0.68995441211162556</v>
      </c>
      <c r="AG170" s="62">
        <f>AG$7*Yield!I12</f>
        <v>-0.80116592515948415</v>
      </c>
      <c r="AH170" s="62">
        <f>AH$7*Yield!I11</f>
        <v>-0.83435613327670632</v>
      </c>
      <c r="AI170" s="62">
        <f>AI$7*Yield!I10</f>
        <v>-0.74437978900682078</v>
      </c>
      <c r="AJ170" s="62">
        <f>AJ$7*Yield!I9</f>
        <v>-0.5525581007429976</v>
      </c>
      <c r="AK170" s="62">
        <f>AK$7*Yield!I8</f>
        <v>-0.32619797727962435</v>
      </c>
      <c r="AL170" s="62">
        <f>AL$7*Yield!I7</f>
        <v>-9.3264482085815101E-2</v>
      </c>
      <c r="AM170" s="62">
        <f>AM$7*Yield!I6</f>
        <v>-3.7323384774125098E-2</v>
      </c>
      <c r="AN170" s="62">
        <f>AN$7*Yield!I5</f>
        <v>-8.7603969519264302E-3</v>
      </c>
      <c r="AO170" s="62"/>
      <c r="AP170" s="62"/>
      <c r="AQ170" s="62"/>
      <c r="AR170" s="62"/>
      <c r="AS170" s="62"/>
      <c r="AT170" s="62"/>
      <c r="AU170" s="62"/>
      <c r="AV170" s="62"/>
      <c r="AW170" s="62"/>
      <c r="AX170" s="62"/>
      <c r="AY170" s="62"/>
      <c r="AZ170" s="62"/>
      <c r="BA170" s="62"/>
      <c r="BB170" s="62"/>
      <c r="BC170" s="62"/>
      <c r="BD170" s="62"/>
      <c r="BE170" s="62"/>
      <c r="BF170" s="62"/>
      <c r="BG170" s="62"/>
      <c r="BH170" s="62"/>
      <c r="BI170" s="23"/>
      <c r="BJ170" s="61">
        <v>2060</v>
      </c>
      <c r="BK170" s="60">
        <f t="shared" ca="1" si="19"/>
        <v>-8.6465657535649694</v>
      </c>
      <c r="BL170" s="59"/>
      <c r="BM170" s="59"/>
      <c r="BN170" s="59"/>
      <c r="BO170"/>
      <c r="BP170"/>
      <c r="BQ170"/>
      <c r="BR170"/>
      <c r="BS170"/>
      <c r="BT170"/>
      <c r="BU170"/>
      <c r="BV170"/>
      <c r="BW170"/>
      <c r="BX170"/>
      <c r="BY170"/>
      <c r="BZ170"/>
      <c r="CA170"/>
      <c r="CB170"/>
      <c r="CC170"/>
      <c r="CD170"/>
      <c r="CE170"/>
      <c r="CF170"/>
    </row>
    <row r="171" spans="1:84" s="63" customFormat="1" x14ac:dyDescent="0.25">
      <c r="A171" s="61">
        <v>2061</v>
      </c>
      <c r="B171" s="62">
        <f>$B$7*Yield!I44</f>
        <v>0</v>
      </c>
      <c r="C171" s="62">
        <f>$C$7*Yield!I43</f>
        <v>0</v>
      </c>
      <c r="D171" s="62">
        <f>$D$7*Yield!I42</f>
        <v>0</v>
      </c>
      <c r="E171" s="62">
        <f ca="1">$E$7*Yield!I41</f>
        <v>0</v>
      </c>
      <c r="F171" s="62">
        <f>$F$7*Yield!I40</f>
        <v>0</v>
      </c>
      <c r="G171" s="62">
        <f>$G$7*Yield!I39</f>
        <v>0</v>
      </c>
      <c r="H171" s="62">
        <f>$H$7*Yield!I38</f>
        <v>0</v>
      </c>
      <c r="I171" s="62">
        <f>$I$7*Yield!I37</f>
        <v>0</v>
      </c>
      <c r="J171" s="62">
        <f>$J$7*Yield!I36</f>
        <v>0</v>
      </c>
      <c r="K171" s="62">
        <f>$K$7*Yield!I35</f>
        <v>0</v>
      </c>
      <c r="L171" s="62">
        <f>$L$7*Yield!I34</f>
        <v>0</v>
      </c>
      <c r="M171" s="62">
        <f>$M$7*Yield!I33</f>
        <v>0</v>
      </c>
      <c r="N171" s="62">
        <f>$N$7*Yield!I32</f>
        <v>0</v>
      </c>
      <c r="O171" s="62">
        <f>$O$7*Yield!I31</f>
        <v>0</v>
      </c>
      <c r="P171" s="62">
        <f>$P$7*Yield!I30</f>
        <v>0</v>
      </c>
      <c r="Q171" s="62">
        <f>$Q$7*Yield!I29</f>
        <v>0</v>
      </c>
      <c r="R171" s="62">
        <f>$R$7*Yield!I28</f>
        <v>0</v>
      </c>
      <c r="S171" s="62">
        <f>$S$7*Yield!I27</f>
        <v>0</v>
      </c>
      <c r="T171" s="62">
        <f>$T$7*Yield!I26</f>
        <v>0</v>
      </c>
      <c r="U171" s="62">
        <f>$U$7*Yield!I25</f>
        <v>0</v>
      </c>
      <c r="V171" s="62">
        <f>$V$7*Yield!I24</f>
        <v>0</v>
      </c>
      <c r="W171" s="62">
        <f>$W$7*Yield!I23</f>
        <v>0</v>
      </c>
      <c r="X171" s="62">
        <f>$X$7*Yield!I22</f>
        <v>0</v>
      </c>
      <c r="Y171" s="62">
        <f>$Y$7*Yield!I21</f>
        <v>0</v>
      </c>
      <c r="Z171" s="62">
        <f>$Z$7*Yield!I20</f>
        <v>-0.72273289365099291</v>
      </c>
      <c r="AA171" s="62">
        <f>$AA$7*Yield!I19</f>
        <v>-0.70118638484953721</v>
      </c>
      <c r="AB171" s="62">
        <f>$AB$7*Yield!I18</f>
        <v>-0.67578280769520438</v>
      </c>
      <c r="AC171" s="62">
        <f>$AC$7*Yield!I17</f>
        <v>-0.64004693173040217</v>
      </c>
      <c r="AD171" s="62">
        <f>AD$7*Yield!I16</f>
        <v>-0.60761412307392226</v>
      </c>
      <c r="AE171" s="62">
        <f>AE$7*Yield!I15</f>
        <v>-0.57786315212020456</v>
      </c>
      <c r="AF171" s="62">
        <f>AF$7*Yield!I14</f>
        <v>-0.63337885905558056</v>
      </c>
      <c r="AG171" s="62">
        <f>AG$7*Yield!I13</f>
        <v>-0.68995441211162556</v>
      </c>
      <c r="AH171" s="62">
        <f>AH$7*Yield!I12</f>
        <v>-0.80116592515948415</v>
      </c>
      <c r="AI171" s="62">
        <f>AI$7*Yield!I11</f>
        <v>-0.83435613327670632</v>
      </c>
      <c r="AJ171" s="62">
        <f>AJ$7*Yield!I10</f>
        <v>-0.74437978900682078</v>
      </c>
      <c r="AK171" s="62">
        <f>AK$7*Yield!I9</f>
        <v>-0.5525581007429976</v>
      </c>
      <c r="AL171" s="62">
        <f>AL$7*Yield!I8</f>
        <v>-0.32619797727962435</v>
      </c>
      <c r="AM171" s="62">
        <f>AM$7*Yield!I7</f>
        <v>-9.3264482085815101E-2</v>
      </c>
      <c r="AN171" s="62">
        <f>AN$7*Yield!I6</f>
        <v>-3.7323384774125098E-2</v>
      </c>
      <c r="AO171" s="62">
        <f>AO$7*Yield!I5</f>
        <v>-8.7603969519264302E-3</v>
      </c>
      <c r="AP171" s="62"/>
      <c r="AQ171" s="62"/>
      <c r="AR171" s="62"/>
      <c r="AS171" s="62"/>
      <c r="AT171" s="62"/>
      <c r="AU171" s="62"/>
      <c r="AV171" s="62"/>
      <c r="AW171" s="62"/>
      <c r="AX171" s="62"/>
      <c r="AY171" s="62"/>
      <c r="AZ171" s="62"/>
      <c r="BA171" s="62"/>
      <c r="BB171" s="62"/>
      <c r="BC171" s="62"/>
      <c r="BD171" s="62"/>
      <c r="BE171" s="62"/>
      <c r="BF171" s="62"/>
      <c r="BG171" s="62"/>
      <c r="BH171" s="62"/>
      <c r="BI171" s="23"/>
      <c r="BJ171" s="61">
        <v>2061</v>
      </c>
      <c r="BK171" s="60">
        <f t="shared" ca="1" si="19"/>
        <v>-8.6465657535649694</v>
      </c>
      <c r="BL171" s="59"/>
      <c r="BM171" s="59"/>
      <c r="BN171" s="59"/>
      <c r="BO171"/>
      <c r="BP171"/>
      <c r="BQ171"/>
      <c r="BR171"/>
      <c r="BS171"/>
      <c r="BT171"/>
      <c r="BU171"/>
      <c r="BV171"/>
      <c r="BW171"/>
      <c r="BX171"/>
      <c r="BY171"/>
      <c r="BZ171"/>
      <c r="CA171"/>
      <c r="CB171"/>
      <c r="CC171"/>
      <c r="CD171"/>
      <c r="CE171"/>
      <c r="CF171"/>
    </row>
    <row r="172" spans="1:84" s="63" customFormat="1" x14ac:dyDescent="0.25">
      <c r="A172" s="61">
        <v>2062</v>
      </c>
      <c r="B172" s="62">
        <f>$B$7*Yield!I45</f>
        <v>0</v>
      </c>
      <c r="C172" s="62">
        <f>$C$7*Yield!I44</f>
        <v>0</v>
      </c>
      <c r="D172" s="62">
        <f>$D$7*Yield!I43</f>
        <v>0</v>
      </c>
      <c r="E172" s="62">
        <f ca="1">$E$7*Yield!I42</f>
        <v>0</v>
      </c>
      <c r="F172" s="62">
        <f>$F$7*Yield!I41</f>
        <v>0</v>
      </c>
      <c r="G172" s="62">
        <f>$G$7*Yield!I40</f>
        <v>0</v>
      </c>
      <c r="H172" s="62">
        <f>$H$7*Yield!I39</f>
        <v>0</v>
      </c>
      <c r="I172" s="62">
        <f>$I$7*Yield!I38</f>
        <v>0</v>
      </c>
      <c r="J172" s="62">
        <f>$J$7*Yield!I37</f>
        <v>0</v>
      </c>
      <c r="K172" s="62">
        <f>$K$7*Yield!I36</f>
        <v>0</v>
      </c>
      <c r="L172" s="62">
        <f>$L$7*Yield!I35</f>
        <v>0</v>
      </c>
      <c r="M172" s="62">
        <f>$M$7*Yield!I34</f>
        <v>0</v>
      </c>
      <c r="N172" s="62">
        <f>$N$7*Yield!I33</f>
        <v>0</v>
      </c>
      <c r="O172" s="62">
        <f>$O$7*Yield!I32</f>
        <v>0</v>
      </c>
      <c r="P172" s="62">
        <f>$P$7*Yield!I31</f>
        <v>0</v>
      </c>
      <c r="Q172" s="62">
        <f>$Q$7*Yield!I30</f>
        <v>0</v>
      </c>
      <c r="R172" s="62">
        <f>$R$7*Yield!I29</f>
        <v>0</v>
      </c>
      <c r="S172" s="62">
        <f>$S$7*Yield!I28</f>
        <v>0</v>
      </c>
      <c r="T172" s="62">
        <f>$T$7*Yield!I27</f>
        <v>0</v>
      </c>
      <c r="U172" s="62">
        <f>$U$7*Yield!I26</f>
        <v>0</v>
      </c>
      <c r="V172" s="62">
        <f>$V$7*Yield!I25</f>
        <v>0</v>
      </c>
      <c r="W172" s="62">
        <f>$W$7*Yield!I24</f>
        <v>0</v>
      </c>
      <c r="X172" s="62">
        <f>$X$7*Yield!I23</f>
        <v>0</v>
      </c>
      <c r="Y172" s="62">
        <f>$Y$7*Yield!I22</f>
        <v>0</v>
      </c>
      <c r="Z172" s="62">
        <f>$Z$7*Yield!I21</f>
        <v>0</v>
      </c>
      <c r="AA172" s="62">
        <f>$AA$7*Yield!I20</f>
        <v>-0.72273289365099291</v>
      </c>
      <c r="AB172" s="62">
        <f>$AB$7*Yield!I19</f>
        <v>-0.70118638484953721</v>
      </c>
      <c r="AC172" s="62">
        <f>$AC$7*Yield!I18</f>
        <v>-0.67578280769520438</v>
      </c>
      <c r="AD172" s="62">
        <f>AD$7*Yield!I17</f>
        <v>-0.64004693173040217</v>
      </c>
      <c r="AE172" s="62">
        <f>AE$7*Yield!I16</f>
        <v>-0.60761412307392226</v>
      </c>
      <c r="AF172" s="62">
        <f>AF$7*Yield!I15</f>
        <v>-0.57786315212020456</v>
      </c>
      <c r="AG172" s="62">
        <f>AG$7*Yield!I14</f>
        <v>-0.63337885905558056</v>
      </c>
      <c r="AH172" s="62">
        <f>AH$7*Yield!I13</f>
        <v>-0.68995441211162556</v>
      </c>
      <c r="AI172" s="62">
        <f>AI$7*Yield!I12</f>
        <v>-0.80116592515948415</v>
      </c>
      <c r="AJ172" s="62">
        <f>AJ$7*Yield!I11</f>
        <v>-0.83435613327670632</v>
      </c>
      <c r="AK172" s="62">
        <f>AK$7*Yield!I10</f>
        <v>-0.74437978900682078</v>
      </c>
      <c r="AL172" s="62">
        <f>AL$7*Yield!I9</f>
        <v>-0.5525581007429976</v>
      </c>
      <c r="AM172" s="62">
        <f>AM$7*Yield!I8</f>
        <v>-0.32619797727962435</v>
      </c>
      <c r="AN172" s="62">
        <f>AN$7*Yield!I7</f>
        <v>-9.3264482085815101E-2</v>
      </c>
      <c r="AO172" s="62">
        <f>AO$7*Yield!I6</f>
        <v>-3.7323384774125098E-2</v>
      </c>
      <c r="AP172" s="62">
        <f>AP$7*Yield!I5</f>
        <v>-8.7603969519264302E-3</v>
      </c>
      <c r="AQ172" s="62"/>
      <c r="AR172" s="62"/>
      <c r="AS172" s="62"/>
      <c r="AT172" s="62"/>
      <c r="AU172" s="62"/>
      <c r="AV172" s="62"/>
      <c r="AW172" s="62"/>
      <c r="AX172" s="62"/>
      <c r="AY172" s="62"/>
      <c r="AZ172" s="62"/>
      <c r="BA172" s="62"/>
      <c r="BB172" s="62"/>
      <c r="BC172" s="62"/>
      <c r="BD172" s="62"/>
      <c r="BE172" s="62"/>
      <c r="BF172" s="62"/>
      <c r="BG172" s="62"/>
      <c r="BH172" s="62"/>
      <c r="BI172" s="23"/>
      <c r="BJ172" s="61">
        <v>2062</v>
      </c>
      <c r="BK172" s="60">
        <f t="shared" ca="1" si="19"/>
        <v>-8.6465657535649694</v>
      </c>
      <c r="BL172" s="59"/>
      <c r="BM172" s="59"/>
      <c r="BN172" s="59"/>
      <c r="BO172"/>
      <c r="BP172"/>
      <c r="BQ172"/>
      <c r="BR172"/>
      <c r="BS172"/>
      <c r="BT172"/>
      <c r="BU172"/>
      <c r="BV172"/>
      <c r="BW172"/>
      <c r="BX172"/>
      <c r="BY172"/>
      <c r="BZ172"/>
      <c r="CA172"/>
      <c r="CB172"/>
      <c r="CC172"/>
      <c r="CD172"/>
      <c r="CE172"/>
      <c r="CF172"/>
    </row>
    <row r="173" spans="1:84" s="63" customFormat="1" x14ac:dyDescent="0.25">
      <c r="A173" s="61">
        <v>2063</v>
      </c>
      <c r="B173" s="62">
        <f>$B$7*Yield!I46</f>
        <v>0</v>
      </c>
      <c r="C173" s="62">
        <f>$C$7*Yield!I45</f>
        <v>0</v>
      </c>
      <c r="D173" s="62">
        <f>$D$7*Yield!I44</f>
        <v>0</v>
      </c>
      <c r="E173" s="62">
        <f ca="1">$E$7*Yield!I43</f>
        <v>0</v>
      </c>
      <c r="F173" s="62">
        <f>$F$7*Yield!I42</f>
        <v>0</v>
      </c>
      <c r="G173" s="62">
        <f>$G$7*Yield!I41</f>
        <v>0</v>
      </c>
      <c r="H173" s="62">
        <f>$H$7*Yield!I40</f>
        <v>0</v>
      </c>
      <c r="I173" s="62">
        <f>$I$7*Yield!I39</f>
        <v>0</v>
      </c>
      <c r="J173" s="62">
        <f>$J$7*Yield!I38</f>
        <v>0</v>
      </c>
      <c r="K173" s="62">
        <f>$K$7*Yield!I37</f>
        <v>0</v>
      </c>
      <c r="L173" s="62">
        <f>$L$7*Yield!I36</f>
        <v>0</v>
      </c>
      <c r="M173" s="62">
        <f>$M$7*Yield!I35</f>
        <v>0</v>
      </c>
      <c r="N173" s="62">
        <f>$N$7*Yield!I34</f>
        <v>0</v>
      </c>
      <c r="O173" s="62">
        <f>$O$7*Yield!I33</f>
        <v>0</v>
      </c>
      <c r="P173" s="62">
        <f>$P$7*Yield!I32</f>
        <v>0</v>
      </c>
      <c r="Q173" s="62">
        <f>$Q$7*Yield!I31</f>
        <v>0</v>
      </c>
      <c r="R173" s="62">
        <f>$R$7*Yield!I30</f>
        <v>0</v>
      </c>
      <c r="S173" s="62">
        <f>$S$7*Yield!I29</f>
        <v>0</v>
      </c>
      <c r="T173" s="62">
        <f>$T$7*Yield!I28</f>
        <v>0</v>
      </c>
      <c r="U173" s="62">
        <f>$U$7*Yield!I27</f>
        <v>0</v>
      </c>
      <c r="V173" s="62">
        <f>$V$7*Yield!I26</f>
        <v>0</v>
      </c>
      <c r="W173" s="62">
        <f>$W$7*Yield!I25</f>
        <v>0</v>
      </c>
      <c r="X173" s="62">
        <f>$X$7*Yield!I24</f>
        <v>0</v>
      </c>
      <c r="Y173" s="62">
        <f>$Y$7*Yield!I23</f>
        <v>0</v>
      </c>
      <c r="Z173" s="62">
        <f>$Z$7*Yield!I22</f>
        <v>0</v>
      </c>
      <c r="AA173" s="62">
        <f>$AA$7*Yield!I21</f>
        <v>0</v>
      </c>
      <c r="AB173" s="62">
        <f>$AB$7*Yield!I20</f>
        <v>-0.72273289365099291</v>
      </c>
      <c r="AC173" s="62">
        <f>$AC$7*Yield!I19</f>
        <v>-0.70118638484953721</v>
      </c>
      <c r="AD173" s="62">
        <f>AD$7*Yield!I18</f>
        <v>-0.67578280769520438</v>
      </c>
      <c r="AE173" s="62">
        <f>AE$7*Yield!I17</f>
        <v>-0.64004693173040217</v>
      </c>
      <c r="AF173" s="62">
        <f>AF$7*Yield!I16</f>
        <v>-0.60761412307392226</v>
      </c>
      <c r="AG173" s="62">
        <f>AG$7*Yield!I15</f>
        <v>-0.57786315212020456</v>
      </c>
      <c r="AH173" s="62">
        <f>AH$7*Yield!I14</f>
        <v>-0.63337885905558056</v>
      </c>
      <c r="AI173" s="62">
        <f>AI$7*Yield!I13</f>
        <v>-0.68995441211162556</v>
      </c>
      <c r="AJ173" s="62">
        <f>AJ$7*Yield!I12</f>
        <v>-0.80116592515948415</v>
      </c>
      <c r="AK173" s="62">
        <f>AK$7*Yield!I11</f>
        <v>-0.83435613327670632</v>
      </c>
      <c r="AL173" s="62">
        <f>AL$7*Yield!I10</f>
        <v>-0.74437978900682078</v>
      </c>
      <c r="AM173" s="62">
        <f>AM$7*Yield!I9</f>
        <v>-0.5525581007429976</v>
      </c>
      <c r="AN173" s="62">
        <f>AN$7*Yield!I8</f>
        <v>-0.32619797727962435</v>
      </c>
      <c r="AO173" s="62">
        <f>AO$7*Yield!I7</f>
        <v>-9.3264482085815101E-2</v>
      </c>
      <c r="AP173" s="62">
        <f>AP$7*Yield!I6</f>
        <v>-3.7323384774125098E-2</v>
      </c>
      <c r="AQ173" s="62">
        <f>AQ$7*Yield!I5</f>
        <v>-8.7603969519264302E-3</v>
      </c>
      <c r="AR173" s="62"/>
      <c r="AS173" s="62"/>
      <c r="AT173" s="62"/>
      <c r="AU173" s="62"/>
      <c r="AV173" s="62"/>
      <c r="AW173" s="62"/>
      <c r="AX173" s="62"/>
      <c r="AY173" s="62"/>
      <c r="AZ173" s="62"/>
      <c r="BA173" s="62"/>
      <c r="BB173" s="62"/>
      <c r="BC173" s="62"/>
      <c r="BD173" s="62"/>
      <c r="BE173" s="62"/>
      <c r="BF173" s="62"/>
      <c r="BG173" s="62"/>
      <c r="BH173" s="62"/>
      <c r="BI173" s="23"/>
      <c r="BJ173" s="61">
        <v>2063</v>
      </c>
      <c r="BK173" s="60">
        <f t="shared" ca="1" si="19"/>
        <v>-8.6465657535649694</v>
      </c>
      <c r="BL173" s="59"/>
      <c r="BM173" s="59"/>
      <c r="BN173" s="59"/>
      <c r="BO173"/>
      <c r="BP173"/>
      <c r="BQ173"/>
      <c r="BR173"/>
      <c r="BS173"/>
      <c r="BT173"/>
      <c r="BU173"/>
      <c r="BV173"/>
      <c r="BW173"/>
      <c r="BX173"/>
      <c r="BY173"/>
      <c r="BZ173"/>
      <c r="CA173"/>
      <c r="CB173"/>
      <c r="CC173"/>
      <c r="CD173"/>
      <c r="CE173"/>
      <c r="CF173"/>
    </row>
    <row r="174" spans="1:84" s="63" customFormat="1" x14ac:dyDescent="0.25">
      <c r="A174" s="61">
        <v>2064</v>
      </c>
      <c r="B174" s="62">
        <f>$B$7*Yield!I47</f>
        <v>0</v>
      </c>
      <c r="C174" s="62">
        <f>$C$7*Yield!I46</f>
        <v>0</v>
      </c>
      <c r="D174" s="62">
        <f>$D$7*Yield!I45</f>
        <v>0</v>
      </c>
      <c r="E174" s="62">
        <f ca="1">$E$7*Yield!I44</f>
        <v>0</v>
      </c>
      <c r="F174" s="62">
        <f>$F$7*Yield!I43</f>
        <v>0</v>
      </c>
      <c r="G174" s="62">
        <f>$G$7*Yield!I42</f>
        <v>0</v>
      </c>
      <c r="H174" s="62">
        <f>$H$7*Yield!I41</f>
        <v>0</v>
      </c>
      <c r="I174" s="62">
        <f>$I$7*Yield!I40</f>
        <v>0</v>
      </c>
      <c r="J174" s="62">
        <f>$J$7*Yield!I39</f>
        <v>0</v>
      </c>
      <c r="K174" s="62">
        <f>$K$7*Yield!I38</f>
        <v>0</v>
      </c>
      <c r="L174" s="62">
        <f>$L$7*Yield!I37</f>
        <v>0</v>
      </c>
      <c r="M174" s="62">
        <f>$M$7*Yield!I36</f>
        <v>0</v>
      </c>
      <c r="N174" s="62">
        <f>$N$7*Yield!I35</f>
        <v>0</v>
      </c>
      <c r="O174" s="62">
        <f>$O$7*Yield!I34</f>
        <v>0</v>
      </c>
      <c r="P174" s="62">
        <f>$P$7*Yield!I33</f>
        <v>0</v>
      </c>
      <c r="Q174" s="62">
        <f>$Q$7*Yield!I32</f>
        <v>0</v>
      </c>
      <c r="R174" s="62">
        <f>$R$7*Yield!I31</f>
        <v>0</v>
      </c>
      <c r="S174" s="62">
        <f>$S$7*Yield!I30</f>
        <v>0</v>
      </c>
      <c r="T174" s="62">
        <f>$T$7*Yield!I29</f>
        <v>0</v>
      </c>
      <c r="U174" s="62">
        <f>$U$7*Yield!I28</f>
        <v>0</v>
      </c>
      <c r="V174" s="62">
        <f>$V$7*Yield!I27</f>
        <v>0</v>
      </c>
      <c r="W174" s="62">
        <f>$W$7*Yield!I26</f>
        <v>0</v>
      </c>
      <c r="X174" s="62">
        <f>$X$7*Yield!I25</f>
        <v>0</v>
      </c>
      <c r="Y174" s="62">
        <f>$Y$7*Yield!I24</f>
        <v>0</v>
      </c>
      <c r="Z174" s="62">
        <f>$Z$7*Yield!I23</f>
        <v>0</v>
      </c>
      <c r="AA174" s="62">
        <f>$AA$7*Yield!I22</f>
        <v>0</v>
      </c>
      <c r="AB174" s="62">
        <f>$AB$7*Yield!I21</f>
        <v>0</v>
      </c>
      <c r="AC174" s="62">
        <f>$AC$7*Yield!I20</f>
        <v>-0.72273289365099291</v>
      </c>
      <c r="AD174" s="62">
        <f>AD$7*Yield!I19</f>
        <v>-0.70118638484953721</v>
      </c>
      <c r="AE174" s="62">
        <f>AE$7*Yield!I18</f>
        <v>-0.67578280769520438</v>
      </c>
      <c r="AF174" s="62">
        <f>AF$7*Yield!I17</f>
        <v>-0.64004693173040217</v>
      </c>
      <c r="AG174" s="62">
        <f>AG$7*Yield!I16</f>
        <v>-0.60761412307392226</v>
      </c>
      <c r="AH174" s="62">
        <f>AH$7*Yield!I15</f>
        <v>-0.57786315212020456</v>
      </c>
      <c r="AI174" s="62">
        <f>AI$7*Yield!I14</f>
        <v>-0.63337885905558056</v>
      </c>
      <c r="AJ174" s="62">
        <f>AJ$7*Yield!I13</f>
        <v>-0.68995441211162556</v>
      </c>
      <c r="AK174" s="62">
        <f>AK$7*Yield!I12</f>
        <v>-0.80116592515948415</v>
      </c>
      <c r="AL174" s="62">
        <f>AL$7*Yield!I11</f>
        <v>-0.83435613327670632</v>
      </c>
      <c r="AM174" s="62">
        <f>AM$7*Yield!I10</f>
        <v>-0.74437978900682078</v>
      </c>
      <c r="AN174" s="62">
        <f>AN$7*Yield!I9</f>
        <v>-0.5525581007429976</v>
      </c>
      <c r="AO174" s="62">
        <f>AO$7*Yield!I8</f>
        <v>-0.32619797727962435</v>
      </c>
      <c r="AP174" s="62">
        <f>AP$7*Yield!I7</f>
        <v>-9.3264482085815101E-2</v>
      </c>
      <c r="AQ174" s="62">
        <f>AQ$7*Yield!I6</f>
        <v>-3.7323384774125098E-2</v>
      </c>
      <c r="AR174" s="62">
        <f>AR$7*Yield!I5</f>
        <v>-8.7603969519264302E-3</v>
      </c>
      <c r="AS174" s="62"/>
      <c r="AT174" s="62"/>
      <c r="AU174" s="62"/>
      <c r="AV174" s="62"/>
      <c r="AW174" s="62"/>
      <c r="AX174" s="62"/>
      <c r="AY174" s="62"/>
      <c r="AZ174" s="62"/>
      <c r="BA174" s="62"/>
      <c r="BB174" s="62"/>
      <c r="BC174" s="62"/>
      <c r="BD174" s="62"/>
      <c r="BE174" s="62"/>
      <c r="BF174" s="62"/>
      <c r="BG174" s="62"/>
      <c r="BH174" s="62"/>
      <c r="BI174" s="23"/>
      <c r="BJ174" s="61">
        <v>2064</v>
      </c>
      <c r="BK174" s="60">
        <f t="shared" ca="1" si="19"/>
        <v>-8.6465657535649694</v>
      </c>
      <c r="BL174" s="59"/>
      <c r="BM174" s="59"/>
      <c r="BN174" s="59"/>
      <c r="BO174"/>
      <c r="BP174"/>
      <c r="BQ174"/>
      <c r="BR174"/>
      <c r="BS174"/>
      <c r="BT174"/>
      <c r="BU174"/>
      <c r="BV174"/>
      <c r="BW174"/>
      <c r="BX174"/>
      <c r="BY174"/>
      <c r="BZ174"/>
      <c r="CA174"/>
      <c r="CB174"/>
      <c r="CC174"/>
      <c r="CD174"/>
      <c r="CE174"/>
      <c r="CF174"/>
    </row>
    <row r="175" spans="1:84" s="63" customFormat="1" x14ac:dyDescent="0.25">
      <c r="A175" s="61">
        <v>2065</v>
      </c>
      <c r="B175" s="62">
        <f>$B$7*Yield!I48</f>
        <v>0</v>
      </c>
      <c r="C175" s="62">
        <f>$C$7*Yield!I47</f>
        <v>0</v>
      </c>
      <c r="D175" s="62">
        <f>$D$7*Yield!I46</f>
        <v>0</v>
      </c>
      <c r="E175" s="62">
        <f ca="1">$E$7*Yield!I45</f>
        <v>0</v>
      </c>
      <c r="F175" s="62">
        <f>$F$7*Yield!I44</f>
        <v>0</v>
      </c>
      <c r="G175" s="62">
        <f>$G$7*Yield!I43</f>
        <v>0</v>
      </c>
      <c r="H175" s="62">
        <f>$H$7*Yield!I42</f>
        <v>0</v>
      </c>
      <c r="I175" s="62">
        <f>$I$7*Yield!I41</f>
        <v>0</v>
      </c>
      <c r="J175" s="62">
        <f>$J$7*Yield!I40</f>
        <v>0</v>
      </c>
      <c r="K175" s="62">
        <f>$K$7*Yield!I39</f>
        <v>0</v>
      </c>
      <c r="L175" s="62">
        <f>$L$7*Yield!I38</f>
        <v>0</v>
      </c>
      <c r="M175" s="62">
        <f>$M$7*Yield!I37</f>
        <v>0</v>
      </c>
      <c r="N175" s="62">
        <f>$N$7*Yield!I36</f>
        <v>0</v>
      </c>
      <c r="O175" s="62">
        <f>$O$7*Yield!I35</f>
        <v>0</v>
      </c>
      <c r="P175" s="62">
        <f>$P$7*Yield!I34</f>
        <v>0</v>
      </c>
      <c r="Q175" s="62">
        <f>$Q$7*Yield!I33</f>
        <v>0</v>
      </c>
      <c r="R175" s="62">
        <f>$R$7*Yield!I32</f>
        <v>0</v>
      </c>
      <c r="S175" s="62">
        <f>$S$7*Yield!I31</f>
        <v>0</v>
      </c>
      <c r="T175" s="62">
        <f>$T$7*Yield!I30</f>
        <v>0</v>
      </c>
      <c r="U175" s="62">
        <f>$U$7*Yield!I29</f>
        <v>0</v>
      </c>
      <c r="V175" s="62">
        <f>$V$7*Yield!I28</f>
        <v>0</v>
      </c>
      <c r="W175" s="62">
        <f>$W$7*Yield!I27</f>
        <v>0</v>
      </c>
      <c r="X175" s="62">
        <f>$X$7*Yield!I26</f>
        <v>0</v>
      </c>
      <c r="Y175" s="62">
        <f>$Y$7*Yield!I25</f>
        <v>0</v>
      </c>
      <c r="Z175" s="62">
        <f>$Z$7*Yield!I24</f>
        <v>0</v>
      </c>
      <c r="AA175" s="62">
        <f>$AA$7*Yield!I23</f>
        <v>0</v>
      </c>
      <c r="AB175" s="62">
        <f>$AB$7*Yield!I22</f>
        <v>0</v>
      </c>
      <c r="AC175" s="62">
        <f>$AC$7*Yield!I21</f>
        <v>0</v>
      </c>
      <c r="AD175" s="62">
        <f>AD$7*Yield!I20</f>
        <v>-0.72273289365099291</v>
      </c>
      <c r="AE175" s="62">
        <f>AE$7*Yield!I19</f>
        <v>-0.70118638484953721</v>
      </c>
      <c r="AF175" s="62">
        <f>AF$7*Yield!I18</f>
        <v>-0.67578280769520438</v>
      </c>
      <c r="AG175" s="62">
        <f>AG$7*Yield!I17</f>
        <v>-0.64004693173040217</v>
      </c>
      <c r="AH175" s="62">
        <f>AH$7*Yield!I16</f>
        <v>-0.60761412307392226</v>
      </c>
      <c r="AI175" s="62">
        <f>AI$7*Yield!I15</f>
        <v>-0.57786315212020456</v>
      </c>
      <c r="AJ175" s="62">
        <f>AJ$7*Yield!I14</f>
        <v>-0.63337885905558056</v>
      </c>
      <c r="AK175" s="62">
        <f>AK$7*Yield!I13</f>
        <v>-0.68995441211162556</v>
      </c>
      <c r="AL175" s="62">
        <f>AL$7*Yield!I12</f>
        <v>-0.80116592515948415</v>
      </c>
      <c r="AM175" s="62">
        <f>AM$7*Yield!I11</f>
        <v>-0.83435613327670632</v>
      </c>
      <c r="AN175" s="62">
        <f>AN$7*Yield!I10</f>
        <v>-0.74437978900682078</v>
      </c>
      <c r="AO175" s="62">
        <f>AO$7*Yield!I9</f>
        <v>-0.5525581007429976</v>
      </c>
      <c r="AP175" s="62">
        <f>AP$7*Yield!I8</f>
        <v>-0.32619797727962435</v>
      </c>
      <c r="AQ175" s="62">
        <f>AQ$7*Yield!I7</f>
        <v>-9.3264482085815101E-2</v>
      </c>
      <c r="AR175" s="62">
        <f>AR$7*Yield!I6</f>
        <v>-3.7323384774125098E-2</v>
      </c>
      <c r="AS175" s="62">
        <f>AS$7*Yield!I5</f>
        <v>-8.7603969519264302E-3</v>
      </c>
      <c r="AT175" s="62"/>
      <c r="AU175" s="62"/>
      <c r="AV175" s="62"/>
      <c r="AW175" s="62"/>
      <c r="AX175" s="62"/>
      <c r="AY175" s="62"/>
      <c r="AZ175" s="62"/>
      <c r="BA175" s="62"/>
      <c r="BB175" s="62"/>
      <c r="BC175" s="62"/>
      <c r="BD175" s="62"/>
      <c r="BE175" s="62"/>
      <c r="BF175" s="62"/>
      <c r="BG175" s="62"/>
      <c r="BH175" s="62"/>
      <c r="BI175" s="23"/>
      <c r="BJ175" s="61">
        <v>2065</v>
      </c>
      <c r="BK175" s="60">
        <f t="shared" ca="1" si="19"/>
        <v>-8.6465657535649694</v>
      </c>
      <c r="BL175" s="59"/>
      <c r="BM175" s="59"/>
      <c r="BN175" s="59"/>
      <c r="BO175"/>
      <c r="BP175"/>
      <c r="BQ175"/>
      <c r="BR175"/>
      <c r="BS175"/>
      <c r="BT175"/>
      <c r="BU175"/>
      <c r="BV175"/>
      <c r="BW175"/>
      <c r="BX175"/>
      <c r="BY175"/>
      <c r="BZ175"/>
      <c r="CA175"/>
      <c r="CB175"/>
      <c r="CC175"/>
      <c r="CD175"/>
      <c r="CE175"/>
      <c r="CF175"/>
    </row>
    <row r="176" spans="1:84" s="63" customFormat="1" x14ac:dyDescent="0.25">
      <c r="A176" s="61">
        <v>2066</v>
      </c>
      <c r="B176" s="62">
        <f>$B$7*Yield!I49</f>
        <v>0</v>
      </c>
      <c r="C176" s="62">
        <f>$C$7*Yield!I48</f>
        <v>0</v>
      </c>
      <c r="D176" s="62">
        <f>$D$7*Yield!I47</f>
        <v>0</v>
      </c>
      <c r="E176" s="62">
        <f ca="1">$E$7*Yield!I46</f>
        <v>0</v>
      </c>
      <c r="F176" s="62">
        <f>$F$7*Yield!I45</f>
        <v>0</v>
      </c>
      <c r="G176" s="62">
        <f>$G$7*Yield!I44</f>
        <v>0</v>
      </c>
      <c r="H176" s="62">
        <f>$H$7*Yield!I43</f>
        <v>0</v>
      </c>
      <c r="I176" s="62">
        <f>$I$7*Yield!I42</f>
        <v>0</v>
      </c>
      <c r="J176" s="62">
        <f>$J$7*Yield!I41</f>
        <v>0</v>
      </c>
      <c r="K176" s="62">
        <f>$K$7*Yield!I40</f>
        <v>0</v>
      </c>
      <c r="L176" s="62">
        <f>$L$7*Yield!I39</f>
        <v>0</v>
      </c>
      <c r="M176" s="62">
        <f>$M$7*Yield!I38</f>
        <v>0</v>
      </c>
      <c r="N176" s="62">
        <f>$N$7*Yield!I37</f>
        <v>0</v>
      </c>
      <c r="O176" s="62">
        <f>$O$7*Yield!I36</f>
        <v>0</v>
      </c>
      <c r="P176" s="62">
        <f>$P$7*Yield!I35</f>
        <v>0</v>
      </c>
      <c r="Q176" s="62">
        <f>$Q$7*Yield!I34</f>
        <v>0</v>
      </c>
      <c r="R176" s="62">
        <f>$R$7*Yield!I33</f>
        <v>0</v>
      </c>
      <c r="S176" s="62">
        <f>$S$7*Yield!I32</f>
        <v>0</v>
      </c>
      <c r="T176" s="62">
        <f>$T$7*Yield!I31</f>
        <v>0</v>
      </c>
      <c r="U176" s="62">
        <f>$U$7*Yield!I30</f>
        <v>0</v>
      </c>
      <c r="V176" s="62">
        <f>$V$7*Yield!I29</f>
        <v>0</v>
      </c>
      <c r="W176" s="62">
        <f>$W$7*Yield!I28</f>
        <v>0</v>
      </c>
      <c r="X176" s="62">
        <f>$X$7*Yield!I27</f>
        <v>0</v>
      </c>
      <c r="Y176" s="62">
        <f>$Y$7*Yield!I26</f>
        <v>0</v>
      </c>
      <c r="Z176" s="62">
        <f>$Z$7*Yield!I25</f>
        <v>0</v>
      </c>
      <c r="AA176" s="62">
        <f>$AA$7*Yield!I24</f>
        <v>0</v>
      </c>
      <c r="AB176" s="62">
        <f>$AB$7*Yield!I23</f>
        <v>0</v>
      </c>
      <c r="AC176" s="62">
        <f>$AC$7*Yield!I22</f>
        <v>0</v>
      </c>
      <c r="AD176" s="62">
        <f>AD$7*Yield!I21</f>
        <v>0</v>
      </c>
      <c r="AE176" s="62">
        <f>AE$7*Yield!I20</f>
        <v>-0.72273289365099291</v>
      </c>
      <c r="AF176" s="62">
        <f>AF$7*Yield!I19</f>
        <v>-0.70118638484953721</v>
      </c>
      <c r="AG176" s="62">
        <f>AG$7*Yield!I18</f>
        <v>-0.67578280769520438</v>
      </c>
      <c r="AH176" s="62">
        <f>AH$7*Yield!I17</f>
        <v>-0.64004693173040217</v>
      </c>
      <c r="AI176" s="62">
        <f>AI$7*Yield!I16</f>
        <v>-0.60761412307392226</v>
      </c>
      <c r="AJ176" s="62">
        <f>AJ$7*Yield!I15</f>
        <v>-0.57786315212020456</v>
      </c>
      <c r="AK176" s="62">
        <f>AK$7*Yield!I14</f>
        <v>-0.63337885905558056</v>
      </c>
      <c r="AL176" s="62">
        <f>AL$7*Yield!I13</f>
        <v>-0.68995441211162556</v>
      </c>
      <c r="AM176" s="62">
        <f>AM$7*Yield!I12</f>
        <v>-0.80116592515948415</v>
      </c>
      <c r="AN176" s="62">
        <f>AN$7*Yield!I11</f>
        <v>-0.83435613327670632</v>
      </c>
      <c r="AO176" s="62">
        <f>AO$7*Yield!I10</f>
        <v>-0.74437978900682078</v>
      </c>
      <c r="AP176" s="62">
        <f>AP$7*Yield!I9</f>
        <v>-0.5525581007429976</v>
      </c>
      <c r="AQ176" s="62">
        <f>AQ$7*Yield!I8</f>
        <v>-0.32619797727962435</v>
      </c>
      <c r="AR176" s="62">
        <f>AR$7*Yield!I7</f>
        <v>-9.3264482085815101E-2</v>
      </c>
      <c r="AS176" s="62">
        <f>AS$7*Yield!I6</f>
        <v>-3.7323384774125098E-2</v>
      </c>
      <c r="AT176" s="62">
        <f>AT$7*Yield!I5</f>
        <v>-8.7603969519264302E-3</v>
      </c>
      <c r="AU176" s="62"/>
      <c r="AV176" s="62"/>
      <c r="AW176" s="62"/>
      <c r="AX176" s="62"/>
      <c r="AY176" s="62"/>
      <c r="AZ176" s="62"/>
      <c r="BA176" s="62"/>
      <c r="BB176" s="62"/>
      <c r="BC176" s="62"/>
      <c r="BD176" s="62"/>
      <c r="BE176" s="62"/>
      <c r="BF176" s="62"/>
      <c r="BG176" s="62"/>
      <c r="BH176" s="62"/>
      <c r="BI176" s="23"/>
      <c r="BJ176" s="61">
        <v>2066</v>
      </c>
      <c r="BK176" s="60">
        <f t="shared" ca="1" si="19"/>
        <v>-8.6465657535649694</v>
      </c>
      <c r="BL176" s="59"/>
      <c r="BM176" s="59"/>
      <c r="BN176" s="59"/>
      <c r="BO176"/>
      <c r="BP176"/>
      <c r="BQ176"/>
      <c r="BR176"/>
      <c r="BS176"/>
      <c r="BT176"/>
      <c r="BU176"/>
      <c r="BV176"/>
      <c r="BW176"/>
      <c r="BX176"/>
      <c r="BY176"/>
      <c r="BZ176"/>
      <c r="CA176"/>
      <c r="CB176"/>
      <c r="CC176"/>
      <c r="CD176"/>
      <c r="CE176"/>
      <c r="CF176"/>
    </row>
    <row r="177" spans="1:84" s="63" customFormat="1" x14ac:dyDescent="0.25">
      <c r="A177" s="61">
        <v>2067</v>
      </c>
      <c r="B177" s="62">
        <f>$B$7*Yield!I50</f>
        <v>0</v>
      </c>
      <c r="C177" s="62">
        <f>$C$7*Yield!I49</f>
        <v>0</v>
      </c>
      <c r="D177" s="62">
        <f>$D$7*Yield!I48</f>
        <v>0</v>
      </c>
      <c r="E177" s="62">
        <f ca="1">$E$7*Yield!I47</f>
        <v>0</v>
      </c>
      <c r="F177" s="62">
        <f>$F$7*Yield!I46</f>
        <v>0</v>
      </c>
      <c r="G177" s="62">
        <f>$G$7*Yield!I45</f>
        <v>0</v>
      </c>
      <c r="H177" s="62">
        <f>$H$7*Yield!I44</f>
        <v>0</v>
      </c>
      <c r="I177" s="62">
        <f>$I$7*Yield!I43</f>
        <v>0</v>
      </c>
      <c r="J177" s="62">
        <f>$J$7*Yield!I42</f>
        <v>0</v>
      </c>
      <c r="K177" s="62">
        <f>$K$7*Yield!I41</f>
        <v>0</v>
      </c>
      <c r="L177" s="62">
        <f>$L$7*Yield!I40</f>
        <v>0</v>
      </c>
      <c r="M177" s="62">
        <f>$M$7*Yield!I39</f>
        <v>0</v>
      </c>
      <c r="N177" s="62">
        <f>$N$7*Yield!I38</f>
        <v>0</v>
      </c>
      <c r="O177" s="62">
        <f>$O$7*Yield!I37</f>
        <v>0</v>
      </c>
      <c r="P177" s="62">
        <f>$P$7*Yield!I36</f>
        <v>0</v>
      </c>
      <c r="Q177" s="62">
        <f>$Q$7*Yield!I35</f>
        <v>0</v>
      </c>
      <c r="R177" s="62">
        <f>$R$7*Yield!I34</f>
        <v>0</v>
      </c>
      <c r="S177" s="62">
        <f>$S$7*Yield!I33</f>
        <v>0</v>
      </c>
      <c r="T177" s="62">
        <f>$T$7*Yield!I32</f>
        <v>0</v>
      </c>
      <c r="U177" s="62">
        <f>$U$7*Yield!I31</f>
        <v>0</v>
      </c>
      <c r="V177" s="62">
        <f>$V$7*Yield!I30</f>
        <v>0</v>
      </c>
      <c r="W177" s="62">
        <f>$W$7*Yield!I29</f>
        <v>0</v>
      </c>
      <c r="X177" s="62">
        <f>$X$7*Yield!I28</f>
        <v>0</v>
      </c>
      <c r="Y177" s="62">
        <f>$Y$7*Yield!I27</f>
        <v>0</v>
      </c>
      <c r="Z177" s="62">
        <f>$Z$7*Yield!I26</f>
        <v>0</v>
      </c>
      <c r="AA177" s="62">
        <f>$AA$7*Yield!I25</f>
        <v>0</v>
      </c>
      <c r="AB177" s="62">
        <f>$AB$7*Yield!I24</f>
        <v>0</v>
      </c>
      <c r="AC177" s="62">
        <f>$AC$7*Yield!I23</f>
        <v>0</v>
      </c>
      <c r="AD177" s="62">
        <f>AD$7*Yield!I22</f>
        <v>0</v>
      </c>
      <c r="AE177" s="62">
        <f>AE$7*Yield!I21</f>
        <v>0</v>
      </c>
      <c r="AF177" s="62">
        <f>AF$7*Yield!I20</f>
        <v>-0.72273289365099291</v>
      </c>
      <c r="AG177" s="62">
        <f>AG$7*Yield!I19</f>
        <v>-0.70118638484953721</v>
      </c>
      <c r="AH177" s="62">
        <f>AH$7*Yield!I18</f>
        <v>-0.67578280769520438</v>
      </c>
      <c r="AI177" s="62">
        <f>AI$7*Yield!I17</f>
        <v>-0.64004693173040217</v>
      </c>
      <c r="AJ177" s="62">
        <f>AJ$7*Yield!I16</f>
        <v>-0.60761412307392226</v>
      </c>
      <c r="AK177" s="62">
        <f>AK$7*Yield!I15</f>
        <v>-0.57786315212020456</v>
      </c>
      <c r="AL177" s="62">
        <f>AL$7*Yield!I14</f>
        <v>-0.63337885905558056</v>
      </c>
      <c r="AM177" s="62">
        <f>AM$7*Yield!I13</f>
        <v>-0.68995441211162556</v>
      </c>
      <c r="AN177" s="62">
        <f>AN$7*Yield!I12</f>
        <v>-0.80116592515948415</v>
      </c>
      <c r="AO177" s="62">
        <f>AO$7*Yield!I11</f>
        <v>-0.83435613327670632</v>
      </c>
      <c r="AP177" s="62">
        <f>AP$7*Yield!I10</f>
        <v>-0.74437978900682078</v>
      </c>
      <c r="AQ177" s="62">
        <f>AQ$7*Yield!I9</f>
        <v>-0.5525581007429976</v>
      </c>
      <c r="AR177" s="62">
        <f>AR$7*Yield!I8</f>
        <v>-0.32619797727962435</v>
      </c>
      <c r="AS177" s="62">
        <f>AS$7*Yield!I7</f>
        <v>-9.3264482085815101E-2</v>
      </c>
      <c r="AT177" s="62">
        <f>AT$7*Yield!I6</f>
        <v>-3.7323384774125098E-2</v>
      </c>
      <c r="AU177" s="62">
        <f>AU$7*Yield!I5</f>
        <v>-8.7603969519264302E-3</v>
      </c>
      <c r="AV177" s="62"/>
      <c r="AW177" s="62"/>
      <c r="AX177" s="62"/>
      <c r="AY177" s="62"/>
      <c r="AZ177" s="62"/>
      <c r="BA177" s="62"/>
      <c r="BB177" s="62"/>
      <c r="BC177" s="62"/>
      <c r="BD177" s="62"/>
      <c r="BE177" s="62"/>
      <c r="BF177" s="62"/>
      <c r="BG177" s="62"/>
      <c r="BH177" s="62"/>
      <c r="BI177" s="23"/>
      <c r="BJ177" s="61">
        <v>2067</v>
      </c>
      <c r="BK177" s="60">
        <f t="shared" ca="1" si="19"/>
        <v>-8.6465657535649694</v>
      </c>
      <c r="BL177" s="59"/>
      <c r="BM177" s="59"/>
      <c r="BN177" s="59"/>
      <c r="BO177"/>
      <c r="BP177"/>
      <c r="BQ177"/>
      <c r="BR177"/>
      <c r="BS177"/>
      <c r="BT177"/>
      <c r="BU177"/>
      <c r="BV177"/>
      <c r="BW177"/>
      <c r="BX177"/>
      <c r="BY177"/>
      <c r="BZ177"/>
      <c r="CA177"/>
      <c r="CB177"/>
      <c r="CC177"/>
      <c r="CD177"/>
      <c r="CE177"/>
      <c r="CF177"/>
    </row>
    <row r="178" spans="1:84" s="63" customFormat="1" x14ac:dyDescent="0.25">
      <c r="A178" s="61">
        <v>2068</v>
      </c>
      <c r="B178" s="62">
        <f>$B$7*Yield!I51</f>
        <v>0</v>
      </c>
      <c r="C178" s="62">
        <f>$C$7*Yield!I50</f>
        <v>0</v>
      </c>
      <c r="D178" s="62">
        <f>$D$7*Yield!I49</f>
        <v>0</v>
      </c>
      <c r="E178" s="62">
        <f ca="1">$E$7*Yield!I48</f>
        <v>0</v>
      </c>
      <c r="F178" s="62">
        <f>$F$7*Yield!I47</f>
        <v>0</v>
      </c>
      <c r="G178" s="62">
        <f>$G$7*Yield!I46</f>
        <v>0</v>
      </c>
      <c r="H178" s="62">
        <f>$H$7*Yield!I45</f>
        <v>0</v>
      </c>
      <c r="I178" s="62">
        <f>$I$7*Yield!I44</f>
        <v>0</v>
      </c>
      <c r="J178" s="62">
        <f>$J$7*Yield!I43</f>
        <v>0</v>
      </c>
      <c r="K178" s="62">
        <f>$K$7*Yield!I42</f>
        <v>0</v>
      </c>
      <c r="L178" s="62">
        <f>$L$7*Yield!I41</f>
        <v>0</v>
      </c>
      <c r="M178" s="62">
        <f>$M$7*Yield!I40</f>
        <v>0</v>
      </c>
      <c r="N178" s="62">
        <f>$N$7*Yield!I39</f>
        <v>0</v>
      </c>
      <c r="O178" s="62">
        <f>$O$7*Yield!I38</f>
        <v>0</v>
      </c>
      <c r="P178" s="62">
        <f>$P$7*Yield!I37</f>
        <v>0</v>
      </c>
      <c r="Q178" s="62">
        <f>$Q$7*Yield!I36</f>
        <v>0</v>
      </c>
      <c r="R178" s="62">
        <f>$R$7*Yield!I35</f>
        <v>0</v>
      </c>
      <c r="S178" s="62">
        <f>$S$7*Yield!I34</f>
        <v>0</v>
      </c>
      <c r="T178" s="62">
        <f>$T$7*Yield!I33</f>
        <v>0</v>
      </c>
      <c r="U178" s="62">
        <f>$U$7*Yield!I32</f>
        <v>0</v>
      </c>
      <c r="V178" s="62">
        <f>$V$7*Yield!I31</f>
        <v>0</v>
      </c>
      <c r="W178" s="62">
        <f>$W$7*Yield!I30</f>
        <v>0</v>
      </c>
      <c r="X178" s="62">
        <f>$X$7*Yield!I29</f>
        <v>0</v>
      </c>
      <c r="Y178" s="62">
        <f>$Y$7*Yield!I28</f>
        <v>0</v>
      </c>
      <c r="Z178" s="62">
        <f>$Z$7*Yield!I27</f>
        <v>0</v>
      </c>
      <c r="AA178" s="62">
        <f>$AA$7*Yield!I26</f>
        <v>0</v>
      </c>
      <c r="AB178" s="62">
        <f>$AB$7*Yield!I25</f>
        <v>0</v>
      </c>
      <c r="AC178" s="62">
        <f>$AC$7*Yield!I24</f>
        <v>0</v>
      </c>
      <c r="AD178" s="62">
        <f>AD$7*Yield!I23</f>
        <v>0</v>
      </c>
      <c r="AE178" s="62">
        <f>AE$7*Yield!I22</f>
        <v>0</v>
      </c>
      <c r="AF178" s="62">
        <f>AF$7*Yield!I21</f>
        <v>0</v>
      </c>
      <c r="AG178" s="62">
        <f>AG$7*Yield!I20</f>
        <v>-0.72273289365099291</v>
      </c>
      <c r="AH178" s="62">
        <f>AH$7*Yield!I19</f>
        <v>-0.70118638484953721</v>
      </c>
      <c r="AI178" s="62">
        <f>AI$7*Yield!I18</f>
        <v>-0.67578280769520438</v>
      </c>
      <c r="AJ178" s="62">
        <f>AJ$7*Yield!I17</f>
        <v>-0.64004693173040217</v>
      </c>
      <c r="AK178" s="62">
        <f>AK$7*Yield!I16</f>
        <v>-0.60761412307392226</v>
      </c>
      <c r="AL178" s="62">
        <f>AL$7*Yield!I15</f>
        <v>-0.57786315212020456</v>
      </c>
      <c r="AM178" s="62">
        <f>AM$7*Yield!I14</f>
        <v>-0.63337885905558056</v>
      </c>
      <c r="AN178" s="62">
        <f>AN$7*Yield!I13</f>
        <v>-0.68995441211162556</v>
      </c>
      <c r="AO178" s="62">
        <f>AO$7*Yield!I12</f>
        <v>-0.80116592515948415</v>
      </c>
      <c r="AP178" s="62">
        <f>AP$7*Yield!I11</f>
        <v>-0.83435613327670632</v>
      </c>
      <c r="AQ178" s="62">
        <f>AQ$7*Yield!I10</f>
        <v>-0.74437978900682078</v>
      </c>
      <c r="AR178" s="62">
        <f>AR$7*Yield!I9</f>
        <v>-0.5525581007429976</v>
      </c>
      <c r="AS178" s="62">
        <f>AS$7*Yield!I8</f>
        <v>-0.32619797727962435</v>
      </c>
      <c r="AT178" s="62">
        <f>AT$7*Yield!I7</f>
        <v>-9.3264482085815101E-2</v>
      </c>
      <c r="AU178" s="62">
        <f>AU$7*Yield!I6</f>
        <v>-3.7323384774125098E-2</v>
      </c>
      <c r="AV178" s="62">
        <f>AV$7*Yield!I5</f>
        <v>-8.7603969519264302E-3</v>
      </c>
      <c r="AW178" s="62"/>
      <c r="AX178" s="62"/>
      <c r="AY178" s="62"/>
      <c r="AZ178" s="62"/>
      <c r="BA178" s="62"/>
      <c r="BB178" s="62"/>
      <c r="BC178" s="62"/>
      <c r="BD178" s="62"/>
      <c r="BE178" s="62"/>
      <c r="BF178" s="62"/>
      <c r="BG178" s="62"/>
      <c r="BH178" s="62"/>
      <c r="BI178" s="23"/>
      <c r="BJ178" s="61">
        <v>2068</v>
      </c>
      <c r="BK178" s="60">
        <f t="shared" ca="1" si="19"/>
        <v>-8.6465657535649694</v>
      </c>
      <c r="BL178" s="59"/>
      <c r="BM178" s="59"/>
      <c r="BN178" s="59"/>
      <c r="BO178"/>
      <c r="BP178"/>
      <c r="BQ178"/>
      <c r="BR178"/>
      <c r="BS178"/>
      <c r="BT178"/>
      <c r="BU178"/>
      <c r="BV178"/>
      <c r="BW178"/>
      <c r="BX178"/>
      <c r="BY178"/>
      <c r="BZ178"/>
      <c r="CA178"/>
      <c r="CB178"/>
      <c r="CC178"/>
      <c r="CD178"/>
      <c r="CE178"/>
      <c r="CF178"/>
    </row>
    <row r="179" spans="1:84" s="63" customFormat="1" x14ac:dyDescent="0.25">
      <c r="A179" s="61">
        <v>2069</v>
      </c>
      <c r="B179" s="62">
        <f>$B$7*Yield!I52</f>
        <v>0</v>
      </c>
      <c r="C179" s="62">
        <f>$C$7*Yield!I51</f>
        <v>0</v>
      </c>
      <c r="D179" s="62">
        <f>$D$7*Yield!I50</f>
        <v>0</v>
      </c>
      <c r="E179" s="62">
        <f ca="1">$E$7*Yield!I49</f>
        <v>0</v>
      </c>
      <c r="F179" s="62">
        <f>$F$7*Yield!I48</f>
        <v>0</v>
      </c>
      <c r="G179" s="62">
        <f>$G$7*Yield!I47</f>
        <v>0</v>
      </c>
      <c r="H179" s="62">
        <f>$H$7*Yield!I46</f>
        <v>0</v>
      </c>
      <c r="I179" s="62">
        <f>$I$7*Yield!I45</f>
        <v>0</v>
      </c>
      <c r="J179" s="62">
        <f>$J$7*Yield!I44</f>
        <v>0</v>
      </c>
      <c r="K179" s="62">
        <f>$K$7*Yield!I43</f>
        <v>0</v>
      </c>
      <c r="L179" s="62">
        <f>$L$7*Yield!I42</f>
        <v>0</v>
      </c>
      <c r="M179" s="62">
        <f>$M$7*Yield!I41</f>
        <v>0</v>
      </c>
      <c r="N179" s="62">
        <f>$N$7*Yield!I40</f>
        <v>0</v>
      </c>
      <c r="O179" s="62">
        <f>$O$7*Yield!I39</f>
        <v>0</v>
      </c>
      <c r="P179" s="62">
        <f>$P$7*Yield!I38</f>
        <v>0</v>
      </c>
      <c r="Q179" s="62">
        <f>$Q$7*Yield!I37</f>
        <v>0</v>
      </c>
      <c r="R179" s="62">
        <f>$R$7*Yield!I36</f>
        <v>0</v>
      </c>
      <c r="S179" s="62">
        <f>$S$7*Yield!I35</f>
        <v>0</v>
      </c>
      <c r="T179" s="62">
        <f>$T$7*Yield!I34</f>
        <v>0</v>
      </c>
      <c r="U179" s="62">
        <f>$U$7*Yield!I33</f>
        <v>0</v>
      </c>
      <c r="V179" s="62">
        <f>$V$7*Yield!I32</f>
        <v>0</v>
      </c>
      <c r="W179" s="62">
        <f>$W$7*Yield!I31</f>
        <v>0</v>
      </c>
      <c r="X179" s="62">
        <f>$X$7*Yield!I30</f>
        <v>0</v>
      </c>
      <c r="Y179" s="62">
        <f>$Y$7*Yield!I29</f>
        <v>0</v>
      </c>
      <c r="Z179" s="62">
        <f>$Z$7*Yield!I28</f>
        <v>0</v>
      </c>
      <c r="AA179" s="62">
        <f>$AA$7*Yield!I27</f>
        <v>0</v>
      </c>
      <c r="AB179" s="62">
        <f>$AB$7*Yield!I26</f>
        <v>0</v>
      </c>
      <c r="AC179" s="62">
        <f>$AC$7*Yield!I25</f>
        <v>0</v>
      </c>
      <c r="AD179" s="62">
        <f>AD$7*Yield!I24</f>
        <v>0</v>
      </c>
      <c r="AE179" s="62">
        <f>AE$7*Yield!I23</f>
        <v>0</v>
      </c>
      <c r="AF179" s="62">
        <f>AF$7*Yield!I22</f>
        <v>0</v>
      </c>
      <c r="AG179" s="62">
        <f>AG$7*Yield!I21</f>
        <v>0</v>
      </c>
      <c r="AH179" s="62">
        <f>AH$7*Yield!I20</f>
        <v>-0.72273289365099291</v>
      </c>
      <c r="AI179" s="62">
        <f>AI$7*Yield!I19</f>
        <v>-0.70118638484953721</v>
      </c>
      <c r="AJ179" s="62">
        <f>AJ$7*Yield!I18</f>
        <v>-0.67578280769520438</v>
      </c>
      <c r="AK179" s="62">
        <f>AK$7*Yield!I17</f>
        <v>-0.64004693173040217</v>
      </c>
      <c r="AL179" s="62">
        <f>AL$7*Yield!I16</f>
        <v>-0.60761412307392226</v>
      </c>
      <c r="AM179" s="62">
        <f>AM$7*Yield!I15</f>
        <v>-0.57786315212020456</v>
      </c>
      <c r="AN179" s="62">
        <f>AN$7*Yield!I14</f>
        <v>-0.63337885905558056</v>
      </c>
      <c r="AO179" s="62">
        <f>AO$7*Yield!I13</f>
        <v>-0.68995441211162556</v>
      </c>
      <c r="AP179" s="62">
        <f>AP$7*Yield!I12</f>
        <v>-0.80116592515948415</v>
      </c>
      <c r="AQ179" s="62">
        <f>AQ$7*Yield!I11</f>
        <v>-0.83435613327670632</v>
      </c>
      <c r="AR179" s="62">
        <f>AR$7*Yield!I10</f>
        <v>-0.74437978900682078</v>
      </c>
      <c r="AS179" s="62">
        <f>AS$7*Yield!I9</f>
        <v>-0.5525581007429976</v>
      </c>
      <c r="AT179" s="62">
        <f>AT$7*Yield!I8</f>
        <v>-0.32619797727962435</v>
      </c>
      <c r="AU179" s="62">
        <f>AU$7*Yield!I7</f>
        <v>-9.3264482085815101E-2</v>
      </c>
      <c r="AV179" s="62">
        <f>AV$7*Yield!I6</f>
        <v>-3.7323384774125098E-2</v>
      </c>
      <c r="AW179" s="62">
        <f>AW$7*Yield!I5</f>
        <v>-8.7603969519264302E-3</v>
      </c>
      <c r="AX179" s="62"/>
      <c r="AY179" s="62"/>
      <c r="AZ179" s="62"/>
      <c r="BA179" s="62"/>
      <c r="BB179" s="62"/>
      <c r="BC179" s="62"/>
      <c r="BD179" s="62"/>
      <c r="BE179" s="62"/>
      <c r="BF179" s="62"/>
      <c r="BG179" s="62"/>
      <c r="BH179" s="62"/>
      <c r="BI179" s="23"/>
      <c r="BJ179" s="61">
        <v>2069</v>
      </c>
      <c r="BK179" s="60">
        <f t="shared" ca="1" si="19"/>
        <v>-8.6465657535649694</v>
      </c>
      <c r="BL179" s="59"/>
      <c r="BM179" s="59"/>
      <c r="BN179" s="59"/>
      <c r="BO179"/>
      <c r="BP179"/>
      <c r="BQ179"/>
      <c r="BR179"/>
      <c r="BS179"/>
      <c r="BT179"/>
      <c r="BU179"/>
      <c r="BV179"/>
      <c r="BW179"/>
      <c r="BX179"/>
      <c r="BY179"/>
      <c r="BZ179"/>
      <c r="CA179"/>
      <c r="CB179"/>
      <c r="CC179"/>
      <c r="CD179"/>
      <c r="CE179"/>
      <c r="CF179"/>
    </row>
    <row r="180" spans="1:84" s="63" customFormat="1" x14ac:dyDescent="0.25">
      <c r="A180" s="61">
        <v>2070</v>
      </c>
      <c r="B180" s="62">
        <f>$B$7*Yield!I53</f>
        <v>0</v>
      </c>
      <c r="C180" s="62">
        <f>$C$7*Yield!I52</f>
        <v>0</v>
      </c>
      <c r="D180" s="62">
        <f>$D$7*Yield!I51</f>
        <v>0</v>
      </c>
      <c r="E180" s="62">
        <f ca="1">$E$7*Yield!I50</f>
        <v>0</v>
      </c>
      <c r="F180" s="62">
        <f>$F$7*Yield!I49</f>
        <v>0</v>
      </c>
      <c r="G180" s="62">
        <f>$G$7*Yield!I48</f>
        <v>0</v>
      </c>
      <c r="H180" s="62">
        <f>$H$7*Yield!I47</f>
        <v>0</v>
      </c>
      <c r="I180" s="62">
        <f>$I$7*Yield!I46</f>
        <v>0</v>
      </c>
      <c r="J180" s="62">
        <f>$J$7*Yield!I45</f>
        <v>0</v>
      </c>
      <c r="K180" s="62">
        <f>$K$7*Yield!I44</f>
        <v>0</v>
      </c>
      <c r="L180" s="62">
        <f>$L$7*Yield!I43</f>
        <v>0</v>
      </c>
      <c r="M180" s="62">
        <f>$M$7*Yield!I42</f>
        <v>0</v>
      </c>
      <c r="N180" s="62">
        <f>$N$7*Yield!I41</f>
        <v>0</v>
      </c>
      <c r="O180" s="62">
        <f>$O$7*Yield!I40</f>
        <v>0</v>
      </c>
      <c r="P180" s="62">
        <f>$P$7*Yield!I39</f>
        <v>0</v>
      </c>
      <c r="Q180" s="62">
        <f>$Q$7*Yield!I38</f>
        <v>0</v>
      </c>
      <c r="R180" s="62">
        <f>$R$7*Yield!I37</f>
        <v>0</v>
      </c>
      <c r="S180" s="62">
        <f>$S$7*Yield!I36</f>
        <v>0</v>
      </c>
      <c r="T180" s="62">
        <f>$T$7*Yield!I35</f>
        <v>0</v>
      </c>
      <c r="U180" s="62">
        <f>$U$7*Yield!I34</f>
        <v>0</v>
      </c>
      <c r="V180" s="62">
        <f>$V$7*Yield!I33</f>
        <v>0</v>
      </c>
      <c r="W180" s="62">
        <f>$W$7*Yield!I32</f>
        <v>0</v>
      </c>
      <c r="X180" s="62">
        <f>$X$7*Yield!I31</f>
        <v>0</v>
      </c>
      <c r="Y180" s="62">
        <f>$Y$7*Yield!I30</f>
        <v>0</v>
      </c>
      <c r="Z180" s="62">
        <f>$Z$7*Yield!I29</f>
        <v>0</v>
      </c>
      <c r="AA180" s="62">
        <f>$AA$7*Yield!I28</f>
        <v>0</v>
      </c>
      <c r="AB180" s="62">
        <f>$AB$7*Yield!I27</f>
        <v>0</v>
      </c>
      <c r="AC180" s="62">
        <f>$AC$7*Yield!I26</f>
        <v>0</v>
      </c>
      <c r="AD180" s="62">
        <f>AD$7*Yield!I25</f>
        <v>0</v>
      </c>
      <c r="AE180" s="62">
        <f>AE$7*Yield!I24</f>
        <v>0</v>
      </c>
      <c r="AF180" s="62">
        <f>AF$7*Yield!I23</f>
        <v>0</v>
      </c>
      <c r="AG180" s="62">
        <f>AG$7*Yield!I22</f>
        <v>0</v>
      </c>
      <c r="AH180" s="62">
        <f>AH$7*Yield!I21</f>
        <v>0</v>
      </c>
      <c r="AI180" s="62">
        <f>AI$7*Yield!I20</f>
        <v>-0.72273289365099291</v>
      </c>
      <c r="AJ180" s="62">
        <f>AJ$7*Yield!I19</f>
        <v>-0.70118638484953721</v>
      </c>
      <c r="AK180" s="62">
        <f>AK$7*Yield!I18</f>
        <v>-0.67578280769520438</v>
      </c>
      <c r="AL180" s="62">
        <f>AL$7*Yield!I17</f>
        <v>-0.64004693173040217</v>
      </c>
      <c r="AM180" s="62">
        <f>AM$7*Yield!I16</f>
        <v>-0.60761412307392226</v>
      </c>
      <c r="AN180" s="62">
        <f>AN$7*Yield!I15</f>
        <v>-0.57786315212020456</v>
      </c>
      <c r="AO180" s="62">
        <f>AO$7*Yield!I14</f>
        <v>-0.63337885905558056</v>
      </c>
      <c r="AP180" s="62">
        <f>AP$7*Yield!I13</f>
        <v>-0.68995441211162556</v>
      </c>
      <c r="AQ180" s="62">
        <f>AQ$7*Yield!I12</f>
        <v>-0.80116592515948415</v>
      </c>
      <c r="AR180" s="62">
        <f>AR$7*Yield!I11</f>
        <v>-0.83435613327670632</v>
      </c>
      <c r="AS180" s="62">
        <f>AS$7*Yield!I10</f>
        <v>-0.74437978900682078</v>
      </c>
      <c r="AT180" s="62">
        <f>AT$7*Yield!I9</f>
        <v>-0.5525581007429976</v>
      </c>
      <c r="AU180" s="62">
        <f>AU$7*Yield!I8</f>
        <v>-0.32619797727962435</v>
      </c>
      <c r="AV180" s="62">
        <f>AV$7*Yield!I7</f>
        <v>-9.3264482085815101E-2</v>
      </c>
      <c r="AW180" s="62">
        <f>AW$7*Yield!I6</f>
        <v>-3.7323384774125098E-2</v>
      </c>
      <c r="AX180" s="62">
        <f>AX$7*Yield!I5</f>
        <v>-8.7603969519264302E-3</v>
      </c>
      <c r="AY180" s="62"/>
      <c r="AZ180" s="62"/>
      <c r="BA180" s="62"/>
      <c r="BB180" s="62"/>
      <c r="BC180" s="62"/>
      <c r="BD180" s="62"/>
      <c r="BE180" s="62"/>
      <c r="BF180" s="62"/>
      <c r="BG180" s="62"/>
      <c r="BH180" s="62"/>
      <c r="BI180" s="23"/>
      <c r="BJ180" s="61">
        <v>2070</v>
      </c>
      <c r="BK180" s="60">
        <f t="shared" ca="1" si="19"/>
        <v>-8.6465657535649694</v>
      </c>
      <c r="BL180" s="59"/>
      <c r="BM180" s="59"/>
      <c r="BN180" s="59"/>
      <c r="BO180"/>
      <c r="BP180"/>
      <c r="BQ180"/>
      <c r="BR180"/>
      <c r="BS180"/>
      <c r="BT180"/>
      <c r="BU180"/>
      <c r="BV180"/>
      <c r="BW180"/>
      <c r="BX180"/>
      <c r="BY180"/>
      <c r="BZ180"/>
      <c r="CA180"/>
      <c r="CB180"/>
      <c r="CC180"/>
      <c r="CD180"/>
      <c r="CE180"/>
      <c r="CF180"/>
    </row>
    <row r="181" spans="1:84" s="63" customFormat="1" x14ac:dyDescent="0.25">
      <c r="A181" s="61">
        <v>2071</v>
      </c>
      <c r="B181" s="62">
        <f>$B$7*Yield!I54</f>
        <v>0</v>
      </c>
      <c r="C181" s="62">
        <f>$C$7*Yield!I53</f>
        <v>0</v>
      </c>
      <c r="D181" s="62">
        <f>$D$7*Yield!I52</f>
        <v>0</v>
      </c>
      <c r="E181" s="62">
        <f ca="1">$E$7*Yield!I51</f>
        <v>0</v>
      </c>
      <c r="F181" s="62">
        <f>$F$7*Yield!I50</f>
        <v>0</v>
      </c>
      <c r="G181" s="62">
        <f>$G$7*Yield!I49</f>
        <v>0</v>
      </c>
      <c r="H181" s="62">
        <f>$H$7*Yield!I48</f>
        <v>0</v>
      </c>
      <c r="I181" s="62">
        <f>$I$7*Yield!I47</f>
        <v>0</v>
      </c>
      <c r="J181" s="62">
        <f>$J$7*Yield!I46</f>
        <v>0</v>
      </c>
      <c r="K181" s="62">
        <f>$K$7*Yield!I45</f>
        <v>0</v>
      </c>
      <c r="L181" s="62">
        <f>$L$7*Yield!I44</f>
        <v>0</v>
      </c>
      <c r="M181" s="62">
        <f>$M$7*Yield!I43</f>
        <v>0</v>
      </c>
      <c r="N181" s="62">
        <f>$N$7*Yield!I42</f>
        <v>0</v>
      </c>
      <c r="O181" s="62">
        <f>$O$7*Yield!I41</f>
        <v>0</v>
      </c>
      <c r="P181" s="62">
        <f>$P$7*Yield!I40</f>
        <v>0</v>
      </c>
      <c r="Q181" s="62">
        <f>$Q$7*Yield!I39</f>
        <v>0</v>
      </c>
      <c r="R181" s="62">
        <f>$R$7*Yield!I38</f>
        <v>0</v>
      </c>
      <c r="S181" s="62">
        <f>$S$7*Yield!I37</f>
        <v>0</v>
      </c>
      <c r="T181" s="62">
        <f>$T$7*Yield!I36</f>
        <v>0</v>
      </c>
      <c r="U181" s="62">
        <f>$U$7*Yield!I35</f>
        <v>0</v>
      </c>
      <c r="V181" s="62">
        <f>$V$7*Yield!I34</f>
        <v>0</v>
      </c>
      <c r="W181" s="62">
        <f>$W$7*Yield!I33</f>
        <v>0</v>
      </c>
      <c r="X181" s="62">
        <f>$X$7*Yield!I32</f>
        <v>0</v>
      </c>
      <c r="Y181" s="62">
        <f>$Y$7*Yield!I31</f>
        <v>0</v>
      </c>
      <c r="Z181" s="62">
        <f>$Z$7*Yield!I30</f>
        <v>0</v>
      </c>
      <c r="AA181" s="62">
        <f>$AA$7*Yield!I29</f>
        <v>0</v>
      </c>
      <c r="AB181" s="62">
        <f>$AB$7*Yield!I28</f>
        <v>0</v>
      </c>
      <c r="AC181" s="62">
        <f>$AC$7*Yield!I27</f>
        <v>0</v>
      </c>
      <c r="AD181" s="62">
        <f>AD$7*Yield!I26</f>
        <v>0</v>
      </c>
      <c r="AE181" s="62">
        <f>AE$7*Yield!I25</f>
        <v>0</v>
      </c>
      <c r="AF181" s="62">
        <f>AF$7*Yield!I24</f>
        <v>0</v>
      </c>
      <c r="AG181" s="62">
        <f>AG$7*Yield!I23</f>
        <v>0</v>
      </c>
      <c r="AH181" s="62">
        <f>AH$7*Yield!I22</f>
        <v>0</v>
      </c>
      <c r="AI181" s="62">
        <f>AI$7*Yield!I21</f>
        <v>0</v>
      </c>
      <c r="AJ181" s="62">
        <f>AJ$7*Yield!I20</f>
        <v>-0.72273289365099291</v>
      </c>
      <c r="AK181" s="62">
        <f>AK$7*Yield!I19</f>
        <v>-0.70118638484953721</v>
      </c>
      <c r="AL181" s="62">
        <f>AL$7*Yield!I18</f>
        <v>-0.67578280769520438</v>
      </c>
      <c r="AM181" s="62">
        <f>AM$7*Yield!I17</f>
        <v>-0.64004693173040217</v>
      </c>
      <c r="AN181" s="62">
        <f>AN$7*Yield!I16</f>
        <v>-0.60761412307392226</v>
      </c>
      <c r="AO181" s="62">
        <f>AO$7*Yield!I15</f>
        <v>-0.57786315212020456</v>
      </c>
      <c r="AP181" s="62">
        <f>AP$7*Yield!I14</f>
        <v>-0.63337885905558056</v>
      </c>
      <c r="AQ181" s="62">
        <f>AQ$7*Yield!I13</f>
        <v>-0.68995441211162556</v>
      </c>
      <c r="AR181" s="62">
        <f>AR$7*Yield!I12</f>
        <v>-0.80116592515948415</v>
      </c>
      <c r="AS181" s="62">
        <f>AS$7*Yield!I11</f>
        <v>-0.83435613327670632</v>
      </c>
      <c r="AT181" s="62">
        <f>AT$7*Yield!I10</f>
        <v>-0.74437978900682078</v>
      </c>
      <c r="AU181" s="62">
        <f>AU$7*Yield!I9</f>
        <v>-0.5525581007429976</v>
      </c>
      <c r="AV181" s="62">
        <f>AV$7*Yield!I8</f>
        <v>-0.32619797727962435</v>
      </c>
      <c r="AW181" s="62">
        <f>AW$7*Yield!I7</f>
        <v>-9.3264482085815101E-2</v>
      </c>
      <c r="AX181" s="62">
        <f>AX$7*Yield!I6</f>
        <v>-3.7323384774125098E-2</v>
      </c>
      <c r="AY181" s="62">
        <f>AY$7*Yield!I5</f>
        <v>-8.7603969519264302E-3</v>
      </c>
      <c r="AZ181" s="62"/>
      <c r="BA181" s="62"/>
      <c r="BB181" s="62"/>
      <c r="BC181" s="62"/>
      <c r="BD181" s="62"/>
      <c r="BE181" s="62"/>
      <c r="BF181" s="62"/>
      <c r="BG181" s="62"/>
      <c r="BH181" s="62"/>
      <c r="BI181" s="23"/>
      <c r="BJ181" s="61">
        <v>2071</v>
      </c>
      <c r="BK181" s="60">
        <f t="shared" ca="1" si="19"/>
        <v>-8.6465657535649694</v>
      </c>
      <c r="BL181" s="59"/>
      <c r="BM181" s="59"/>
      <c r="BN181" s="59"/>
      <c r="BO181"/>
      <c r="BP181"/>
      <c r="BQ181"/>
      <c r="BR181"/>
      <c r="BS181"/>
      <c r="BT181"/>
      <c r="BU181"/>
      <c r="BV181"/>
      <c r="BW181"/>
      <c r="BX181"/>
      <c r="BY181"/>
      <c r="BZ181"/>
      <c r="CA181"/>
      <c r="CB181"/>
      <c r="CC181"/>
      <c r="CD181"/>
      <c r="CE181"/>
      <c r="CF181"/>
    </row>
    <row r="182" spans="1:84" s="63" customFormat="1" x14ac:dyDescent="0.25">
      <c r="A182" s="61">
        <v>2072</v>
      </c>
      <c r="B182" s="62">
        <f>$B$7*Yield!I55</f>
        <v>0</v>
      </c>
      <c r="C182" s="62">
        <f>$C$7*Yield!I54</f>
        <v>0</v>
      </c>
      <c r="D182" s="62">
        <f>$D$7*Yield!I53</f>
        <v>0</v>
      </c>
      <c r="E182" s="62">
        <f ca="1">$E$7*Yield!I52</f>
        <v>0</v>
      </c>
      <c r="F182" s="62">
        <f>$F$7*Yield!I51</f>
        <v>0</v>
      </c>
      <c r="G182" s="62">
        <f>$G$7*Yield!I50</f>
        <v>0</v>
      </c>
      <c r="H182" s="62">
        <f>$H$7*Yield!I49</f>
        <v>0</v>
      </c>
      <c r="I182" s="62">
        <f>$I$7*Yield!I48</f>
        <v>0</v>
      </c>
      <c r="J182" s="62">
        <f>$J$7*Yield!I47</f>
        <v>0</v>
      </c>
      <c r="K182" s="62">
        <f>$K$7*Yield!I46</f>
        <v>0</v>
      </c>
      <c r="L182" s="62">
        <f>$L$7*Yield!I45</f>
        <v>0</v>
      </c>
      <c r="M182" s="62">
        <f>$M$7*Yield!I44</f>
        <v>0</v>
      </c>
      <c r="N182" s="62">
        <f>$N$7*Yield!I43</f>
        <v>0</v>
      </c>
      <c r="O182" s="62">
        <f>$O$7*Yield!I42</f>
        <v>0</v>
      </c>
      <c r="P182" s="62">
        <f>$P$7*Yield!I41</f>
        <v>0</v>
      </c>
      <c r="Q182" s="62">
        <f>$Q$7*Yield!I40</f>
        <v>0</v>
      </c>
      <c r="R182" s="62">
        <f>$R$7*Yield!I39</f>
        <v>0</v>
      </c>
      <c r="S182" s="62">
        <f>$S$7*Yield!I38</f>
        <v>0</v>
      </c>
      <c r="T182" s="62">
        <f>$T$7*Yield!I37</f>
        <v>0</v>
      </c>
      <c r="U182" s="62">
        <f>$U$7*Yield!I36</f>
        <v>0</v>
      </c>
      <c r="V182" s="62">
        <f>$V$7*Yield!I35</f>
        <v>0</v>
      </c>
      <c r="W182" s="62">
        <f>$W$7*Yield!I34</f>
        <v>0</v>
      </c>
      <c r="X182" s="62">
        <f>$X$7*Yield!I33</f>
        <v>0</v>
      </c>
      <c r="Y182" s="62">
        <f>$Y$7*Yield!I32</f>
        <v>0</v>
      </c>
      <c r="Z182" s="62">
        <f>$Z$7*Yield!I31</f>
        <v>0</v>
      </c>
      <c r="AA182" s="62">
        <f>$AA$7*Yield!I30</f>
        <v>0</v>
      </c>
      <c r="AB182" s="62">
        <f>$AB$7*Yield!I29</f>
        <v>0</v>
      </c>
      <c r="AC182" s="62">
        <f>$AC$7*Yield!I28</f>
        <v>0</v>
      </c>
      <c r="AD182" s="62">
        <f>AD$7*Yield!I27</f>
        <v>0</v>
      </c>
      <c r="AE182" s="62">
        <f>AE$7*Yield!I26</f>
        <v>0</v>
      </c>
      <c r="AF182" s="62">
        <f>AF$7*Yield!I25</f>
        <v>0</v>
      </c>
      <c r="AG182" s="62">
        <f>AG$7*Yield!I24</f>
        <v>0</v>
      </c>
      <c r="AH182" s="62">
        <f>AH$7*Yield!I23</f>
        <v>0</v>
      </c>
      <c r="AI182" s="62">
        <f>AI$7*Yield!I22</f>
        <v>0</v>
      </c>
      <c r="AJ182" s="62">
        <f>AJ$7*Yield!I21</f>
        <v>0</v>
      </c>
      <c r="AK182" s="62">
        <f>AK$7*Yield!I20</f>
        <v>-0.72273289365099291</v>
      </c>
      <c r="AL182" s="62">
        <f>AL$7*Yield!I19</f>
        <v>-0.70118638484953721</v>
      </c>
      <c r="AM182" s="62">
        <f>AM$7*Yield!I18</f>
        <v>-0.67578280769520438</v>
      </c>
      <c r="AN182" s="62">
        <f>AN$7*Yield!I17</f>
        <v>-0.64004693173040217</v>
      </c>
      <c r="AO182" s="62">
        <f>AO$7*Yield!I16</f>
        <v>-0.60761412307392226</v>
      </c>
      <c r="AP182" s="62">
        <f>AP$7*Yield!I15</f>
        <v>-0.57786315212020456</v>
      </c>
      <c r="AQ182" s="62">
        <f>AQ$7*Yield!I14</f>
        <v>-0.63337885905558056</v>
      </c>
      <c r="AR182" s="62">
        <f>AR$7*Yield!I13</f>
        <v>-0.68995441211162556</v>
      </c>
      <c r="AS182" s="62">
        <f>AS$7*Yield!I12</f>
        <v>-0.80116592515948415</v>
      </c>
      <c r="AT182" s="62">
        <f>AT$7*Yield!I11</f>
        <v>-0.83435613327670632</v>
      </c>
      <c r="AU182" s="62">
        <f>AU$7*Yield!I10</f>
        <v>-0.74437978900682078</v>
      </c>
      <c r="AV182" s="62">
        <f>AV$7*Yield!I9</f>
        <v>-0.5525581007429976</v>
      </c>
      <c r="AW182" s="62">
        <f>AW$7*Yield!I8</f>
        <v>-0.32619797727962435</v>
      </c>
      <c r="AX182" s="62">
        <f>AX$7*Yield!I7</f>
        <v>-9.3264482085815101E-2</v>
      </c>
      <c r="AY182" s="62">
        <f>AY$7*Yield!I6</f>
        <v>-3.7323384774125098E-2</v>
      </c>
      <c r="AZ182" s="62">
        <f>AZ$7*Yield!I5</f>
        <v>-8.7603969519264302E-3</v>
      </c>
      <c r="BA182" s="62"/>
      <c r="BB182" s="62"/>
      <c r="BC182" s="62"/>
      <c r="BD182" s="62"/>
      <c r="BE182" s="62"/>
      <c r="BF182" s="62"/>
      <c r="BG182" s="62"/>
      <c r="BH182" s="62"/>
      <c r="BI182" s="23"/>
      <c r="BJ182" s="61">
        <v>2072</v>
      </c>
      <c r="BK182" s="60">
        <f t="shared" ca="1" si="19"/>
        <v>-8.6465657535649694</v>
      </c>
      <c r="BL182" s="59"/>
      <c r="BM182" s="59"/>
      <c r="BN182" s="59"/>
      <c r="BO182"/>
      <c r="BP182"/>
      <c r="BQ182"/>
      <c r="BR182"/>
      <c r="BS182"/>
      <c r="BT182"/>
      <c r="BU182"/>
      <c r="BV182"/>
      <c r="BW182"/>
      <c r="BX182"/>
      <c r="BY182"/>
      <c r="BZ182"/>
      <c r="CA182"/>
      <c r="CB182"/>
      <c r="CC182"/>
      <c r="CD182"/>
      <c r="CE182"/>
      <c r="CF182"/>
    </row>
    <row r="183" spans="1:84" s="63" customFormat="1" x14ac:dyDescent="0.25">
      <c r="A183" s="61">
        <v>2073</v>
      </c>
      <c r="B183" s="62">
        <f>$B$7*Yield!I56</f>
        <v>0</v>
      </c>
      <c r="C183" s="62">
        <f>$C$7*Yield!I55</f>
        <v>0</v>
      </c>
      <c r="D183" s="62">
        <f>$D$7*Yield!I54</f>
        <v>0</v>
      </c>
      <c r="E183" s="62">
        <f ca="1">$E$7*Yield!I53</f>
        <v>0</v>
      </c>
      <c r="F183" s="62">
        <f>$F$7*Yield!I52</f>
        <v>0</v>
      </c>
      <c r="G183" s="62">
        <f>$G$7*Yield!I51</f>
        <v>0</v>
      </c>
      <c r="H183" s="62">
        <f>$H$7*Yield!I50</f>
        <v>0</v>
      </c>
      <c r="I183" s="62">
        <f>$I$7*Yield!I49</f>
        <v>0</v>
      </c>
      <c r="J183" s="62">
        <f>$J$7*Yield!I48</f>
        <v>0</v>
      </c>
      <c r="K183" s="62">
        <f>$K$7*Yield!I47</f>
        <v>0</v>
      </c>
      <c r="L183" s="62">
        <f>$L$7*Yield!I46</f>
        <v>0</v>
      </c>
      <c r="M183" s="62">
        <f>$M$7*Yield!I45</f>
        <v>0</v>
      </c>
      <c r="N183" s="62">
        <f>$N$7*Yield!I44</f>
        <v>0</v>
      </c>
      <c r="O183" s="62">
        <f>$O$7*Yield!I43</f>
        <v>0</v>
      </c>
      <c r="P183" s="62">
        <f>$P$7*Yield!I42</f>
        <v>0</v>
      </c>
      <c r="Q183" s="62">
        <f>$Q$7*Yield!I41</f>
        <v>0</v>
      </c>
      <c r="R183" s="62">
        <f>$R$7*Yield!I40</f>
        <v>0</v>
      </c>
      <c r="S183" s="62">
        <f>$S$7*Yield!I39</f>
        <v>0</v>
      </c>
      <c r="T183" s="62">
        <f>$T$7*Yield!I38</f>
        <v>0</v>
      </c>
      <c r="U183" s="62">
        <f>$U$7*Yield!I37</f>
        <v>0</v>
      </c>
      <c r="V183" s="62">
        <f>$V$7*Yield!I36</f>
        <v>0</v>
      </c>
      <c r="W183" s="62">
        <f>$W$7*Yield!I35</f>
        <v>0</v>
      </c>
      <c r="X183" s="62">
        <f>$X$7*Yield!I34</f>
        <v>0</v>
      </c>
      <c r="Y183" s="62">
        <f>$Y$7*Yield!I33</f>
        <v>0</v>
      </c>
      <c r="Z183" s="62">
        <f>$Z$7*Yield!I32</f>
        <v>0</v>
      </c>
      <c r="AA183" s="62">
        <f>$AA$7*Yield!I31</f>
        <v>0</v>
      </c>
      <c r="AB183" s="62">
        <f>$AB$7*Yield!I30</f>
        <v>0</v>
      </c>
      <c r="AC183" s="62">
        <f>$AC$7*Yield!I29</f>
        <v>0</v>
      </c>
      <c r="AD183" s="62">
        <f>AD$7*Yield!I28</f>
        <v>0</v>
      </c>
      <c r="AE183" s="62">
        <f>AE$7*Yield!I27</f>
        <v>0</v>
      </c>
      <c r="AF183" s="62">
        <f>AF$7*Yield!I26</f>
        <v>0</v>
      </c>
      <c r="AG183" s="62">
        <f>AG$7*Yield!I25</f>
        <v>0</v>
      </c>
      <c r="AH183" s="62">
        <f>AH$7*Yield!I24</f>
        <v>0</v>
      </c>
      <c r="AI183" s="62">
        <f>AI$7*Yield!I23</f>
        <v>0</v>
      </c>
      <c r="AJ183" s="62">
        <f>AJ$7*Yield!I22</f>
        <v>0</v>
      </c>
      <c r="AK183" s="62">
        <f>AK$7*Yield!I21</f>
        <v>0</v>
      </c>
      <c r="AL183" s="62">
        <f>AL$7*Yield!I20</f>
        <v>-0.72273289365099291</v>
      </c>
      <c r="AM183" s="62">
        <f>AM$7*Yield!I19</f>
        <v>-0.70118638484953721</v>
      </c>
      <c r="AN183" s="62">
        <f>AN$7*Yield!I18</f>
        <v>-0.67578280769520438</v>
      </c>
      <c r="AO183" s="62">
        <f>AO$7*Yield!I17</f>
        <v>-0.64004693173040217</v>
      </c>
      <c r="AP183" s="62">
        <f>AP$7*Yield!I16</f>
        <v>-0.60761412307392226</v>
      </c>
      <c r="AQ183" s="62">
        <f>AQ$7*Yield!I15</f>
        <v>-0.57786315212020456</v>
      </c>
      <c r="AR183" s="62">
        <f>AR$7*Yield!I14</f>
        <v>-0.63337885905558056</v>
      </c>
      <c r="AS183" s="62">
        <f>AS$7*Yield!I13</f>
        <v>-0.68995441211162556</v>
      </c>
      <c r="AT183" s="62">
        <f>AT$7*Yield!I12</f>
        <v>-0.80116592515948415</v>
      </c>
      <c r="AU183" s="62">
        <f>AU$7*Yield!I11</f>
        <v>-0.83435613327670632</v>
      </c>
      <c r="AV183" s="62">
        <f>AV$7*Yield!I10</f>
        <v>-0.74437978900682078</v>
      </c>
      <c r="AW183" s="62">
        <f>AW$7*Yield!I9</f>
        <v>-0.5525581007429976</v>
      </c>
      <c r="AX183" s="62">
        <f>AX$7*Yield!I8</f>
        <v>-0.32619797727962435</v>
      </c>
      <c r="AY183" s="62">
        <f>AY$7*Yield!I7</f>
        <v>-9.3264482085815101E-2</v>
      </c>
      <c r="AZ183" s="62">
        <f>AZ$7*Yield!I6</f>
        <v>-3.7323384774125098E-2</v>
      </c>
      <c r="BA183" s="62">
        <f>BA$7*Yield!I5</f>
        <v>-8.7603969519264302E-3</v>
      </c>
      <c r="BB183" s="62"/>
      <c r="BC183" s="62"/>
      <c r="BD183" s="62"/>
      <c r="BE183" s="62"/>
      <c r="BF183" s="62"/>
      <c r="BG183" s="62"/>
      <c r="BH183" s="62"/>
      <c r="BI183" s="23"/>
      <c r="BJ183" s="61">
        <v>2073</v>
      </c>
      <c r="BK183" s="60">
        <f t="shared" ca="1" si="19"/>
        <v>-8.6465657535649694</v>
      </c>
      <c r="BL183" s="59"/>
      <c r="BM183" s="59"/>
      <c r="BN183" s="59"/>
      <c r="BO183"/>
      <c r="BP183"/>
      <c r="BQ183"/>
      <c r="BR183"/>
      <c r="BS183"/>
      <c r="BT183"/>
      <c r="BU183"/>
      <c r="BV183"/>
      <c r="BW183"/>
      <c r="BX183"/>
      <c r="BY183"/>
      <c r="BZ183"/>
      <c r="CA183"/>
      <c r="CB183"/>
      <c r="CC183"/>
      <c r="CD183"/>
      <c r="CE183"/>
      <c r="CF183"/>
    </row>
    <row r="184" spans="1:84" s="63" customFormat="1" x14ac:dyDescent="0.25">
      <c r="A184" s="61">
        <v>2074</v>
      </c>
      <c r="B184" s="62">
        <f>$B$7*Yield!I57</f>
        <v>0</v>
      </c>
      <c r="C184" s="62">
        <f>$C$7*Yield!I56</f>
        <v>0</v>
      </c>
      <c r="D184" s="62">
        <f>$D$7*Yield!I55</f>
        <v>0</v>
      </c>
      <c r="E184" s="62">
        <f ca="1">$E$7*Yield!I54</f>
        <v>0</v>
      </c>
      <c r="F184" s="62">
        <f>$F$7*Yield!I53</f>
        <v>0</v>
      </c>
      <c r="G184" s="62">
        <f>$G$7*Yield!I52</f>
        <v>0</v>
      </c>
      <c r="H184" s="62">
        <f>$H$7*Yield!I51</f>
        <v>0</v>
      </c>
      <c r="I184" s="62">
        <f>$I$7*Yield!I50</f>
        <v>0</v>
      </c>
      <c r="J184" s="62">
        <f>$J$7*Yield!I49</f>
        <v>0</v>
      </c>
      <c r="K184" s="62">
        <f>$K$7*Yield!I48</f>
        <v>0</v>
      </c>
      <c r="L184" s="62">
        <f>$L$7*Yield!I47</f>
        <v>0</v>
      </c>
      <c r="M184" s="62">
        <f>$M$7*Yield!I46</f>
        <v>0</v>
      </c>
      <c r="N184" s="62">
        <f>$N$7*Yield!I45</f>
        <v>0</v>
      </c>
      <c r="O184" s="62">
        <f>$O$7*Yield!I44</f>
        <v>0</v>
      </c>
      <c r="P184" s="62">
        <f>$P$7*Yield!I43</f>
        <v>0</v>
      </c>
      <c r="Q184" s="62">
        <f>$Q$7*Yield!I42</f>
        <v>0</v>
      </c>
      <c r="R184" s="62">
        <f>$R$7*Yield!I41</f>
        <v>0</v>
      </c>
      <c r="S184" s="62">
        <f>$S$7*Yield!I40</f>
        <v>0</v>
      </c>
      <c r="T184" s="62">
        <f>$T$7*Yield!I39</f>
        <v>0</v>
      </c>
      <c r="U184" s="62">
        <f>$U$7*Yield!I38</f>
        <v>0</v>
      </c>
      <c r="V184" s="62">
        <f>$V$7*Yield!I37</f>
        <v>0</v>
      </c>
      <c r="W184" s="62">
        <f>$W$7*Yield!I36</f>
        <v>0</v>
      </c>
      <c r="X184" s="62">
        <f>$X$7*Yield!I35</f>
        <v>0</v>
      </c>
      <c r="Y184" s="62">
        <f>$Y$7*Yield!I34</f>
        <v>0</v>
      </c>
      <c r="Z184" s="62">
        <f>$Z$7*Yield!I33</f>
        <v>0</v>
      </c>
      <c r="AA184" s="62">
        <f>$AA$7*Yield!I32</f>
        <v>0</v>
      </c>
      <c r="AB184" s="62">
        <f>$AB$7*Yield!I31</f>
        <v>0</v>
      </c>
      <c r="AC184" s="62">
        <f>$AC$7*Yield!I30</f>
        <v>0</v>
      </c>
      <c r="AD184" s="62">
        <f>AD$7*Yield!I29</f>
        <v>0</v>
      </c>
      <c r="AE184" s="62">
        <f>AE$7*Yield!I28</f>
        <v>0</v>
      </c>
      <c r="AF184" s="62">
        <f>AF$7*Yield!I27</f>
        <v>0</v>
      </c>
      <c r="AG184" s="62">
        <f>AG$7*Yield!I26</f>
        <v>0</v>
      </c>
      <c r="AH184" s="62">
        <f>AH$7*Yield!I25</f>
        <v>0</v>
      </c>
      <c r="AI184" s="62">
        <f>AI$7*Yield!I24</f>
        <v>0</v>
      </c>
      <c r="AJ184" s="62">
        <f>AJ$7*Yield!I23</f>
        <v>0</v>
      </c>
      <c r="AK184" s="62">
        <f>AK$7*Yield!I22</f>
        <v>0</v>
      </c>
      <c r="AL184" s="62">
        <f>AL$7*Yield!I21</f>
        <v>0</v>
      </c>
      <c r="AM184" s="62">
        <f>AM$7*Yield!I20</f>
        <v>-0.72273289365099291</v>
      </c>
      <c r="AN184" s="62">
        <f>AN$7*Yield!I19</f>
        <v>-0.70118638484953721</v>
      </c>
      <c r="AO184" s="62">
        <f>AO$7*Yield!I18</f>
        <v>-0.67578280769520438</v>
      </c>
      <c r="AP184" s="62">
        <f>AP$7*Yield!I17</f>
        <v>-0.64004693173040217</v>
      </c>
      <c r="AQ184" s="62">
        <f>AQ$7*Yield!I16</f>
        <v>-0.60761412307392226</v>
      </c>
      <c r="AR184" s="62">
        <f>AR$7*Yield!I15</f>
        <v>-0.57786315212020456</v>
      </c>
      <c r="AS184" s="62">
        <f>AS$7*Yield!I14</f>
        <v>-0.63337885905558056</v>
      </c>
      <c r="AT184" s="62">
        <f>AT$7*Yield!I13</f>
        <v>-0.68995441211162556</v>
      </c>
      <c r="AU184" s="62">
        <f>AU$7*Yield!I12</f>
        <v>-0.80116592515948415</v>
      </c>
      <c r="AV184" s="62">
        <f>AV$7*Yield!I11</f>
        <v>-0.83435613327670632</v>
      </c>
      <c r="AW184" s="62">
        <f>AW$7*Yield!I10</f>
        <v>-0.74437978900682078</v>
      </c>
      <c r="AX184" s="62">
        <f>AX$7*Yield!I9</f>
        <v>-0.5525581007429976</v>
      </c>
      <c r="AY184" s="62">
        <f>AY$7*Yield!I8</f>
        <v>-0.32619797727962435</v>
      </c>
      <c r="AZ184" s="62">
        <f>AZ$7*Yield!I7</f>
        <v>-9.3264482085815101E-2</v>
      </c>
      <c r="BA184" s="62">
        <f>BA$7*Yield!I6</f>
        <v>-3.7323384774125098E-2</v>
      </c>
      <c r="BB184" s="62">
        <f>BB$7*Yield!I5</f>
        <v>-8.7603969519264302E-3</v>
      </c>
      <c r="BC184" s="62"/>
      <c r="BD184" s="62"/>
      <c r="BE184" s="62"/>
      <c r="BF184" s="62"/>
      <c r="BG184" s="62"/>
      <c r="BH184" s="62"/>
      <c r="BI184" s="23"/>
      <c r="BJ184" s="61">
        <v>2074</v>
      </c>
      <c r="BK184" s="60">
        <f t="shared" ca="1" si="19"/>
        <v>-8.6465657535649694</v>
      </c>
      <c r="BL184" s="59"/>
      <c r="BM184" s="59"/>
      <c r="BN184" s="59"/>
      <c r="BO184"/>
      <c r="BP184"/>
      <c r="BQ184"/>
      <c r="BR184"/>
      <c r="BS184"/>
      <c r="BT184"/>
      <c r="BU184"/>
      <c r="BV184"/>
      <c r="BW184"/>
      <c r="BX184"/>
      <c r="BY184"/>
      <c r="BZ184"/>
      <c r="CA184"/>
      <c r="CB184"/>
      <c r="CC184"/>
      <c r="CD184"/>
      <c r="CE184"/>
      <c r="CF184"/>
    </row>
    <row r="185" spans="1:84" s="63" customFormat="1" x14ac:dyDescent="0.25">
      <c r="A185" s="61">
        <v>2075</v>
      </c>
      <c r="B185" s="62">
        <f>$B$7*Yield!I58</f>
        <v>0</v>
      </c>
      <c r="C185" s="62">
        <f>$C$7*Yield!I57</f>
        <v>0</v>
      </c>
      <c r="D185" s="62">
        <f>$D$7*Yield!I56</f>
        <v>0</v>
      </c>
      <c r="E185" s="62">
        <f ca="1">$E$7*Yield!I55</f>
        <v>0</v>
      </c>
      <c r="F185" s="62">
        <f>$F$7*Yield!I54</f>
        <v>0</v>
      </c>
      <c r="G185" s="62">
        <f>$G$7*Yield!I53</f>
        <v>0</v>
      </c>
      <c r="H185" s="62">
        <f>$H$7*Yield!I52</f>
        <v>0</v>
      </c>
      <c r="I185" s="62">
        <f>$I$7*Yield!I51</f>
        <v>0</v>
      </c>
      <c r="J185" s="62">
        <f>$J$7*Yield!I50</f>
        <v>0</v>
      </c>
      <c r="K185" s="62">
        <f>$K$7*Yield!I49</f>
        <v>0</v>
      </c>
      <c r="L185" s="62">
        <f>$L$7*Yield!I48</f>
        <v>0</v>
      </c>
      <c r="M185" s="62">
        <f>$M$7*Yield!I47</f>
        <v>0</v>
      </c>
      <c r="N185" s="62">
        <f>$N$7*Yield!I46</f>
        <v>0</v>
      </c>
      <c r="O185" s="62">
        <f>$O$7*Yield!I45</f>
        <v>0</v>
      </c>
      <c r="P185" s="62">
        <f>$P$7*Yield!I44</f>
        <v>0</v>
      </c>
      <c r="Q185" s="62">
        <f>$Q$7*Yield!I43</f>
        <v>0</v>
      </c>
      <c r="R185" s="62">
        <f>$R$7*Yield!I42</f>
        <v>0</v>
      </c>
      <c r="S185" s="62">
        <f>$S$7*Yield!I41</f>
        <v>0</v>
      </c>
      <c r="T185" s="62">
        <f>$T$7*Yield!I40</f>
        <v>0</v>
      </c>
      <c r="U185" s="62">
        <f>$U$7*Yield!I39</f>
        <v>0</v>
      </c>
      <c r="V185" s="62">
        <f>$V$7*Yield!I38</f>
        <v>0</v>
      </c>
      <c r="W185" s="62">
        <f>$W$7*Yield!I37</f>
        <v>0</v>
      </c>
      <c r="X185" s="62">
        <f>$X$7*Yield!I36</f>
        <v>0</v>
      </c>
      <c r="Y185" s="62">
        <f>$Y$7*Yield!I35</f>
        <v>0</v>
      </c>
      <c r="Z185" s="62">
        <f>$Z$7*Yield!I34</f>
        <v>0</v>
      </c>
      <c r="AA185" s="62">
        <f>$AA$7*Yield!I33</f>
        <v>0</v>
      </c>
      <c r="AB185" s="62">
        <f>$AB$7*Yield!I32</f>
        <v>0</v>
      </c>
      <c r="AC185" s="62">
        <f>$AC$7*Yield!I31</f>
        <v>0</v>
      </c>
      <c r="AD185" s="62">
        <f>AD$7*Yield!I30</f>
        <v>0</v>
      </c>
      <c r="AE185" s="62">
        <f>AE$7*Yield!I29</f>
        <v>0</v>
      </c>
      <c r="AF185" s="62">
        <f>AF$7*Yield!I28</f>
        <v>0</v>
      </c>
      <c r="AG185" s="62">
        <f>AG$7*Yield!I27</f>
        <v>0</v>
      </c>
      <c r="AH185" s="62">
        <f>AH$7*Yield!I26</f>
        <v>0</v>
      </c>
      <c r="AI185" s="62">
        <f>AI$7*Yield!I25</f>
        <v>0</v>
      </c>
      <c r="AJ185" s="62">
        <f>AJ$7*Yield!I24</f>
        <v>0</v>
      </c>
      <c r="AK185" s="62">
        <f>AK$7*Yield!I23</f>
        <v>0</v>
      </c>
      <c r="AL185" s="62">
        <f>AL$7*Yield!I22</f>
        <v>0</v>
      </c>
      <c r="AM185" s="62">
        <f>AM$7*Yield!I21</f>
        <v>0</v>
      </c>
      <c r="AN185" s="62">
        <f>AN$7*Yield!I20</f>
        <v>-0.72273289365099291</v>
      </c>
      <c r="AO185" s="62">
        <f>AO$7*Yield!I19</f>
        <v>-0.70118638484953721</v>
      </c>
      <c r="AP185" s="62">
        <f>AP$7*Yield!I18</f>
        <v>-0.67578280769520438</v>
      </c>
      <c r="AQ185" s="62">
        <f>AQ$7*Yield!I17</f>
        <v>-0.64004693173040217</v>
      </c>
      <c r="AR185" s="62">
        <f>AR$7*Yield!I16</f>
        <v>-0.60761412307392226</v>
      </c>
      <c r="AS185" s="62">
        <f>AS$7*Yield!I15</f>
        <v>-0.57786315212020456</v>
      </c>
      <c r="AT185" s="62">
        <f>AT$7*Yield!I14</f>
        <v>-0.63337885905558056</v>
      </c>
      <c r="AU185" s="62">
        <f>AU$7*Yield!I13</f>
        <v>-0.68995441211162556</v>
      </c>
      <c r="AV185" s="62">
        <f>AV$7*Yield!I12</f>
        <v>-0.80116592515948415</v>
      </c>
      <c r="AW185" s="62">
        <f>AW$7*Yield!I11</f>
        <v>-0.83435613327670632</v>
      </c>
      <c r="AX185" s="62">
        <f>AX$7*Yield!I10</f>
        <v>-0.74437978900682078</v>
      </c>
      <c r="AY185" s="62">
        <f>AY$7*Yield!I9</f>
        <v>-0.5525581007429976</v>
      </c>
      <c r="AZ185" s="62">
        <f>AZ$7*Yield!I8</f>
        <v>-0.32619797727962435</v>
      </c>
      <c r="BA185" s="62">
        <f>BA$7*Yield!I7</f>
        <v>-9.3264482085815101E-2</v>
      </c>
      <c r="BB185" s="62">
        <f>BB$7*Yield!I6</f>
        <v>-3.7323384774125098E-2</v>
      </c>
      <c r="BC185" s="62">
        <f>BC$7*Yield!I5</f>
        <v>-8.7603969519264302E-3</v>
      </c>
      <c r="BD185" s="62"/>
      <c r="BE185" s="62"/>
      <c r="BF185" s="62"/>
      <c r="BG185" s="62"/>
      <c r="BH185" s="62"/>
      <c r="BI185" s="23"/>
      <c r="BJ185" s="61">
        <v>2075</v>
      </c>
      <c r="BK185" s="60">
        <f t="shared" ca="1" si="19"/>
        <v>-8.6465657535649694</v>
      </c>
      <c r="BL185" s="59"/>
      <c r="BM185" s="59"/>
      <c r="BN185" s="59"/>
      <c r="BO185"/>
      <c r="BP185"/>
      <c r="BQ185"/>
      <c r="BR185"/>
      <c r="BS185"/>
      <c r="BT185"/>
      <c r="BU185"/>
      <c r="BV185"/>
      <c r="BW185"/>
      <c r="BX185"/>
      <c r="BY185"/>
      <c r="BZ185"/>
      <c r="CA185"/>
      <c r="CB185"/>
      <c r="CC185"/>
      <c r="CD185"/>
      <c r="CE185"/>
      <c r="CF185"/>
    </row>
    <row r="186" spans="1:84" x14ac:dyDescent="0.25">
      <c r="A186" s="61">
        <v>2076</v>
      </c>
      <c r="B186" s="62">
        <f>$B$7*Yield!I59</f>
        <v>0</v>
      </c>
      <c r="C186" s="62">
        <f>$C$7*Yield!I58</f>
        <v>0</v>
      </c>
      <c r="D186" s="62">
        <f>$D$7*Yield!I57</f>
        <v>0</v>
      </c>
      <c r="E186" s="62">
        <f ca="1">$E$7*Yield!I56</f>
        <v>0</v>
      </c>
      <c r="F186" s="62">
        <f>$F$7*Yield!I55</f>
        <v>0</v>
      </c>
      <c r="G186" s="62">
        <f>$G$7*Yield!I54</f>
        <v>0</v>
      </c>
      <c r="H186" s="62">
        <f>$H$7*Yield!I53</f>
        <v>0</v>
      </c>
      <c r="I186" s="62">
        <f>$I$7*Yield!I52</f>
        <v>0</v>
      </c>
      <c r="J186" s="62">
        <f>$J$7*Yield!I51</f>
        <v>0</v>
      </c>
      <c r="K186" s="62">
        <f>$K$7*Yield!I50</f>
        <v>0</v>
      </c>
      <c r="L186" s="62">
        <f>$L$7*Yield!I49</f>
        <v>0</v>
      </c>
      <c r="M186" s="62">
        <f>$M$7*Yield!I48</f>
        <v>0</v>
      </c>
      <c r="N186" s="62">
        <f>$N$7*Yield!I47</f>
        <v>0</v>
      </c>
      <c r="O186" s="62">
        <f>$O$7*Yield!I46</f>
        <v>0</v>
      </c>
      <c r="P186" s="62">
        <f>$P$7*Yield!I45</f>
        <v>0</v>
      </c>
      <c r="Q186" s="62">
        <f>$Q$7*Yield!I44</f>
        <v>0</v>
      </c>
      <c r="R186" s="62">
        <f>$R$7*Yield!I43</f>
        <v>0</v>
      </c>
      <c r="S186" s="62">
        <f>$S$7*Yield!I42</f>
        <v>0</v>
      </c>
      <c r="T186" s="62">
        <f>$T$7*Yield!I41</f>
        <v>0</v>
      </c>
      <c r="U186" s="62">
        <f>$U$7*Yield!I40</f>
        <v>0</v>
      </c>
      <c r="V186" s="62">
        <f>$V$7*Yield!I39</f>
        <v>0</v>
      </c>
      <c r="W186" s="62">
        <f>$W$7*Yield!I38</f>
        <v>0</v>
      </c>
      <c r="X186" s="62">
        <f>$X$7*Yield!I37</f>
        <v>0</v>
      </c>
      <c r="Y186" s="62">
        <f>$Y$7*Yield!I36</f>
        <v>0</v>
      </c>
      <c r="Z186" s="62">
        <f>$Z$7*Yield!I35</f>
        <v>0</v>
      </c>
      <c r="AA186" s="62">
        <f>$AA$7*Yield!I34</f>
        <v>0</v>
      </c>
      <c r="AB186" s="62">
        <f>$AB$7*Yield!I33</f>
        <v>0</v>
      </c>
      <c r="AC186" s="62">
        <f>$AC$7*Yield!I32</f>
        <v>0</v>
      </c>
      <c r="AD186" s="62">
        <f>AD$7*Yield!I31</f>
        <v>0</v>
      </c>
      <c r="AE186" s="62">
        <f>AE$7*Yield!I30</f>
        <v>0</v>
      </c>
      <c r="AF186" s="62">
        <f>AF$7*Yield!I29</f>
        <v>0</v>
      </c>
      <c r="AG186" s="62">
        <f>AG$7*Yield!I28</f>
        <v>0</v>
      </c>
      <c r="AH186" s="62">
        <f>AH$7*Yield!I27</f>
        <v>0</v>
      </c>
      <c r="AI186" s="62">
        <f>AI$7*Yield!I26</f>
        <v>0</v>
      </c>
      <c r="AJ186" s="62">
        <f>AJ$7*Yield!I25</f>
        <v>0</v>
      </c>
      <c r="AK186" s="62">
        <f>AK$7*Yield!I24</f>
        <v>0</v>
      </c>
      <c r="AL186" s="62">
        <f>AL$7*Yield!I23</f>
        <v>0</v>
      </c>
      <c r="AM186" s="62">
        <f>AM$7*Yield!I22</f>
        <v>0</v>
      </c>
      <c r="AN186" s="62">
        <f>AN$7*Yield!I21</f>
        <v>0</v>
      </c>
      <c r="AO186" s="62">
        <f>AO$7*Yield!I20</f>
        <v>-0.72273289365099291</v>
      </c>
      <c r="AP186" s="62">
        <f>AP$7*Yield!I19</f>
        <v>-0.70118638484953721</v>
      </c>
      <c r="AQ186" s="62">
        <f>AQ$7*Yield!I18</f>
        <v>-0.67578280769520438</v>
      </c>
      <c r="AR186" s="62">
        <f>AR$7*Yield!I17</f>
        <v>-0.64004693173040217</v>
      </c>
      <c r="AS186" s="62">
        <f>AS$7*Yield!I16</f>
        <v>-0.60761412307392226</v>
      </c>
      <c r="AT186" s="62">
        <f>AT$7*Yield!I15</f>
        <v>-0.57786315212020456</v>
      </c>
      <c r="AU186" s="62">
        <f>AU$7*Yield!I14</f>
        <v>-0.63337885905558056</v>
      </c>
      <c r="AV186" s="62">
        <f>AV$7*Yield!I13</f>
        <v>-0.68995441211162556</v>
      </c>
      <c r="AW186" s="62">
        <f>AW$7*Yield!I12</f>
        <v>-0.80116592515948415</v>
      </c>
      <c r="AX186" s="62">
        <f>AX$7*Yield!I11</f>
        <v>-0.83435613327670632</v>
      </c>
      <c r="AY186" s="62">
        <f>AY$7*Yield!I10</f>
        <v>-0.74437978900682078</v>
      </c>
      <c r="AZ186" s="62">
        <f>AZ$7*Yield!I9</f>
        <v>-0.5525581007429976</v>
      </c>
      <c r="BA186" s="62">
        <f>BA$7*Yield!I8</f>
        <v>-0.32619797727962435</v>
      </c>
      <c r="BB186" s="62">
        <f>BB$7*Yield!I7</f>
        <v>-9.3264482085815101E-2</v>
      </c>
      <c r="BC186" s="62">
        <f>BC$7*Yield!I6</f>
        <v>-3.7323384774125098E-2</v>
      </c>
      <c r="BD186" s="62">
        <f>BD$7*Yield!I5</f>
        <v>-8.7603969519264302E-3</v>
      </c>
      <c r="BE186" s="62"/>
      <c r="BF186" s="62"/>
      <c r="BG186" s="62"/>
      <c r="BH186" s="62"/>
      <c r="BJ186" s="61">
        <v>2076</v>
      </c>
      <c r="BK186" s="60">
        <f t="shared" ca="1" si="19"/>
        <v>-8.6465657535649694</v>
      </c>
      <c r="BL186" s="59"/>
      <c r="BM186" s="59"/>
      <c r="BN186" s="59"/>
    </row>
    <row r="187" spans="1:84" x14ac:dyDescent="0.25">
      <c r="A187" s="61">
        <v>2077</v>
      </c>
      <c r="B187" s="62">
        <f>$B$7*Yield!I60</f>
        <v>0</v>
      </c>
      <c r="C187" s="62">
        <f>$C$7*Yield!I59</f>
        <v>0</v>
      </c>
      <c r="D187" s="62">
        <f>$D$7*Yield!I58</f>
        <v>0</v>
      </c>
      <c r="E187" s="62">
        <f ca="1">$E$7*Yield!I57</f>
        <v>0</v>
      </c>
      <c r="F187" s="62">
        <f>$F$7*Yield!I56</f>
        <v>0</v>
      </c>
      <c r="G187" s="62">
        <f>$G$7*Yield!I55</f>
        <v>0</v>
      </c>
      <c r="H187" s="62">
        <f>$H$7*Yield!I54</f>
        <v>0</v>
      </c>
      <c r="I187" s="62">
        <f>$I$7*Yield!I53</f>
        <v>0</v>
      </c>
      <c r="J187" s="62">
        <f>$J$7*Yield!I52</f>
        <v>0</v>
      </c>
      <c r="K187" s="62">
        <f>$K$7*Yield!I51</f>
        <v>0</v>
      </c>
      <c r="L187" s="62">
        <f>$L$7*Yield!I50</f>
        <v>0</v>
      </c>
      <c r="M187" s="62">
        <f>$M$7*Yield!I49</f>
        <v>0</v>
      </c>
      <c r="N187" s="62">
        <f>$N$7*Yield!I48</f>
        <v>0</v>
      </c>
      <c r="O187" s="62">
        <f>$O$7*Yield!I47</f>
        <v>0</v>
      </c>
      <c r="P187" s="62">
        <f>$P$7*Yield!I46</f>
        <v>0</v>
      </c>
      <c r="Q187" s="62">
        <f>$Q$7*Yield!I45</f>
        <v>0</v>
      </c>
      <c r="R187" s="62">
        <f>$R$7*Yield!I44</f>
        <v>0</v>
      </c>
      <c r="S187" s="62">
        <f>$S$7*Yield!I43</f>
        <v>0</v>
      </c>
      <c r="T187" s="62">
        <f>$T$7*Yield!I42</f>
        <v>0</v>
      </c>
      <c r="U187" s="62">
        <f>$U$7*Yield!I41</f>
        <v>0</v>
      </c>
      <c r="V187" s="62">
        <f>$V$7*Yield!I40</f>
        <v>0</v>
      </c>
      <c r="W187" s="62">
        <f>$W$7*Yield!I39</f>
        <v>0</v>
      </c>
      <c r="X187" s="62">
        <f>$X$7*Yield!I38</f>
        <v>0</v>
      </c>
      <c r="Y187" s="62">
        <f>$Y$7*Yield!I37</f>
        <v>0</v>
      </c>
      <c r="Z187" s="62">
        <f>$Z$7*Yield!I36</f>
        <v>0</v>
      </c>
      <c r="AA187" s="62">
        <f>$AA$7*Yield!I35</f>
        <v>0</v>
      </c>
      <c r="AB187" s="62">
        <f>$AB$7*Yield!I34</f>
        <v>0</v>
      </c>
      <c r="AC187" s="62">
        <f>$AC$7*Yield!I33</f>
        <v>0</v>
      </c>
      <c r="AD187" s="62">
        <f>AD$7*Yield!I32</f>
        <v>0</v>
      </c>
      <c r="AE187" s="62">
        <f>AE$7*Yield!I31</f>
        <v>0</v>
      </c>
      <c r="AF187" s="62">
        <f>AF$7*Yield!I30</f>
        <v>0</v>
      </c>
      <c r="AG187" s="62">
        <f>AG$7*Yield!I29</f>
        <v>0</v>
      </c>
      <c r="AH187" s="62">
        <f>AH$7*Yield!I28</f>
        <v>0</v>
      </c>
      <c r="AI187" s="62">
        <f>AI$7*Yield!I27</f>
        <v>0</v>
      </c>
      <c r="AJ187" s="62">
        <f>AJ$7*Yield!I26</f>
        <v>0</v>
      </c>
      <c r="AK187" s="62">
        <f>AK$7*Yield!I25</f>
        <v>0</v>
      </c>
      <c r="AL187" s="62">
        <f>AL$7*Yield!I24</f>
        <v>0</v>
      </c>
      <c r="AM187" s="62">
        <f>AM$7*Yield!I23</f>
        <v>0</v>
      </c>
      <c r="AN187" s="62">
        <f>AN$7*Yield!I22</f>
        <v>0</v>
      </c>
      <c r="AO187" s="62">
        <f>AO$7*Yield!I21</f>
        <v>0</v>
      </c>
      <c r="AP187" s="62">
        <f>AP$7*Yield!I20</f>
        <v>-0.72273289365099291</v>
      </c>
      <c r="AQ187" s="62">
        <f>AQ$7*Yield!I19</f>
        <v>-0.70118638484953721</v>
      </c>
      <c r="AR187" s="62">
        <f>AR$7*Yield!I18</f>
        <v>-0.67578280769520438</v>
      </c>
      <c r="AS187" s="62">
        <f>AS$7*Yield!I17</f>
        <v>-0.64004693173040217</v>
      </c>
      <c r="AT187" s="62">
        <f>AT$7*Yield!I16</f>
        <v>-0.60761412307392226</v>
      </c>
      <c r="AU187" s="62">
        <f>AU$7*Yield!I15</f>
        <v>-0.57786315212020456</v>
      </c>
      <c r="AV187" s="62">
        <f>AV$7*Yield!I14</f>
        <v>-0.63337885905558056</v>
      </c>
      <c r="AW187" s="62">
        <f>AW$7*Yield!I13</f>
        <v>-0.68995441211162556</v>
      </c>
      <c r="AX187" s="62">
        <f>AX$7*Yield!I12</f>
        <v>-0.80116592515948415</v>
      </c>
      <c r="AY187" s="62">
        <f>AY$7*Yield!I11</f>
        <v>-0.83435613327670632</v>
      </c>
      <c r="AZ187" s="62">
        <f>AZ$7*Yield!I10</f>
        <v>-0.74437978900682078</v>
      </c>
      <c r="BA187" s="62">
        <f>BA$7*Yield!I9</f>
        <v>-0.5525581007429976</v>
      </c>
      <c r="BB187" s="62">
        <f>BB$7*Yield!I8</f>
        <v>-0.32619797727962435</v>
      </c>
      <c r="BC187" s="62">
        <f>BC$7*Yield!I7</f>
        <v>-9.3264482085815101E-2</v>
      </c>
      <c r="BD187" s="62">
        <f>BD$7*Yield!I6</f>
        <v>-3.7323384774125098E-2</v>
      </c>
      <c r="BE187" s="62">
        <f>BE$7*Yield!I5</f>
        <v>-8.7603969519264302E-3</v>
      </c>
      <c r="BF187" s="62"/>
      <c r="BG187" s="62"/>
      <c r="BH187" s="62"/>
      <c r="BJ187" s="61">
        <v>2077</v>
      </c>
      <c r="BK187" s="60">
        <f t="shared" ca="1" si="19"/>
        <v>-8.6465657535649694</v>
      </c>
      <c r="BL187" s="59"/>
      <c r="BM187" s="59"/>
      <c r="BN187" s="59"/>
    </row>
    <row r="188" spans="1:84" x14ac:dyDescent="0.25">
      <c r="A188" s="61">
        <v>2078</v>
      </c>
      <c r="B188" s="62">
        <f>$B$7*Yield!I61</f>
        <v>0</v>
      </c>
      <c r="C188" s="62">
        <f>$C$7*Yield!I60</f>
        <v>0</v>
      </c>
      <c r="D188" s="62">
        <f>$D$7*Yield!I59</f>
        <v>0</v>
      </c>
      <c r="E188" s="62">
        <f ca="1">$E$7*Yield!I58</f>
        <v>0</v>
      </c>
      <c r="F188" s="62">
        <f>$F$7*Yield!I57</f>
        <v>0</v>
      </c>
      <c r="G188" s="62">
        <f>$G$7*Yield!I56</f>
        <v>0</v>
      </c>
      <c r="H188" s="62">
        <f>$H$7*Yield!I55</f>
        <v>0</v>
      </c>
      <c r="I188" s="62">
        <f>$I$7*Yield!I54</f>
        <v>0</v>
      </c>
      <c r="J188" s="62">
        <f>$J$7*Yield!I53</f>
        <v>0</v>
      </c>
      <c r="K188" s="62">
        <f>$K$7*Yield!I52</f>
        <v>0</v>
      </c>
      <c r="L188" s="62">
        <f>$L$7*Yield!I51</f>
        <v>0</v>
      </c>
      <c r="M188" s="62">
        <f>$M$7*Yield!I50</f>
        <v>0</v>
      </c>
      <c r="N188" s="62">
        <f>$N$7*Yield!I49</f>
        <v>0</v>
      </c>
      <c r="O188" s="62">
        <f>$O$7*Yield!I48</f>
        <v>0</v>
      </c>
      <c r="P188" s="62">
        <f>$P$7*Yield!I47</f>
        <v>0</v>
      </c>
      <c r="Q188" s="62">
        <f>$Q$7*Yield!I46</f>
        <v>0</v>
      </c>
      <c r="R188" s="62">
        <f>$R$7*Yield!I45</f>
        <v>0</v>
      </c>
      <c r="S188" s="62">
        <f>$S$7*Yield!I44</f>
        <v>0</v>
      </c>
      <c r="T188" s="62">
        <f>$T$7*Yield!I43</f>
        <v>0</v>
      </c>
      <c r="U188" s="62">
        <f>$U$7*Yield!I42</f>
        <v>0</v>
      </c>
      <c r="V188" s="62">
        <f>$V$7*Yield!I41</f>
        <v>0</v>
      </c>
      <c r="W188" s="62">
        <f>$W$7*Yield!I40</f>
        <v>0</v>
      </c>
      <c r="X188" s="62">
        <f>$X$7*Yield!I39</f>
        <v>0</v>
      </c>
      <c r="Y188" s="62">
        <f>$Y$7*Yield!I38</f>
        <v>0</v>
      </c>
      <c r="Z188" s="62">
        <f>$Z$7*Yield!I37</f>
        <v>0</v>
      </c>
      <c r="AA188" s="62">
        <f>$AA$7*Yield!I36</f>
        <v>0</v>
      </c>
      <c r="AB188" s="62">
        <f>$AB$7*Yield!I35</f>
        <v>0</v>
      </c>
      <c r="AC188" s="62">
        <f>$AC$7*Yield!I34</f>
        <v>0</v>
      </c>
      <c r="AD188" s="62">
        <f>AD$7*Yield!I33</f>
        <v>0</v>
      </c>
      <c r="AE188" s="62">
        <f>AE$7*Yield!I32</f>
        <v>0</v>
      </c>
      <c r="AF188" s="62">
        <f>AF$7*Yield!I31</f>
        <v>0</v>
      </c>
      <c r="AG188" s="62">
        <f>AG$7*Yield!I30</f>
        <v>0</v>
      </c>
      <c r="AH188" s="62">
        <f>AH$7*Yield!I29</f>
        <v>0</v>
      </c>
      <c r="AI188" s="62">
        <f>AI$7*Yield!I28</f>
        <v>0</v>
      </c>
      <c r="AJ188" s="62">
        <f>AJ$7*Yield!I27</f>
        <v>0</v>
      </c>
      <c r="AK188" s="62">
        <f>AK$7*Yield!I26</f>
        <v>0</v>
      </c>
      <c r="AL188" s="62">
        <f>AL$7*Yield!I25</f>
        <v>0</v>
      </c>
      <c r="AM188" s="62">
        <f>AM$7*Yield!I24</f>
        <v>0</v>
      </c>
      <c r="AN188" s="62">
        <f>AN$7*Yield!I23</f>
        <v>0</v>
      </c>
      <c r="AO188" s="62">
        <f>AO$7*Yield!I22</f>
        <v>0</v>
      </c>
      <c r="AP188" s="62">
        <f>AP$7*Yield!I21</f>
        <v>0</v>
      </c>
      <c r="AQ188" s="62">
        <f>AQ$7*Yield!I20</f>
        <v>-0.72273289365099291</v>
      </c>
      <c r="AR188" s="62">
        <f>AR$7*Yield!I19</f>
        <v>-0.70118638484953721</v>
      </c>
      <c r="AS188" s="62">
        <f>AS$7*Yield!I18</f>
        <v>-0.67578280769520438</v>
      </c>
      <c r="AT188" s="62">
        <f>AT$7*Yield!I17</f>
        <v>-0.64004693173040217</v>
      </c>
      <c r="AU188" s="62">
        <f>AU$7*Yield!I16</f>
        <v>-0.60761412307392226</v>
      </c>
      <c r="AV188" s="62">
        <f>AV$7*Yield!I15</f>
        <v>-0.57786315212020456</v>
      </c>
      <c r="AW188" s="62">
        <f>AW$7*Yield!I14</f>
        <v>-0.63337885905558056</v>
      </c>
      <c r="AX188" s="62">
        <f>AX$7*Yield!I13</f>
        <v>-0.68995441211162556</v>
      </c>
      <c r="AY188" s="62">
        <f>AY$7*Yield!I12</f>
        <v>-0.80116592515948415</v>
      </c>
      <c r="AZ188" s="62">
        <f>AZ$7*Yield!I11</f>
        <v>-0.83435613327670632</v>
      </c>
      <c r="BA188" s="62">
        <f>BA$7*Yield!I10</f>
        <v>-0.74437978900682078</v>
      </c>
      <c r="BB188" s="62">
        <f>BB$7*Yield!I9</f>
        <v>-0.5525581007429976</v>
      </c>
      <c r="BC188" s="62">
        <f>BC$7*Yield!I8</f>
        <v>-0.32619797727962435</v>
      </c>
      <c r="BD188" s="62">
        <f>BD$7*Yield!I7</f>
        <v>-9.3264482085815101E-2</v>
      </c>
      <c r="BE188" s="62">
        <f>BE$7*Yield!I6</f>
        <v>-3.7323384774125098E-2</v>
      </c>
      <c r="BF188" s="62">
        <f>BF$7*Yield!I5</f>
        <v>-8.7603969519264302E-3</v>
      </c>
      <c r="BG188" s="62"/>
      <c r="BH188" s="62"/>
      <c r="BJ188" s="61">
        <v>2078</v>
      </c>
      <c r="BK188" s="60">
        <f t="shared" ca="1" si="19"/>
        <v>-8.6465657535649694</v>
      </c>
      <c r="BL188" s="59"/>
      <c r="BM188" s="59"/>
      <c r="BN188" s="59"/>
    </row>
    <row r="189" spans="1:84" x14ac:dyDescent="0.25">
      <c r="A189" s="61">
        <v>2079</v>
      </c>
      <c r="B189" s="62">
        <f>$B$7*Yield!I62</f>
        <v>0</v>
      </c>
      <c r="C189" s="62">
        <f>$C$7*Yield!I61</f>
        <v>0</v>
      </c>
      <c r="D189" s="62">
        <f>$D$7*Yield!I60</f>
        <v>0</v>
      </c>
      <c r="E189" s="62">
        <f ca="1">$E$7*Yield!I59</f>
        <v>0</v>
      </c>
      <c r="F189" s="62">
        <f>$F$7*Yield!I58</f>
        <v>0</v>
      </c>
      <c r="G189" s="62">
        <f>$G$7*Yield!I57</f>
        <v>0</v>
      </c>
      <c r="H189" s="62">
        <f>$H$7*Yield!I56</f>
        <v>0</v>
      </c>
      <c r="I189" s="62">
        <f>$I$7*Yield!I55</f>
        <v>0</v>
      </c>
      <c r="J189" s="62">
        <f>$J$7*Yield!I54</f>
        <v>0</v>
      </c>
      <c r="K189" s="62">
        <f>$K$7*Yield!I53</f>
        <v>0</v>
      </c>
      <c r="L189" s="62">
        <f>$L$7*Yield!I52</f>
        <v>0</v>
      </c>
      <c r="M189" s="62">
        <f>$M$7*Yield!I51</f>
        <v>0</v>
      </c>
      <c r="N189" s="62">
        <f>$N$7*Yield!I50</f>
        <v>0</v>
      </c>
      <c r="O189" s="62">
        <f>$O$7*Yield!I49</f>
        <v>0</v>
      </c>
      <c r="P189" s="62">
        <f>$P$7*Yield!I48</f>
        <v>0</v>
      </c>
      <c r="Q189" s="62">
        <f>$Q$7*Yield!I47</f>
        <v>0</v>
      </c>
      <c r="R189" s="62">
        <f>$R$7*Yield!I46</f>
        <v>0</v>
      </c>
      <c r="S189" s="62">
        <f>$S$7*Yield!I45</f>
        <v>0</v>
      </c>
      <c r="T189" s="62">
        <f>$T$7*Yield!I44</f>
        <v>0</v>
      </c>
      <c r="U189" s="62">
        <f>$U$7*Yield!I43</f>
        <v>0</v>
      </c>
      <c r="V189" s="62">
        <f>$V$7*Yield!I42</f>
        <v>0</v>
      </c>
      <c r="W189" s="62">
        <f>$W$7*Yield!I41</f>
        <v>0</v>
      </c>
      <c r="X189" s="62">
        <f>$X$7*Yield!I40</f>
        <v>0</v>
      </c>
      <c r="Y189" s="62">
        <f>$Y$7*Yield!I39</f>
        <v>0</v>
      </c>
      <c r="Z189" s="62">
        <f>$Z$7*Yield!I38</f>
        <v>0</v>
      </c>
      <c r="AA189" s="62">
        <f>$AA$7*Yield!I37</f>
        <v>0</v>
      </c>
      <c r="AB189" s="62">
        <f>$AB$7*Yield!I36</f>
        <v>0</v>
      </c>
      <c r="AC189" s="62">
        <f>$AC$7*Yield!I35</f>
        <v>0</v>
      </c>
      <c r="AD189" s="62">
        <f>AD$7*Yield!I34</f>
        <v>0</v>
      </c>
      <c r="AE189" s="62">
        <f>AE$7*Yield!I33</f>
        <v>0</v>
      </c>
      <c r="AF189" s="62">
        <f>AF$7*Yield!I32</f>
        <v>0</v>
      </c>
      <c r="AG189" s="62">
        <f>AG$7*Yield!I31</f>
        <v>0</v>
      </c>
      <c r="AH189" s="62">
        <f>AH$7*Yield!I30</f>
        <v>0</v>
      </c>
      <c r="AI189" s="62">
        <f>AI$7*Yield!I29</f>
        <v>0</v>
      </c>
      <c r="AJ189" s="62">
        <f>AJ$7*Yield!I28</f>
        <v>0</v>
      </c>
      <c r="AK189" s="62">
        <f>AK$7*Yield!I27</f>
        <v>0</v>
      </c>
      <c r="AL189" s="62">
        <f>AL$7*Yield!I26</f>
        <v>0</v>
      </c>
      <c r="AM189" s="62">
        <f>AM$7*Yield!I25</f>
        <v>0</v>
      </c>
      <c r="AN189" s="62">
        <f>AN$7*Yield!I24</f>
        <v>0</v>
      </c>
      <c r="AO189" s="62">
        <f>AO$7*Yield!I23</f>
        <v>0</v>
      </c>
      <c r="AP189" s="62">
        <f>AP$7*Yield!I22</f>
        <v>0</v>
      </c>
      <c r="AQ189" s="62">
        <f>AQ$7*Yield!I21</f>
        <v>0</v>
      </c>
      <c r="AR189" s="62">
        <f>AR$7*Yield!I20</f>
        <v>-0.72273289365099291</v>
      </c>
      <c r="AS189" s="62">
        <f>AS$7*Yield!I19</f>
        <v>-0.70118638484953721</v>
      </c>
      <c r="AT189" s="62">
        <f>AT$7*Yield!I18</f>
        <v>-0.67578280769520438</v>
      </c>
      <c r="AU189" s="62">
        <f>AU$7*Yield!I17</f>
        <v>-0.64004693173040217</v>
      </c>
      <c r="AV189" s="62">
        <f>AV$7*Yield!I16</f>
        <v>-0.60761412307392226</v>
      </c>
      <c r="AW189" s="62">
        <f>AW$7*Yield!I15</f>
        <v>-0.57786315212020456</v>
      </c>
      <c r="AX189" s="62">
        <f>AX$7*Yield!I14</f>
        <v>-0.63337885905558056</v>
      </c>
      <c r="AY189" s="62">
        <f>AY$7*Yield!I13</f>
        <v>-0.68995441211162556</v>
      </c>
      <c r="AZ189" s="62">
        <f>AZ$7*Yield!I12</f>
        <v>-0.80116592515948415</v>
      </c>
      <c r="BA189" s="62">
        <f>BA$7*Yield!I11</f>
        <v>-0.83435613327670632</v>
      </c>
      <c r="BB189" s="62">
        <f>BB$7*Yield!I10</f>
        <v>-0.74437978900682078</v>
      </c>
      <c r="BC189" s="62">
        <f>BC$7*Yield!I9</f>
        <v>-0.5525581007429976</v>
      </c>
      <c r="BD189" s="62">
        <f>BD$7*Yield!I8</f>
        <v>-0.32619797727962435</v>
      </c>
      <c r="BE189" s="62">
        <f>BE$7*Yield!I7</f>
        <v>-9.3264482085815101E-2</v>
      </c>
      <c r="BF189" s="62">
        <f>BF$7*Yield!I6</f>
        <v>-3.7323384774125098E-2</v>
      </c>
      <c r="BG189" s="62">
        <f>BG$7*Yield!I5</f>
        <v>-8.7603969519264302E-3</v>
      </c>
      <c r="BH189" s="62"/>
      <c r="BJ189" s="61">
        <v>2079</v>
      </c>
      <c r="BK189" s="60">
        <f t="shared" ca="1" si="19"/>
        <v>-8.6465657535649694</v>
      </c>
      <c r="BL189" s="59"/>
      <c r="BM189" s="59"/>
      <c r="BN189" s="59"/>
    </row>
    <row r="190" spans="1:84" x14ac:dyDescent="0.25">
      <c r="A190" s="61">
        <v>2080</v>
      </c>
      <c r="B190" s="62">
        <f>$B$7*Yield!I63</f>
        <v>0</v>
      </c>
      <c r="C190" s="62">
        <f>$C$7*Yield!I62</f>
        <v>0</v>
      </c>
      <c r="D190" s="62">
        <f>$D$7*Yield!I61</f>
        <v>0</v>
      </c>
      <c r="E190" s="62">
        <f ca="1">$E$7*Yield!I60</f>
        <v>0</v>
      </c>
      <c r="F190" s="62">
        <f>$F$7*Yield!I59</f>
        <v>0</v>
      </c>
      <c r="G190" s="62">
        <f>$G$7*Yield!I58</f>
        <v>0</v>
      </c>
      <c r="H190" s="62">
        <f>$H$7*Yield!I57</f>
        <v>0</v>
      </c>
      <c r="I190" s="62">
        <f>$I$7*Yield!I56</f>
        <v>0</v>
      </c>
      <c r="J190" s="62">
        <f>$J$7*Yield!I55</f>
        <v>0</v>
      </c>
      <c r="K190" s="62">
        <f>$K$7*Yield!I54</f>
        <v>0</v>
      </c>
      <c r="L190" s="62">
        <f>$L$7*Yield!I53</f>
        <v>0</v>
      </c>
      <c r="M190" s="62">
        <f>$M$7*Yield!I52</f>
        <v>0</v>
      </c>
      <c r="N190" s="62">
        <f>$N$7*Yield!I51</f>
        <v>0</v>
      </c>
      <c r="O190" s="62">
        <f>$O$7*Yield!I50</f>
        <v>0</v>
      </c>
      <c r="P190" s="62">
        <f>$P$7*Yield!I49</f>
        <v>0</v>
      </c>
      <c r="Q190" s="62">
        <f>$Q$7*Yield!I48</f>
        <v>0</v>
      </c>
      <c r="R190" s="62">
        <f>$R$7*Yield!I47</f>
        <v>0</v>
      </c>
      <c r="S190" s="62">
        <f>$S$7*Yield!I46</f>
        <v>0</v>
      </c>
      <c r="T190" s="62">
        <f>$T$7*Yield!I45</f>
        <v>0</v>
      </c>
      <c r="U190" s="62">
        <f>$U$7*Yield!I44</f>
        <v>0</v>
      </c>
      <c r="V190" s="62">
        <f>$V$7*Yield!I43</f>
        <v>0</v>
      </c>
      <c r="W190" s="62">
        <f>$W$7*Yield!I42</f>
        <v>0</v>
      </c>
      <c r="X190" s="62">
        <f>$X$7*Yield!I41</f>
        <v>0</v>
      </c>
      <c r="Y190" s="62">
        <f>$Y$7*Yield!I40</f>
        <v>0</v>
      </c>
      <c r="Z190" s="62">
        <f>$Z$7*Yield!I39</f>
        <v>0</v>
      </c>
      <c r="AA190" s="62">
        <f>$AA$7*Yield!I38</f>
        <v>0</v>
      </c>
      <c r="AB190" s="62">
        <f>$AB$7*Yield!I37</f>
        <v>0</v>
      </c>
      <c r="AC190" s="62">
        <f>$AC$7*Yield!I36</f>
        <v>0</v>
      </c>
      <c r="AD190" s="62">
        <f>AD$7*Yield!I35</f>
        <v>0</v>
      </c>
      <c r="AE190" s="62">
        <f>AE$7*Yield!I34</f>
        <v>0</v>
      </c>
      <c r="AF190" s="62">
        <f>AF$7*Yield!I33</f>
        <v>0</v>
      </c>
      <c r="AG190" s="62">
        <f>AG$7*Yield!I32</f>
        <v>0</v>
      </c>
      <c r="AH190" s="62">
        <f>AH$7*Yield!I31</f>
        <v>0</v>
      </c>
      <c r="AI190" s="62">
        <f>AI$7*Yield!I30</f>
        <v>0</v>
      </c>
      <c r="AJ190" s="62">
        <f>AJ$7*Yield!I29</f>
        <v>0</v>
      </c>
      <c r="AK190" s="62">
        <f>AK$7*Yield!I28</f>
        <v>0</v>
      </c>
      <c r="AL190" s="62">
        <f>AL$7*Yield!I27</f>
        <v>0</v>
      </c>
      <c r="AM190" s="62">
        <f>AM$7*Yield!I26</f>
        <v>0</v>
      </c>
      <c r="AN190" s="62">
        <f>AN$7*Yield!I25</f>
        <v>0</v>
      </c>
      <c r="AO190" s="62">
        <f>AO$7*Yield!I24</f>
        <v>0</v>
      </c>
      <c r="AP190" s="62">
        <f>AP$7*Yield!I23</f>
        <v>0</v>
      </c>
      <c r="AQ190" s="62">
        <f>AQ$7*Yield!I22</f>
        <v>0</v>
      </c>
      <c r="AR190" s="62">
        <f>AR$7*Yield!I21</f>
        <v>0</v>
      </c>
      <c r="AS190" s="62">
        <f>AS$7*Yield!I20</f>
        <v>-0.72273289365099291</v>
      </c>
      <c r="AT190" s="62">
        <f>AT$7*Yield!I19</f>
        <v>-0.70118638484953721</v>
      </c>
      <c r="AU190" s="62">
        <f>AU$7*Yield!I18</f>
        <v>-0.67578280769520438</v>
      </c>
      <c r="AV190" s="62">
        <f>AV$7*Yield!I17</f>
        <v>-0.64004693173040217</v>
      </c>
      <c r="AW190" s="62">
        <f>AW$7*Yield!I16</f>
        <v>-0.60761412307392226</v>
      </c>
      <c r="AX190" s="62">
        <f>AX$7*Yield!I15</f>
        <v>-0.57786315212020456</v>
      </c>
      <c r="AY190" s="62">
        <f>AY$7*Yield!I14</f>
        <v>-0.63337885905558056</v>
      </c>
      <c r="AZ190" s="62">
        <f>AZ$7*Yield!I13</f>
        <v>-0.68995441211162556</v>
      </c>
      <c r="BA190" s="62">
        <f>BA$7*Yield!I12</f>
        <v>-0.80116592515948415</v>
      </c>
      <c r="BB190" s="62">
        <f>BB$7*Yield!I11</f>
        <v>-0.83435613327670632</v>
      </c>
      <c r="BC190" s="62">
        <f>BC$7*Yield!I10</f>
        <v>-0.74437978900682078</v>
      </c>
      <c r="BD190" s="62">
        <f>BD$7*Yield!I9</f>
        <v>-0.5525581007429976</v>
      </c>
      <c r="BE190" s="62">
        <f>BE$7*Yield!I8</f>
        <v>-0.32619797727962435</v>
      </c>
      <c r="BF190" s="62">
        <f>BF$7*Yield!I7</f>
        <v>-9.3264482085815101E-2</v>
      </c>
      <c r="BG190" s="62">
        <f>BG$7*Yield!I6</f>
        <v>-3.7323384774125098E-2</v>
      </c>
      <c r="BH190" s="62">
        <f>BH$7*Yield!I5</f>
        <v>-8.7603969519264302E-3</v>
      </c>
      <c r="BI190" s="23"/>
      <c r="BJ190" s="61">
        <v>2080</v>
      </c>
      <c r="BK190" s="60">
        <f t="shared" ca="1" si="19"/>
        <v>-8.6465657535649694</v>
      </c>
      <c r="BL190" s="59"/>
      <c r="BM190" s="59"/>
      <c r="BN190" s="59"/>
    </row>
    <row r="192" spans="1:84" s="19" customFormat="1" x14ac:dyDescent="0.25">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c r="BE192"/>
      <c r="BF192"/>
      <c r="BG192"/>
      <c r="BH192"/>
      <c r="BI192"/>
      <c r="BK192" s="59"/>
      <c r="BL192" s="59"/>
      <c r="BO192"/>
      <c r="BP192"/>
      <c r="BQ192"/>
      <c r="BR192"/>
      <c r="BS192"/>
      <c r="BT192"/>
      <c r="BU192"/>
      <c r="BV192"/>
      <c r="BW192"/>
      <c r="BX192"/>
      <c r="BY192"/>
      <c r="BZ192"/>
      <c r="CA192"/>
      <c r="CB192"/>
      <c r="CC192"/>
      <c r="CD192"/>
      <c r="CE192"/>
      <c r="CF192"/>
    </row>
    <row r="193" spans="2:84" s="19" customFormat="1" x14ac:dyDescent="0.25">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c r="BF193"/>
      <c r="BG193"/>
      <c r="BH193"/>
      <c r="BI193"/>
      <c r="BK193" s="59"/>
      <c r="BL193" s="59"/>
      <c r="BO193"/>
      <c r="BP193"/>
      <c r="BQ193"/>
      <c r="BR193"/>
      <c r="BS193"/>
      <c r="BT193"/>
      <c r="BU193"/>
      <c r="BV193"/>
      <c r="BW193"/>
      <c r="BX193"/>
      <c r="BY193"/>
      <c r="BZ193"/>
      <c r="CA193"/>
      <c r="CB193"/>
      <c r="CC193"/>
      <c r="CD193"/>
      <c r="CE193"/>
      <c r="CF193"/>
    </row>
    <row r="194" spans="2:84" s="19" customFormat="1" x14ac:dyDescent="0.25">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c r="BG194"/>
      <c r="BH194"/>
      <c r="BI194"/>
      <c r="BK194" s="59"/>
      <c r="BL194" s="59"/>
      <c r="BO194"/>
      <c r="BP194"/>
      <c r="BQ194"/>
      <c r="BR194"/>
      <c r="BS194"/>
      <c r="BT194"/>
      <c r="BU194"/>
      <c r="BV194"/>
      <c r="BW194"/>
      <c r="BX194"/>
      <c r="BY194"/>
      <c r="BZ194"/>
      <c r="CA194"/>
      <c r="CB194"/>
      <c r="CC194"/>
      <c r="CD194"/>
      <c r="CE194"/>
      <c r="CF194"/>
    </row>
    <row r="195" spans="2:84" s="19" customFormat="1" x14ac:dyDescent="0.25">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c r="BH195"/>
      <c r="BI195"/>
      <c r="BK195" s="59"/>
      <c r="BL195" s="59"/>
      <c r="BO195"/>
      <c r="BP195"/>
      <c r="BQ195"/>
      <c r="BR195"/>
      <c r="BS195"/>
      <c r="BT195"/>
      <c r="BU195"/>
      <c r="BV195"/>
      <c r="BW195"/>
      <c r="BX195"/>
      <c r="BY195"/>
      <c r="BZ195"/>
      <c r="CA195"/>
      <c r="CB195"/>
      <c r="CC195"/>
      <c r="CD195"/>
      <c r="CE195"/>
      <c r="CF195"/>
    </row>
    <row r="196" spans="2:84" s="19" customFormat="1" x14ac:dyDescent="0.25">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c r="BI196"/>
      <c r="BK196" s="59"/>
      <c r="BL196" s="59"/>
      <c r="BO196"/>
      <c r="BP196"/>
      <c r="BQ196"/>
      <c r="BR196"/>
      <c r="BS196"/>
      <c r="BT196"/>
      <c r="BU196"/>
      <c r="BV196"/>
      <c r="BW196"/>
      <c r="BX196"/>
      <c r="BY196"/>
      <c r="BZ196"/>
      <c r="CA196"/>
      <c r="CB196"/>
      <c r="CC196"/>
      <c r="CD196"/>
      <c r="CE196"/>
      <c r="CF196"/>
    </row>
    <row r="197" spans="2:84" s="19" customFormat="1" x14ac:dyDescent="0.25">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K197" s="59"/>
      <c r="BL197" s="59"/>
      <c r="BO197"/>
      <c r="BP197"/>
      <c r="BQ197"/>
      <c r="BR197"/>
      <c r="BS197"/>
      <c r="BT197"/>
      <c r="BU197"/>
      <c r="BV197"/>
      <c r="BW197"/>
      <c r="BX197"/>
      <c r="BY197"/>
      <c r="BZ197"/>
      <c r="CA197"/>
      <c r="CB197"/>
      <c r="CC197"/>
      <c r="CD197"/>
      <c r="CE197"/>
      <c r="CF197"/>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1499-9843-4B6D-A323-7E954C288CA1}">
  <sheetPr codeName="Sheet16">
    <tabColor rgb="FF00B050"/>
  </sheetPr>
  <dimension ref="A1:BD61"/>
  <sheetViews>
    <sheetView topLeftCell="A8" zoomScale="70" zoomScaleNormal="70" workbookViewId="0">
      <selection activeCell="AC12" sqref="AC12"/>
    </sheetView>
  </sheetViews>
  <sheetFormatPr defaultRowHeight="15" x14ac:dyDescent="0.25"/>
  <cols>
    <col min="2" max="2" width="7.85546875" customWidth="1"/>
    <col min="7" max="7" width="10.140625" customWidth="1"/>
    <col min="8" max="12" width="10.85546875" customWidth="1"/>
    <col min="16" max="16" width="25.85546875" customWidth="1"/>
    <col min="17" max="17" width="22.5703125" bestFit="1" customWidth="1"/>
    <col min="18" max="18" width="15.140625" bestFit="1" customWidth="1"/>
    <col min="19" max="19" width="24.85546875" customWidth="1"/>
    <col min="20" max="20" width="34.42578125" bestFit="1" customWidth="1"/>
    <col min="21" max="21" width="13.85546875" customWidth="1"/>
  </cols>
  <sheetData>
    <row r="1" spans="1:54" x14ac:dyDescent="0.25">
      <c r="F1" s="21"/>
    </row>
    <row r="2" spans="1:54" ht="38.25" x14ac:dyDescent="0.25">
      <c r="A2" s="29" t="s">
        <v>361</v>
      </c>
      <c r="B2" s="29" t="s">
        <v>362</v>
      </c>
      <c r="C2" s="29" t="s">
        <v>184</v>
      </c>
      <c r="D2" s="29" t="s">
        <v>185</v>
      </c>
      <c r="E2" s="29" t="s">
        <v>363</v>
      </c>
      <c r="F2" s="29" t="s">
        <v>364</v>
      </c>
      <c r="G2" s="29" t="s">
        <v>365</v>
      </c>
      <c r="H2" s="29" t="s">
        <v>186</v>
      </c>
      <c r="I2" s="29" t="s">
        <v>366</v>
      </c>
      <c r="J2" s="29" t="s">
        <v>367</v>
      </c>
      <c r="K2" s="29" t="s">
        <v>368</v>
      </c>
      <c r="L2" s="29" t="s">
        <v>369</v>
      </c>
      <c r="M2" s="29" t="s">
        <v>370</v>
      </c>
      <c r="N2" s="29" t="s">
        <v>371</v>
      </c>
      <c r="P2" s="50" t="s">
        <v>197</v>
      </c>
      <c r="Q2" s="50" t="s">
        <v>372</v>
      </c>
      <c r="R2" s="50" t="s">
        <v>373</v>
      </c>
      <c r="S2" s="50" t="s">
        <v>374</v>
      </c>
      <c r="T2" s="50" t="s">
        <v>375</v>
      </c>
      <c r="U2" s="50" t="s">
        <v>376</v>
      </c>
      <c r="V2" s="50">
        <v>2018</v>
      </c>
      <c r="W2" s="50">
        <v>2019</v>
      </c>
      <c r="X2" s="50">
        <v>2020</v>
      </c>
      <c r="Y2" s="50">
        <v>2021</v>
      </c>
      <c r="Z2" s="50">
        <v>2022</v>
      </c>
      <c r="AA2" s="50">
        <v>2023</v>
      </c>
      <c r="AB2" s="50">
        <v>2024</v>
      </c>
      <c r="AC2" s="50">
        <v>2025</v>
      </c>
      <c r="AD2" s="50">
        <v>2026</v>
      </c>
      <c r="AE2" s="50">
        <v>2027</v>
      </c>
      <c r="AF2" s="50">
        <v>2028</v>
      </c>
      <c r="AG2" s="50">
        <v>2029</v>
      </c>
      <c r="AH2" s="50">
        <v>2030</v>
      </c>
      <c r="AI2" s="50">
        <v>2031</v>
      </c>
      <c r="AJ2" s="50">
        <v>2032</v>
      </c>
      <c r="AK2" s="50">
        <v>2033</v>
      </c>
      <c r="AL2" s="50">
        <v>2034</v>
      </c>
      <c r="AM2" s="50">
        <v>2035</v>
      </c>
      <c r="AN2" s="50">
        <v>2036</v>
      </c>
      <c r="AO2" s="50">
        <v>2037</v>
      </c>
      <c r="AP2" s="50">
        <v>2038</v>
      </c>
      <c r="AQ2" s="50">
        <v>2039</v>
      </c>
      <c r="AR2" s="50">
        <v>2040</v>
      </c>
      <c r="AS2" s="50">
        <v>2041</v>
      </c>
      <c r="AT2" s="50">
        <v>2042</v>
      </c>
      <c r="AU2" s="50">
        <v>2043</v>
      </c>
      <c r="AV2" s="50">
        <v>2044</v>
      </c>
      <c r="AW2" s="50">
        <v>2045</v>
      </c>
      <c r="AX2" s="50">
        <v>2046</v>
      </c>
      <c r="AY2" s="50">
        <v>2047</v>
      </c>
      <c r="AZ2" s="50">
        <v>2048</v>
      </c>
      <c r="BA2" s="50">
        <v>2049</v>
      </c>
      <c r="BB2" s="50">
        <v>2050</v>
      </c>
    </row>
    <row r="3" spans="1:54" x14ac:dyDescent="0.25">
      <c r="A3" s="19">
        <v>2020</v>
      </c>
      <c r="B3" s="19"/>
      <c r="C3" s="2">
        <f ca="1">OFFSET($X$12,0,ROW()-ROW($C$3))</f>
        <v>3.8497408439486671</v>
      </c>
      <c r="D3" s="2">
        <f ca="1">OFFSET($X$13,0,ROW()-ROW($F$3))</f>
        <v>7.9963015393850583</v>
      </c>
      <c r="E3" s="13">
        <f>Model!$B$7</f>
        <v>0</v>
      </c>
      <c r="F3" s="2">
        <f ca="1">D3*E3</f>
        <v>0</v>
      </c>
      <c r="G3" s="2">
        <f ca="1">C3+F3</f>
        <v>3.8497408439486671</v>
      </c>
      <c r="H3" s="2">
        <f ca="1">OFFSET($X$14,0,ROW()-ROW($H$3))</f>
        <v>-2.324873667327326</v>
      </c>
      <c r="I3" s="2">
        <f ca="1">G3+H3</f>
        <v>1.5248671766213411</v>
      </c>
      <c r="J3" s="2">
        <f ca="1">C3+D3+H3</f>
        <v>9.5211687160063985</v>
      </c>
      <c r="K3" s="2"/>
      <c r="L3" s="2"/>
      <c r="M3" s="20">
        <f ca="1">MAX(0,(D3+H3)*1000)</f>
        <v>5671.4278720577322</v>
      </c>
      <c r="N3" s="20">
        <f ca="1">MIN(0,(D3+H3)*1000)</f>
        <v>0</v>
      </c>
      <c r="P3" s="51" t="str">
        <f>Model!$B$6</f>
        <v>MPI Central</v>
      </c>
      <c r="Q3" s="51" t="s">
        <v>377</v>
      </c>
      <c r="R3" s="51" t="s">
        <v>378</v>
      </c>
      <c r="S3" s="51" t="s">
        <v>379</v>
      </c>
      <c r="T3" s="51" t="s">
        <v>380</v>
      </c>
      <c r="U3" s="51" t="s">
        <v>381</v>
      </c>
      <c r="V3" s="52" cm="1">
        <f t="array" ref="V3">SUMPRODUCT(($P$20:$P$43=Model!$B$6)*($R$20:$R$43=$R3)*($S$20:$S$43=$S3)*(V$20:V$43))</f>
        <v>2.8504986194775599</v>
      </c>
      <c r="W3" s="52" cm="1">
        <f t="array" ref="W3">SUMPRODUCT(($P$20:$P$43=Model!$B$6)*($R$20:$R$43=$R3)*($S$20:$S$43=$S3)*(W$20:W$43))</f>
        <v>2.8649916659672883</v>
      </c>
      <c r="X3" s="52" cm="1">
        <f t="array" ref="X3">SUMPRODUCT(($P$20:$P$43=Model!$B$6)*($R$20:$R$43=$R3)*($S$20:$S$43=$S3)*(X$20:X$43))</f>
        <v>2.864147021333328</v>
      </c>
      <c r="Y3" s="52" cm="1">
        <f t="array" ref="Y3">SUMPRODUCT(($P$20:$P$43=Model!$B$6)*($R$20:$R$43=$R3)*($S$20:$S$43=$S3)*(Y$20:Y$43))</f>
        <v>2.8651798261509125</v>
      </c>
      <c r="Z3" s="52" cm="1">
        <f t="array" ref="Z3">SUMPRODUCT(($P$20:$P$43=Model!$B$6)*($R$20:$R$43=$R3)*($S$20:$S$43=$S3)*(Z$20:Z$43))</f>
        <v>2.8851326363332239</v>
      </c>
      <c r="AA3" s="52" cm="1">
        <f t="array" ref="AA3">SUMPRODUCT(($P$20:$P$43=Model!$B$6)*($R$20:$R$43=$R3)*($S$20:$S$43=$S3)*(AA$20:AA$43))</f>
        <v>2.9265526058708597</v>
      </c>
      <c r="AB3" s="52" cm="1">
        <f t="array" ref="AB3">SUMPRODUCT(($P$20:$P$43=Model!$B$6)*($R$20:$R$43=$R3)*($S$20:$S$43=$S3)*(AB$20:AB$43))</f>
        <v>2.9767692120690583</v>
      </c>
      <c r="AC3" s="52" cm="1">
        <f t="array" ref="AC3">SUMPRODUCT(($P$20:$P$43=Model!$B$6)*($R$20:$R$43=$R3)*($S$20:$S$43=$S3)*(AC$20:AC$43))</f>
        <v>3.0117024591509769</v>
      </c>
      <c r="AD3" s="52" cm="1">
        <f t="array" ref="AD3">SUMPRODUCT(($P$20:$P$43=Model!$B$6)*($R$20:$R$43=$R3)*($S$20:$S$43=$S3)*(AD$20:AD$43))</f>
        <v>3.0211761908604391</v>
      </c>
      <c r="AE3" s="52" cm="1">
        <f t="array" ref="AE3">SUMPRODUCT(($P$20:$P$43=Model!$B$6)*($R$20:$R$43=$R3)*($S$20:$S$43=$S3)*(AE$20:AE$43))</f>
        <v>3.0027297060094962</v>
      </c>
      <c r="AF3" s="52" cm="1">
        <f t="array" ref="AF3">SUMPRODUCT(($P$20:$P$43=Model!$B$6)*($R$20:$R$43=$R3)*($S$20:$S$43=$S3)*(AF$20:AF$43))</f>
        <v>2.9635974140066281</v>
      </c>
      <c r="AG3" s="52" cm="1">
        <f t="array" ref="AG3">SUMPRODUCT(($P$20:$P$43=Model!$B$6)*($R$20:$R$43=$R3)*($S$20:$S$43=$S3)*(AG$20:AG$43))</f>
        <v>2.9125309059110704</v>
      </c>
      <c r="AH3" s="52" cm="1">
        <f t="array" ref="AH3">SUMPRODUCT(($P$20:$P$43=Model!$B$6)*($R$20:$R$43=$R3)*($S$20:$S$43=$S3)*(AH$20:AH$43))</f>
        <v>2.8682906079830439</v>
      </c>
      <c r="AI3" s="52" cm="1">
        <f t="array" ref="AI3">SUMPRODUCT(($P$20:$P$43=Model!$B$6)*($R$20:$R$43=$R3)*($S$20:$S$43=$S3)*(AI$20:AI$43))</f>
        <v>2.831292384393818</v>
      </c>
      <c r="AJ3" s="52" cm="1">
        <f t="array" ref="AJ3">SUMPRODUCT(($P$20:$P$43=Model!$B$6)*($R$20:$R$43=$R3)*($S$20:$S$43=$S3)*(AJ$20:AJ$43))</f>
        <v>2.8035874988364209</v>
      </c>
      <c r="AK3" s="52" cm="1">
        <f t="array" ref="AK3">SUMPRODUCT(($P$20:$P$43=Model!$B$6)*($R$20:$R$43=$R3)*($S$20:$S$43=$S3)*(AK$20:AK$43))</f>
        <v>2.7769267358954113</v>
      </c>
      <c r="AL3" s="52" cm="1">
        <f t="array" ref="AL3">SUMPRODUCT(($P$20:$P$43=Model!$B$6)*($R$20:$R$43=$R3)*($S$20:$S$43=$S3)*(AL$20:AL$43))</f>
        <v>2.7518465215163452</v>
      </c>
      <c r="AM3" s="52" cm="1">
        <f t="array" ref="AM3">SUMPRODUCT(($P$20:$P$43=Model!$B$6)*($R$20:$R$43=$R3)*($S$20:$S$43=$S3)*(AM$20:AM$43))</f>
        <v>2.7218278596227785</v>
      </c>
      <c r="AN3" s="52" cm="1">
        <f t="array" ref="AN3">SUMPRODUCT(($P$20:$P$43=Model!$B$6)*($R$20:$R$43=$R3)*($S$20:$S$43=$S3)*(AN$20:AN$43))</f>
        <v>2.6871503214742565</v>
      </c>
      <c r="AO3" s="52" cm="1">
        <f t="array" ref="AO3">SUMPRODUCT(($P$20:$P$43=Model!$B$6)*($R$20:$R$43=$R3)*($S$20:$S$43=$S3)*(AO$20:AO$43))</f>
        <v>2.6503275839266309</v>
      </c>
      <c r="AP3" s="52" cm="1">
        <f t="array" ref="AP3">SUMPRODUCT(($P$20:$P$43=Model!$B$6)*($R$20:$R$43=$R3)*($S$20:$S$43=$S3)*(AP$20:AP$43))</f>
        <v>2.6098395422885803</v>
      </c>
      <c r="AQ3" s="52" cm="1">
        <f t="array" ref="AQ3">SUMPRODUCT(($P$20:$P$43=Model!$B$6)*($R$20:$R$43=$R3)*($S$20:$S$43=$S3)*(AQ$20:AQ$43))</f>
        <v>2.5686939042188524</v>
      </c>
      <c r="AR3" s="52" cm="1">
        <f t="array" ref="AR3">SUMPRODUCT(($P$20:$P$43=Model!$B$6)*($R$20:$R$43=$R3)*($S$20:$S$43=$S3)*(AR$20:AR$43))</f>
        <v>2.5273255861518913</v>
      </c>
      <c r="AS3" s="52" cm="1">
        <f t="array" ref="AS3">SUMPRODUCT(($P$20:$P$43=Model!$B$6)*($R$20:$R$43=$R3)*($S$20:$S$43=$S3)*(AS$20:AS$43))</f>
        <v>2.4868118289461574</v>
      </c>
      <c r="AT3" s="52" cm="1">
        <f t="array" ref="AT3">SUMPRODUCT(($P$20:$P$43=Model!$B$6)*($R$20:$R$43=$R3)*($S$20:$S$43=$S3)*(AT$20:AT$43))</f>
        <v>2.4469764271047687</v>
      </c>
      <c r="AU3" s="52" cm="1">
        <f t="array" ref="AU3">SUMPRODUCT(($P$20:$P$43=Model!$B$6)*($R$20:$R$43=$R3)*($S$20:$S$43=$S3)*(AU$20:AU$43))</f>
        <v>2.4084479551030706</v>
      </c>
      <c r="AV3" s="52" cm="1">
        <f t="array" ref="AV3">SUMPRODUCT(($P$20:$P$43=Model!$B$6)*($R$20:$R$43=$R3)*($S$20:$S$43=$S3)*(AV$20:AV$43))</f>
        <v>2.3727087222404797</v>
      </c>
      <c r="AW3" s="52" cm="1">
        <f t="array" ref="AW3">SUMPRODUCT(($P$20:$P$43=Model!$B$6)*($R$20:$R$43=$R3)*($S$20:$S$43=$S3)*(AW$20:AW$43))</f>
        <v>2.3383105847800461</v>
      </c>
      <c r="AX3" s="52" cm="1">
        <f t="array" ref="AX3">SUMPRODUCT(($P$20:$P$43=Model!$B$6)*($R$20:$R$43=$R3)*($S$20:$S$43=$S3)*(AX$20:AX$43))</f>
        <v>2.3123668042305248</v>
      </c>
      <c r="AY3" s="52" cm="1">
        <f t="array" ref="AY3">SUMPRODUCT(($P$20:$P$43=Model!$B$6)*($R$20:$R$43=$R3)*($S$20:$S$43=$S3)*(AY$20:AY$43))</f>
        <v>2.288135080855437</v>
      </c>
      <c r="AZ3" s="52" cm="1">
        <f t="array" ref="AZ3">SUMPRODUCT(($P$20:$P$43=Model!$B$6)*($R$20:$R$43=$R3)*($S$20:$S$43=$S3)*(AZ$20:AZ$43))</f>
        <v>2.2682145408073557</v>
      </c>
      <c r="BA3" s="52" cm="1">
        <f t="array" ref="BA3">SUMPRODUCT(($P$20:$P$43=Model!$B$6)*($R$20:$R$43=$R3)*($S$20:$S$43=$S3)*(BA$20:BA$43))</f>
        <v>2.2495659548065796</v>
      </c>
      <c r="BB3" s="52" cm="1">
        <f t="array" ref="BB3">SUMPRODUCT(($P$20:$P$43=Model!$B$6)*($R$20:$R$43=$R3)*($S$20:$S$43=$S3)*(BB$20:BB$43))</f>
        <v>2.2331066153043309</v>
      </c>
    </row>
    <row r="4" spans="1:54" x14ac:dyDescent="0.25">
      <c r="A4" s="19">
        <v>2021</v>
      </c>
      <c r="B4" s="19"/>
      <c r="C4" s="2">
        <f t="shared" ref="C4:C33" ca="1" si="0">OFFSET($X$12,0,ROW()-ROW($C$3))</f>
        <v>4.0055967121192673</v>
      </c>
      <c r="D4" s="2">
        <f t="shared" ref="D4:D33" ca="1" si="1">OFFSET($X$13,0,ROW()-ROW($F$3))</f>
        <v>7.5585566855436257</v>
      </c>
      <c r="E4" s="13">
        <f>Model!$B$7</f>
        <v>0</v>
      </c>
      <c r="F4" s="2">
        <f t="shared" ref="F4:F33" ca="1" si="2">D4*E4</f>
        <v>0</v>
      </c>
      <c r="G4" s="2">
        <f ca="1">C4+F4</f>
        <v>4.0055967121192673</v>
      </c>
      <c r="H4" s="2">
        <f ca="1">OFFSET($X$14,0,ROW()-ROW($H$3))</f>
        <v>-3.5526439361037987</v>
      </c>
      <c r="I4" s="2">
        <f t="shared" ref="I4:I33" ca="1" si="3">G4+H4</f>
        <v>0.45295277601546857</v>
      </c>
      <c r="J4" s="2">
        <f t="shared" ref="J4:J33" ca="1" si="4">C4+D4+H4</f>
        <v>8.0115094615590934</v>
      </c>
      <c r="K4" s="2"/>
      <c r="L4" s="2"/>
      <c r="M4" s="20">
        <f t="shared" ref="M4:M33" ca="1" si="5">MAX(0,(D4+H4)*1000)</f>
        <v>4005.9127494398272</v>
      </c>
      <c r="N4" s="20">
        <f t="shared" ref="N4:N33" ca="1" si="6">MIN(0,(D4+H4)*1000)</f>
        <v>0</v>
      </c>
      <c r="P4" s="51" t="str">
        <f>P3</f>
        <v>MPI Central</v>
      </c>
      <c r="Q4" s="51" t="s">
        <v>377</v>
      </c>
      <c r="R4" s="51" t="s">
        <v>378</v>
      </c>
      <c r="S4" s="51" t="s">
        <v>382</v>
      </c>
      <c r="T4" s="51" t="s">
        <v>383</v>
      </c>
      <c r="U4" s="51" t="s">
        <v>381</v>
      </c>
      <c r="V4" s="52" cm="1">
        <f t="array" ref="V4">SUMPRODUCT(($P$20:$P$43=Model!$B$6)*($R$20:$R$43=$R4)*($S$20:$S$43=$S4)*(V$20:V$43))</f>
        <v>8.4220683673060002</v>
      </c>
      <c r="W4" s="52" cm="1">
        <f t="array" ref="W4">SUMPRODUCT(($P$20:$P$43=Model!$B$6)*($R$20:$R$43=$R4)*($S$20:$S$43=$S4)*(W$20:W$43))</f>
        <v>8.3109429715469556</v>
      </c>
      <c r="X4" s="52" cm="1">
        <f t="array" ref="X4">SUMPRODUCT(($P$20:$P$43=Model!$B$6)*($R$20:$R$43=$R4)*($S$20:$S$43=$S4)*(X$20:X$43))</f>
        <v>7.9963015393850583</v>
      </c>
      <c r="Y4" s="52" cm="1">
        <f t="array" ref="Y4">SUMPRODUCT(($P$20:$P$43=Model!$B$6)*($R$20:$R$43=$R4)*($S$20:$S$43=$S4)*(Y$20:Y$43))</f>
        <v>7.5585566855436257</v>
      </c>
      <c r="Z4" s="52" cm="1">
        <f t="array" ref="Z4">SUMPRODUCT(($P$20:$P$43=Model!$B$6)*($R$20:$R$43=$R4)*($S$20:$S$43=$S4)*(Z$20:Z$43))</f>
        <v>6.8991949995693211</v>
      </c>
      <c r="AA4" s="52" cm="1">
        <f t="array" ref="AA4">SUMPRODUCT(($P$20:$P$43=Model!$B$6)*($R$20:$R$43=$R4)*($S$20:$S$43=$S4)*(AA$20:AA$43))</f>
        <v>6.2522055070772984</v>
      </c>
      <c r="AB4" s="52" cm="1">
        <f t="array" ref="AB4">SUMPRODUCT(($P$20:$P$43=Model!$B$6)*($R$20:$R$43=$R4)*($S$20:$S$43=$S4)*(AB$20:AB$43))</f>
        <v>5.5317668061692098</v>
      </c>
      <c r="AC4" s="52" cm="1">
        <f t="array" ref="AC4">SUMPRODUCT(($P$20:$P$43=Model!$B$6)*($R$20:$R$43=$R4)*($S$20:$S$43=$S4)*(AC$20:AC$43))</f>
        <v>5.1964550120394488</v>
      </c>
      <c r="AD4" s="52" cm="1">
        <f t="array" ref="AD4">SUMPRODUCT(($P$20:$P$43=Model!$B$6)*($R$20:$R$43=$R4)*($S$20:$S$43=$S4)*(AD$20:AD$43))</f>
        <v>4.9690682249806786</v>
      </c>
      <c r="AE4" s="52" cm="1">
        <f t="array" ref="AE4">SUMPRODUCT(($P$20:$P$43=Model!$B$6)*($R$20:$R$43=$R4)*($S$20:$S$43=$S4)*(AE$20:AE$43))</f>
        <v>4.8065288125560421</v>
      </c>
      <c r="AF4" s="52" cm="1">
        <f t="array" ref="AF4">SUMPRODUCT(($P$20:$P$43=Model!$B$6)*($R$20:$R$43=$R4)*($S$20:$S$43=$S4)*(AF$20:AF$43))</f>
        <v>4.6760415211923991</v>
      </c>
      <c r="AG4" s="52" cm="1">
        <f t="array" ref="AG4">SUMPRODUCT(($P$20:$P$43=Model!$B$6)*($R$20:$R$43=$R4)*($S$20:$S$43=$S4)*(AG$20:AG$43))</f>
        <v>4.5850640377802705</v>
      </c>
      <c r="AH4" s="52" cm="1">
        <f t="array" ref="AH4">SUMPRODUCT(($P$20:$P$43=Model!$B$6)*($R$20:$R$43=$R4)*($S$20:$S$43=$S4)*(AH$20:AH$43))</f>
        <v>4.7662829849720358</v>
      </c>
      <c r="AI4" s="52" cm="1">
        <f t="array" ref="AI4">SUMPRODUCT(($P$20:$P$43=Model!$B$6)*($R$20:$R$43=$R4)*($S$20:$S$43=$S4)*(AI$20:AI$43))</f>
        <v>5.0673769836627649</v>
      </c>
      <c r="AJ4" s="52" cm="1">
        <f t="array" ref="AJ4">SUMPRODUCT(($P$20:$P$43=Model!$B$6)*($R$20:$R$43=$R4)*($S$20:$S$43=$S4)*(AJ$20:AJ$43))</f>
        <v>5.5732071972629829</v>
      </c>
      <c r="AK4" s="52" cm="1">
        <f t="array" ref="AK4">SUMPRODUCT(($P$20:$P$43=Model!$B$6)*($R$20:$R$43=$R4)*($S$20:$S$43=$S4)*(AK$20:AK$43))</f>
        <v>6.153758348940201</v>
      </c>
      <c r="AL4" s="52" cm="1">
        <f t="array" ref="AL4">SUMPRODUCT(($P$20:$P$43=Model!$B$6)*($R$20:$R$43=$R4)*($S$20:$S$43=$S4)*(AL$20:AL$43))</f>
        <v>6.8793023814401266</v>
      </c>
      <c r="AM4" s="52" cm="1">
        <f t="array" ref="AM4">SUMPRODUCT(($P$20:$P$43=Model!$B$6)*($R$20:$R$43=$R4)*($S$20:$S$43=$S4)*(AM$20:AM$43))</f>
        <v>7.3134707551292921</v>
      </c>
      <c r="AN4" s="52" cm="1">
        <f t="array" ref="AN4">SUMPRODUCT(($P$20:$P$43=Model!$B$6)*($R$20:$R$43=$R4)*($S$20:$S$43=$S4)*(AN$20:AN$43))</f>
        <v>7.6554463640580712</v>
      </c>
      <c r="AO4" s="52" cm="1">
        <f t="array" ref="AO4">SUMPRODUCT(($P$20:$P$43=Model!$B$6)*($R$20:$R$43=$R4)*($S$20:$S$43=$S4)*(AO$20:AO$43))</f>
        <v>7.9033857131870198</v>
      </c>
      <c r="AP4" s="52" cm="1">
        <f t="array" ref="AP4">SUMPRODUCT(($P$20:$P$43=Model!$B$6)*($R$20:$R$43=$R4)*($S$20:$S$43=$S4)*(AP$20:AP$43))</f>
        <v>8.1041522949765543</v>
      </c>
      <c r="AQ4" s="52" cm="1">
        <f t="array" ref="AQ4">SUMPRODUCT(($P$20:$P$43=Model!$B$6)*($R$20:$R$43=$R4)*($S$20:$S$43=$S4)*(AQ$20:AQ$43))</f>
        <v>8.0825196790513907</v>
      </c>
      <c r="AR4" s="52" cm="1">
        <f t="array" ref="AR4">SUMPRODUCT(($P$20:$P$43=Model!$B$6)*($R$20:$R$43=$R4)*($S$20:$S$43=$S4)*(AR$20:AR$43))</f>
        <v>7.8346159763625565</v>
      </c>
      <c r="AS4" s="52" cm="1">
        <f t="array" ref="AS4">SUMPRODUCT(($P$20:$P$43=Model!$B$6)*($R$20:$R$43=$R4)*($S$20:$S$43=$S4)*(AS$20:AS$43))</f>
        <v>7.7874285804629082</v>
      </c>
      <c r="AT4" s="52" cm="1">
        <f t="array" ref="AT4">SUMPRODUCT(($P$20:$P$43=Model!$B$6)*($R$20:$R$43=$R4)*($S$20:$S$43=$S4)*(AT$20:AT$43))</f>
        <v>7.7084833631410028</v>
      </c>
      <c r="AU4" s="52" cm="1">
        <f t="array" ref="AU4">SUMPRODUCT(($P$20:$P$43=Model!$B$6)*($R$20:$R$43=$R4)*($S$20:$S$43=$S4)*(AU$20:AU$43))</f>
        <v>7.6104418614154516</v>
      </c>
      <c r="AV4" s="52" cm="1">
        <f t="array" ref="AV4">SUMPRODUCT(($P$20:$P$43=Model!$B$6)*($R$20:$R$43=$R4)*($S$20:$S$43=$S4)*(AV$20:AV$43))</f>
        <v>7.5715408472250481</v>
      </c>
      <c r="AW4" s="52" cm="1">
        <f t="array" ref="AW4">SUMPRODUCT(($P$20:$P$43=Model!$B$6)*($R$20:$R$43=$R4)*($S$20:$S$43=$S4)*(AW$20:AW$43))</f>
        <v>7.5560131157239256</v>
      </c>
      <c r="AX4" s="52" cm="1">
        <f t="array" ref="AX4">SUMPRODUCT(($P$20:$P$43=Model!$B$6)*($R$20:$R$43=$R4)*($S$20:$S$43=$S4)*(AX$20:AX$43))</f>
        <v>7.5610976185075636</v>
      </c>
      <c r="AY4" s="52" cm="1">
        <f t="array" ref="AY4">SUMPRODUCT(($P$20:$P$43=Model!$B$6)*($R$20:$R$43=$R4)*($S$20:$S$43=$S4)*(AY$20:AY$43))</f>
        <v>7.2869599039431625</v>
      </c>
      <c r="AZ4" s="52" cm="1">
        <f t="array" ref="AZ4">SUMPRODUCT(($P$20:$P$43=Model!$B$6)*($R$20:$R$43=$R4)*($S$20:$S$43=$S4)*(AZ$20:AZ$43))</f>
        <v>6.9990266782100807</v>
      </c>
      <c r="BA4" s="52" cm="1">
        <f t="array" ref="BA4">SUMPRODUCT(($P$20:$P$43=Model!$B$6)*($R$20:$R$43=$R4)*($S$20:$S$43=$S4)*(BA$20:BA$43))</f>
        <v>6.6034741983414609</v>
      </c>
      <c r="BB4" s="52" cm="1">
        <f t="array" ref="BB4">SUMPRODUCT(($P$20:$P$43=Model!$B$6)*($R$20:$R$43=$R4)*($S$20:$S$43=$S4)*(BB$20:BB$43))</f>
        <v>6.3557423602063654</v>
      </c>
    </row>
    <row r="5" spans="1:54" x14ac:dyDescent="0.25">
      <c r="A5" s="27">
        <v>2022</v>
      </c>
      <c r="B5" s="20">
        <f ca="1">OFFSET(Afforestation!$B$2,0,ROW()-ROW($B$5))</f>
        <v>89538.905225076393</v>
      </c>
      <c r="C5" s="2">
        <f t="shared" ca="1" si="0"/>
        <v>4.3734773485979597</v>
      </c>
      <c r="D5" s="2">
        <f t="shared" ca="1" si="1"/>
        <v>6.8991949995693211</v>
      </c>
      <c r="E5" s="13">
        <f>Model!$B$7</f>
        <v>0</v>
      </c>
      <c r="F5" s="2">
        <f t="shared" ca="1" si="2"/>
        <v>0</v>
      </c>
      <c r="G5" s="2">
        <f t="shared" ref="G5:G33" ca="1" si="7">C5+F5</f>
        <v>4.3734773485979597</v>
      </c>
      <c r="H5" s="2">
        <f t="shared" ref="H5:H33" ca="1" si="8">OFFSET($X$14,0,ROW()-ROW($H$3))</f>
        <v>-7.1031544328219329</v>
      </c>
      <c r="I5" s="2">
        <f t="shared" ca="1" si="3"/>
        <v>-2.7296770842239733</v>
      </c>
      <c r="J5" s="2">
        <f t="shared" ca="1" si="4"/>
        <v>4.169517915345347</v>
      </c>
      <c r="K5" s="20">
        <f ca="1">Model!B12-Model!B11+((D5-F5+H5)*1000)</f>
        <v>94418.040566747382</v>
      </c>
      <c r="L5" s="20"/>
      <c r="M5" s="20">
        <f t="shared" ca="1" si="5"/>
        <v>0</v>
      </c>
      <c r="N5" s="20">
        <f t="shared" ca="1" si="6"/>
        <v>-203.9594332526118</v>
      </c>
      <c r="P5" s="51" t="str">
        <f t="shared" ref="P5:P19" si="9">P4</f>
        <v>MPI Central</v>
      </c>
      <c r="Q5" s="51" t="s">
        <v>377</v>
      </c>
      <c r="R5" s="51" t="s">
        <v>378</v>
      </c>
      <c r="S5" s="51" t="s">
        <v>384</v>
      </c>
      <c r="T5" s="51" t="s">
        <v>385</v>
      </c>
      <c r="U5" s="51" t="s">
        <v>386</v>
      </c>
      <c r="V5" s="52" cm="1">
        <f t="array" ref="V5">SUMPRODUCT(($P$20:$P$43=Model!$B$6)*($R$20:$R$43=$R5)*($S$20:$S$43=$S5)*(V$20:V$43))</f>
        <v>-0.62323209037416771</v>
      </c>
      <c r="W5" s="52" cm="1">
        <f t="array" ref="W5">SUMPRODUCT(($P$20:$P$43=Model!$B$6)*($R$20:$R$43=$R5)*($S$20:$S$43=$S5)*(W$20:W$43))</f>
        <v>-1.0986200726298805</v>
      </c>
      <c r="X5" s="52" cm="1">
        <f t="array" ref="X5">SUMPRODUCT(($P$20:$P$43=Model!$B$6)*($R$20:$R$43=$R5)*($S$20:$S$43=$S5)*(X$20:X$43))</f>
        <v>-2.264416992551963</v>
      </c>
      <c r="Y5" s="52" cm="1">
        <f t="array" ref="Y5">SUMPRODUCT(($P$20:$P$43=Model!$B$6)*($R$20:$R$43=$R5)*($S$20:$S$43=$S5)*(Y$20:Y$43))</f>
        <v>-3.4280706602912034</v>
      </c>
      <c r="Z5" s="52" cm="1">
        <f t="array" ref="Z5">SUMPRODUCT(($P$20:$P$43=Model!$B$6)*($R$20:$R$43=$R5)*($S$20:$S$43=$S5)*(Z$20:Z$43))</f>
        <v>-6.9348231812418666</v>
      </c>
      <c r="AA5" s="52" cm="1">
        <f t="array" ref="AA5">SUMPRODUCT(($P$20:$P$43=Model!$B$6)*($R$20:$R$43=$R5)*($S$20:$S$43=$S5)*(AA$20:AA$43))</f>
        <v>-8.4841803865887222</v>
      </c>
      <c r="AB5" s="52" cm="1">
        <f t="array" ref="AB5">SUMPRODUCT(($P$20:$P$43=Model!$B$6)*($R$20:$R$43=$R5)*($S$20:$S$43=$S5)*(AB$20:AB$43))</f>
        <v>-11.162739071814798</v>
      </c>
      <c r="AC5" s="52" cm="1">
        <f t="array" ref="AC5">SUMPRODUCT(($P$20:$P$43=Model!$B$6)*($R$20:$R$43=$R5)*($S$20:$S$43=$S5)*(AC$20:AC$43))</f>
        <v>-7.2052771097290194</v>
      </c>
      <c r="AD5" s="52" cm="1">
        <f t="array" ref="AD5">SUMPRODUCT(($P$20:$P$43=Model!$B$6)*($R$20:$R$43=$R5)*($S$20:$S$43=$S5)*(AD$20:AD$43))</f>
        <v>-5.6234563090434726</v>
      </c>
      <c r="AE5" s="52" cm="1">
        <f t="array" ref="AE5">SUMPRODUCT(($P$20:$P$43=Model!$B$6)*($R$20:$R$43=$R5)*($S$20:$S$43=$S5)*(AE$20:AE$43))</f>
        <v>-4.3068753169076288</v>
      </c>
      <c r="AF5" s="52" cm="1">
        <f t="array" ref="AF5">SUMPRODUCT(($P$20:$P$43=Model!$B$6)*($R$20:$R$43=$R5)*($S$20:$S$43=$S5)*(AF$20:AF$43))</f>
        <v>-5.0907092337693278</v>
      </c>
      <c r="AG5" s="52" cm="1">
        <f t="array" ref="AG5">SUMPRODUCT(($P$20:$P$43=Model!$B$6)*($R$20:$R$43=$R5)*($S$20:$S$43=$S5)*(AG$20:AG$43))</f>
        <v>-5.0573555650246611</v>
      </c>
      <c r="AH5" s="52" cm="1">
        <f t="array" ref="AH5">SUMPRODUCT(($P$20:$P$43=Model!$B$6)*($R$20:$R$43=$R5)*($S$20:$S$43=$S5)*(AH$20:AH$43))</f>
        <v>-3.5497604800320306</v>
      </c>
      <c r="AI5" s="52" cm="1">
        <f t="array" ref="AI5">SUMPRODUCT(($P$20:$P$43=Model!$B$6)*($R$20:$R$43=$R5)*($S$20:$S$43=$S5)*(AI$20:AI$43))</f>
        <v>-2.4916397263077261</v>
      </c>
      <c r="AJ5" s="52" cm="1">
        <f t="array" ref="AJ5">SUMPRODUCT(($P$20:$P$43=Model!$B$6)*($R$20:$R$43=$R5)*($S$20:$S$43=$S5)*(AJ$20:AJ$43))</f>
        <v>-1.7267523405113083</v>
      </c>
      <c r="AK5" s="52" cm="1">
        <f t="array" ref="AK5">SUMPRODUCT(($P$20:$P$43=Model!$B$6)*($R$20:$R$43=$R5)*($S$20:$S$43=$S5)*(AK$20:AK$43))</f>
        <v>-0.67509207643333091</v>
      </c>
      <c r="AL5" s="52" cm="1">
        <f t="array" ref="AL5">SUMPRODUCT(($P$20:$P$43=Model!$B$6)*($R$20:$R$43=$R5)*($S$20:$S$43=$S5)*(AL$20:AL$43))</f>
        <v>-0.91103835089527441</v>
      </c>
      <c r="AM5" s="52" cm="1">
        <f t="array" ref="AM5">SUMPRODUCT(($P$20:$P$43=Model!$B$6)*($R$20:$R$43=$R5)*($S$20:$S$43=$S5)*(AM$20:AM$43))</f>
        <v>-0.75012406273475374</v>
      </c>
      <c r="AN5" s="52" cm="1">
        <f t="array" ref="AN5">SUMPRODUCT(($P$20:$P$43=Model!$B$6)*($R$20:$R$43=$R5)*($S$20:$S$43=$S5)*(AN$20:AN$43))</f>
        <v>-1.3670294470833129</v>
      </c>
      <c r="AO5" s="52" cm="1">
        <f t="array" ref="AO5">SUMPRODUCT(($P$20:$P$43=Model!$B$6)*($R$20:$R$43=$R5)*($S$20:$S$43=$S5)*(AO$20:AO$43))</f>
        <v>-1.3923438762147256</v>
      </c>
      <c r="AP5" s="52" cm="1">
        <f t="array" ref="AP5">SUMPRODUCT(($P$20:$P$43=Model!$B$6)*($R$20:$R$43=$R5)*($S$20:$S$43=$S5)*(AP$20:AP$43))</f>
        <v>-2.3733841248424454</v>
      </c>
      <c r="AQ5" s="52" cm="1">
        <f t="array" ref="AQ5">SUMPRODUCT(($P$20:$P$43=Model!$B$6)*($R$20:$R$43=$R5)*($S$20:$S$43=$S5)*(AQ$20:AQ$43))</f>
        <v>-5.946210530423353</v>
      </c>
      <c r="AR5" s="52" cm="1">
        <f t="array" ref="AR5">SUMPRODUCT(($P$20:$P$43=Model!$B$6)*($R$20:$R$43=$R5)*($S$20:$S$43=$S5)*(AR$20:AR$43))</f>
        <v>-8.317245418117345</v>
      </c>
      <c r="AS5" s="52" cm="1">
        <f t="array" ref="AS5">SUMPRODUCT(($P$20:$P$43=Model!$B$6)*($R$20:$R$43=$R5)*($S$20:$S$43=$S5)*(AS$20:AS$43))</f>
        <v>-4.4906002414153399</v>
      </c>
      <c r="AT5" s="52" cm="1">
        <f t="array" ref="AT5">SUMPRODUCT(($P$20:$P$43=Model!$B$6)*($R$20:$R$43=$R5)*($S$20:$S$43=$S5)*(AT$20:AT$43))</f>
        <v>-4.6262953911331328</v>
      </c>
      <c r="AU5" s="52" cm="1">
        <f t="array" ref="AU5">SUMPRODUCT(($P$20:$P$43=Model!$B$6)*($R$20:$R$43=$R5)*($S$20:$S$43=$S5)*(AU$20:AU$43))</f>
        <v>-3.6441200537988672</v>
      </c>
      <c r="AV5" s="52" cm="1">
        <f t="array" ref="AV5">SUMPRODUCT(($P$20:$P$43=Model!$B$6)*($R$20:$R$43=$R5)*($S$20:$S$43=$S5)*(AV$20:AV$43))</f>
        <v>-2.5426441220864398</v>
      </c>
      <c r="AW5" s="52" cm="1">
        <f t="array" ref="AW5">SUMPRODUCT(($P$20:$P$43=Model!$B$6)*($R$20:$R$43=$R5)*($S$20:$S$43=$S5)*(AW$20:AW$43))</f>
        <v>-2.0003292673605197</v>
      </c>
      <c r="AX5" s="52" cm="1">
        <f t="array" ref="AX5">SUMPRODUCT(($P$20:$P$43=Model!$B$6)*($R$20:$R$43=$R5)*($S$20:$S$43=$S5)*(AX$20:AX$43))</f>
        <v>-2.6391051450242826</v>
      </c>
      <c r="AY5" s="52" cm="1">
        <f t="array" ref="AY5">SUMPRODUCT(($P$20:$P$43=Model!$B$6)*($R$20:$R$43=$R5)*($S$20:$S$43=$S5)*(AY$20:AY$43))</f>
        <v>-4.8944907696400186</v>
      </c>
      <c r="AZ5" s="52" cm="1">
        <f t="array" ref="AZ5">SUMPRODUCT(($P$20:$P$43=Model!$B$6)*($R$20:$R$43=$R5)*($S$20:$S$43=$S5)*(AZ$20:AZ$43))</f>
        <v>-5.0531918809122311</v>
      </c>
      <c r="BA5" s="52" cm="1">
        <f t="array" ref="BA5">SUMPRODUCT(($P$20:$P$43=Model!$B$6)*($R$20:$R$43=$R5)*($S$20:$S$43=$S5)*(BA$20:BA$43))</f>
        <v>-6.3455420168118719</v>
      </c>
      <c r="BB5" s="52" cm="1">
        <f t="array" ref="BB5">SUMPRODUCT(($P$20:$P$43=Model!$B$6)*($R$20:$R$43=$R5)*($S$20:$S$43=$S5)*(BB$20:BB$43))</f>
        <v>-6.8121106916988996</v>
      </c>
    </row>
    <row r="6" spans="1:54" x14ac:dyDescent="0.25">
      <c r="A6" s="19">
        <v>2023</v>
      </c>
      <c r="B6" s="20">
        <f ca="1">OFFSET(Afforestation!$B$2,0,ROW()-ROW($B$5))</f>
        <v>76325.669666666668</v>
      </c>
      <c r="C6" s="2">
        <f t="shared" ca="1" si="0"/>
        <v>5.5215918458227504</v>
      </c>
      <c r="D6" s="2">
        <f t="shared" ca="1" si="1"/>
        <v>6.2522055070772984</v>
      </c>
      <c r="E6" s="13">
        <f>Model!$B$7</f>
        <v>0</v>
      </c>
      <c r="F6" s="2">
        <f t="shared" ca="1" si="2"/>
        <v>0</v>
      </c>
      <c r="G6" s="2">
        <f t="shared" ca="1" si="7"/>
        <v>5.5215918458227504</v>
      </c>
      <c r="H6" s="2">
        <f t="shared" ca="1" si="8"/>
        <v>-8.6508629228133689</v>
      </c>
      <c r="I6" s="2">
        <f t="shared" ca="1" si="3"/>
        <v>-3.1292710769906185</v>
      </c>
      <c r="J6" s="2">
        <f ca="1">C6+D6+H6</f>
        <v>3.1229344300866799</v>
      </c>
      <c r="K6" s="20">
        <f ca="1">K5+(D6-F6+H6)*1000</f>
        <v>92019.383151011309</v>
      </c>
      <c r="L6" s="20">
        <f ca="1">K6-K5</f>
        <v>-2398.6574157360737</v>
      </c>
      <c r="M6" s="20">
        <f t="shared" ca="1" si="5"/>
        <v>0</v>
      </c>
      <c r="N6" s="20">
        <f t="shared" ca="1" si="6"/>
        <v>-2398.6574157360706</v>
      </c>
      <c r="P6" s="51" t="str">
        <f t="shared" si="9"/>
        <v>MPI Central</v>
      </c>
      <c r="Q6" s="51" t="s">
        <v>377</v>
      </c>
      <c r="R6" s="51" t="s">
        <v>387</v>
      </c>
      <c r="S6" s="51" t="s">
        <v>379</v>
      </c>
      <c r="T6" s="51" t="s">
        <v>388</v>
      </c>
      <c r="U6" s="51" t="s">
        <v>381</v>
      </c>
      <c r="V6" s="52" cm="1">
        <f t="array" ref="V6">SUMPRODUCT(($P$20:$P$43=Model!$B$6)*($R$20:$R$43=$R6)*($S$20:$S$43=$S6)*(V$20:V$43))</f>
        <v>0.47898569712953609</v>
      </c>
      <c r="W6" s="52" cm="1">
        <f t="array" ref="W6">SUMPRODUCT(($P$20:$P$43=Model!$B$6)*($R$20:$R$43=$R6)*($S$20:$S$43=$S6)*(W$20:W$43))</f>
        <v>0.48301782703722457</v>
      </c>
      <c r="X6" s="52" cm="1">
        <f t="array" ref="X6">SUMPRODUCT(($P$20:$P$43=Model!$B$6)*($R$20:$R$43=$R6)*($S$20:$S$43=$S6)*(X$20:X$43))</f>
        <v>0.48446957380791966</v>
      </c>
      <c r="Y6" s="52" cm="1">
        <f t="array" ref="Y6">SUMPRODUCT(($P$20:$P$43=Model!$B$6)*($R$20:$R$43=$R6)*($S$20:$S$43=$S6)*(Y$20:Y$43))</f>
        <v>0.48446871707076222</v>
      </c>
      <c r="Z6" s="52" cm="1">
        <f t="array" ref="Z6">SUMPRODUCT(($P$20:$P$43=Model!$B$6)*($R$20:$R$43=$R6)*($S$20:$S$43=$S6)*(Z$20:Z$43))</f>
        <v>0.48276102805894744</v>
      </c>
      <c r="AA6" s="52" cm="1">
        <f t="array" ref="AA6">SUMPRODUCT(($P$20:$P$43=Model!$B$6)*($R$20:$R$43=$R6)*($S$20:$S$43=$S6)*(AA$20:AA$43))</f>
        <v>0.47917345838420422</v>
      </c>
      <c r="AB6" s="52" cm="1">
        <f t="array" ref="AB6">SUMPRODUCT(($P$20:$P$43=Model!$B$6)*($R$20:$R$43=$R6)*($S$20:$S$43=$S6)*(AB$20:AB$43))</f>
        <v>0.47588770544550302</v>
      </c>
      <c r="AC6" s="52" cm="1">
        <f t="array" ref="AC6">SUMPRODUCT(($P$20:$P$43=Model!$B$6)*($R$20:$R$43=$R6)*($S$20:$S$43=$S6)*(AC$20:AC$43))</f>
        <v>0.46856573469288354</v>
      </c>
      <c r="AD6" s="52" cm="1">
        <f t="array" ref="AD6">SUMPRODUCT(($P$20:$P$43=Model!$B$6)*($R$20:$R$43=$R6)*($S$20:$S$43=$S6)*(AD$20:AD$43))</f>
        <v>0.46097679476543596</v>
      </c>
      <c r="AE6" s="52" cm="1">
        <f t="array" ref="AE6">SUMPRODUCT(($P$20:$P$43=Model!$B$6)*($R$20:$R$43=$R6)*($S$20:$S$43=$S6)*(AE$20:AE$43))</f>
        <v>0.44966411206337353</v>
      </c>
      <c r="AF6" s="52" cm="1">
        <f t="array" ref="AF6">SUMPRODUCT(($P$20:$P$43=Model!$B$6)*($R$20:$R$43=$R6)*($S$20:$S$43=$S6)*(AF$20:AF$43))</f>
        <v>0.44185002874443313</v>
      </c>
      <c r="AG6" s="52" cm="1">
        <f t="array" ref="AG6">SUMPRODUCT(($P$20:$P$43=Model!$B$6)*($R$20:$R$43=$R6)*($S$20:$S$43=$S6)*(AG$20:AG$43))</f>
        <v>0.42753340090481534</v>
      </c>
      <c r="AH6" s="52" cm="1">
        <f t="array" ref="AH6">SUMPRODUCT(($P$20:$P$43=Model!$B$6)*($R$20:$R$43=$R6)*($S$20:$S$43=$S6)*(AH$20:AH$43))</f>
        <v>0.41510689158723174</v>
      </c>
      <c r="AI6" s="52" cm="1">
        <f t="array" ref="AI6">SUMPRODUCT(($P$20:$P$43=Model!$B$6)*($R$20:$R$43=$R6)*($S$20:$S$43=$S6)*(AI$20:AI$43))</f>
        <v>0.40263781777426655</v>
      </c>
      <c r="AJ6" s="52" cm="1">
        <f t="array" ref="AJ6">SUMPRODUCT(($P$20:$P$43=Model!$B$6)*($R$20:$R$43=$R6)*($S$20:$S$43=$S6)*(AJ$20:AJ$43))</f>
        <v>0.38686177509059738</v>
      </c>
      <c r="AK6" s="52" cm="1">
        <f t="array" ref="AK6">SUMPRODUCT(($P$20:$P$43=Model!$B$6)*($R$20:$R$43=$R6)*($S$20:$S$43=$S6)*(AK$20:AK$43))</f>
        <v>0.37067991777705284</v>
      </c>
      <c r="AL6" s="52" cm="1">
        <f t="array" ref="AL6">SUMPRODUCT(($P$20:$P$43=Model!$B$6)*($R$20:$R$43=$R6)*($S$20:$S$43=$S6)*(AL$20:AL$43))</f>
        <v>0.35202430068879625</v>
      </c>
      <c r="AM6" s="52" cm="1">
        <f t="array" ref="AM6">SUMPRODUCT(($P$20:$P$43=Model!$B$6)*($R$20:$R$43=$R6)*($S$20:$S$43=$S6)*(AM$20:AM$43))</f>
        <v>0.33852052212503292</v>
      </c>
      <c r="AN6" s="52" cm="1">
        <f t="array" ref="AN6">SUMPRODUCT(($P$20:$P$43=Model!$B$6)*($R$20:$R$43=$R6)*($S$20:$S$43=$S6)*(AN$20:AN$43))</f>
        <v>0.31891751191500156</v>
      </c>
      <c r="AO6" s="52" cm="1">
        <f t="array" ref="AO6">SUMPRODUCT(($P$20:$P$43=Model!$B$6)*($R$20:$R$43=$R6)*($S$20:$S$43=$S6)*(AO$20:AO$43))</f>
        <v>0.30241803587665012</v>
      </c>
      <c r="AP6" s="52" cm="1">
        <f t="array" ref="AP6">SUMPRODUCT(($P$20:$P$43=Model!$B$6)*($R$20:$R$43=$R6)*($S$20:$S$43=$S6)*(AP$20:AP$43))</f>
        <v>0.28664868669115312</v>
      </c>
      <c r="AQ6" s="52" cm="1">
        <f t="array" ref="AQ6">SUMPRODUCT(($P$20:$P$43=Model!$B$6)*($R$20:$R$43=$R6)*($S$20:$S$43=$S6)*(AQ$20:AQ$43))</f>
        <v>0.27162281033109364</v>
      </c>
      <c r="AR6" s="52" cm="1">
        <f t="array" ref="AR6">SUMPRODUCT(($P$20:$P$43=Model!$B$6)*($R$20:$R$43=$R6)*($S$20:$S$43=$S6)*(AR$20:AR$43))</f>
        <v>0.25785722402432326</v>
      </c>
      <c r="AS6" s="52" cm="1">
        <f t="array" ref="AS6">SUMPRODUCT(($P$20:$P$43=Model!$B$6)*($R$20:$R$43=$R6)*($S$20:$S$43=$S6)*(AS$20:AS$43))</f>
        <v>0.24261081129507367</v>
      </c>
      <c r="AT6" s="52" cm="1">
        <f t="array" ref="AT6">SUMPRODUCT(($P$20:$P$43=Model!$B$6)*($R$20:$R$43=$R6)*($S$20:$S$43=$S6)*(AT$20:AT$43))</f>
        <v>0.23302038042631035</v>
      </c>
      <c r="AU6" s="52" cm="1">
        <f t="array" ref="AU6">SUMPRODUCT(($P$20:$P$43=Model!$B$6)*($R$20:$R$43=$R6)*($S$20:$S$43=$S6)*(AU$20:AU$43))</f>
        <v>0.21975360856748136</v>
      </c>
      <c r="AV6" s="52" cm="1">
        <f t="array" ref="AV6">SUMPRODUCT(($P$20:$P$43=Model!$B$6)*($R$20:$R$43=$R6)*($S$20:$S$43=$S6)*(AV$20:AV$43))</f>
        <v>0.20944621825951898</v>
      </c>
      <c r="AW6" s="52" cm="1">
        <f t="array" ref="AW6">SUMPRODUCT(($P$20:$P$43=Model!$B$6)*($R$20:$R$43=$R6)*($S$20:$S$43=$S6)*(AW$20:AW$43))</f>
        <v>0.20113169858287067</v>
      </c>
      <c r="AX6" s="52" cm="1">
        <f t="array" ref="AX6">SUMPRODUCT(($P$20:$P$43=Model!$B$6)*($R$20:$R$43=$R6)*($S$20:$S$43=$S6)*(AX$20:AX$43))</f>
        <v>0.19026507937082426</v>
      </c>
      <c r="AY6" s="52" cm="1">
        <f t="array" ref="AY6">SUMPRODUCT(($P$20:$P$43=Model!$B$6)*($R$20:$R$43=$R6)*($S$20:$S$43=$S6)*(AY$20:AY$43))</f>
        <v>0.18442971417915777</v>
      </c>
      <c r="AZ6" s="52" cm="1">
        <f t="array" ref="AZ6">SUMPRODUCT(($P$20:$P$43=Model!$B$6)*($R$20:$R$43=$R6)*($S$20:$S$43=$S6)*(AZ$20:AZ$43))</f>
        <v>0.1748872226571801</v>
      </c>
      <c r="BA6" s="52" cm="1">
        <f t="array" ref="BA6">SUMPRODUCT(($P$20:$P$43=Model!$B$6)*($R$20:$R$43=$R6)*($S$20:$S$43=$S6)*(BA$20:BA$43))</f>
        <v>0.17036461784475498</v>
      </c>
      <c r="BB6" s="52" cm="1">
        <f t="array" ref="BB6">SUMPRODUCT(($P$20:$P$43=Model!$B$6)*($R$20:$R$43=$R6)*($S$20:$S$43=$S6)*(BB$20:BB$43))</f>
        <v>0.16376531806951347</v>
      </c>
    </row>
    <row r="7" spans="1:54" x14ac:dyDescent="0.25">
      <c r="A7" s="19">
        <v>2024</v>
      </c>
      <c r="B7" s="20">
        <f ca="1">OFFSET(Afforestation!$B$2,0,ROW()-ROW($B$5))</f>
        <v>62600</v>
      </c>
      <c r="C7" s="2">
        <f t="shared" ca="1" si="0"/>
        <v>6.6446509993934484</v>
      </c>
      <c r="D7" s="2">
        <f ca="1">OFFSET($X$13,0,ROW()-ROW($F$3))</f>
        <v>5.5317668061692098</v>
      </c>
      <c r="E7" s="342">
        <f>Model!$B$7</f>
        <v>0</v>
      </c>
      <c r="F7" s="2">
        <f t="shared" ca="1" si="2"/>
        <v>0</v>
      </c>
      <c r="G7" s="2">
        <f t="shared" ca="1" si="7"/>
        <v>6.6446509993934484</v>
      </c>
      <c r="H7" s="2">
        <f ca="1">OFFSET($X$14,0,ROW()-ROW($H$3))</f>
        <v>-11.377046089842661</v>
      </c>
      <c r="I7" s="2">
        <f t="shared" ca="1" si="3"/>
        <v>-4.7323950904492129</v>
      </c>
      <c r="J7" s="2">
        <f t="shared" ca="1" si="4"/>
        <v>0.79937171571999599</v>
      </c>
      <c r="K7" s="20">
        <f ca="1">K6+(D7-F7+H7)*1000</f>
        <v>86174.103867337864</v>
      </c>
      <c r="L7" s="20">
        <f t="shared" ref="L7:L33" ca="1" si="10">K7-K6</f>
        <v>-5845.2792836734443</v>
      </c>
      <c r="M7" s="20">
        <f t="shared" ca="1" si="5"/>
        <v>0</v>
      </c>
      <c r="N7" s="20">
        <f t="shared" ca="1" si="6"/>
        <v>-5845.2792836734516</v>
      </c>
      <c r="P7" s="51" t="str">
        <f t="shared" si="9"/>
        <v>MPI Central</v>
      </c>
      <c r="Q7" s="51" t="s">
        <v>377</v>
      </c>
      <c r="R7" s="51" t="s">
        <v>378</v>
      </c>
      <c r="S7" s="51" t="s">
        <v>389</v>
      </c>
      <c r="T7" s="51" t="s">
        <v>390</v>
      </c>
      <c r="U7" s="51" t="s">
        <v>386</v>
      </c>
      <c r="V7" s="52" cm="1">
        <f t="array" ref="V7">SUMPRODUCT(($P$20:$P$43=Model!$B$6)*($R$20:$R$43=$R7)*($S$20:$S$43=$S7)*(V$20:V$43))</f>
        <v>-5.5962042482270616E-2</v>
      </c>
      <c r="W7" s="52" cm="1">
        <f t="array" ref="W7">SUMPRODUCT(($P$20:$P$43=Model!$B$6)*($R$20:$R$43=$R7)*($S$20:$S$43=$S7)*(W$20:W$43))</f>
        <v>-3.4222420425129851E-2</v>
      </c>
      <c r="X7" s="52" cm="1">
        <f t="array" ref="X7">SUMPRODUCT(($P$20:$P$43=Model!$B$6)*($R$20:$R$43=$R7)*($S$20:$S$43=$S7)*(X$20:X$43))</f>
        <v>-6.0456674775362915E-2</v>
      </c>
      <c r="Y7" s="52" cm="1">
        <f t="array" ref="Y7">SUMPRODUCT(($P$20:$P$43=Model!$B$6)*($R$20:$R$43=$R7)*($S$20:$S$43=$S7)*(Y$20:Y$43))</f>
        <v>-0.12457327581259528</v>
      </c>
      <c r="Z7" s="52" cm="1">
        <f t="array" ref="Z7">SUMPRODUCT(($P$20:$P$43=Model!$B$6)*($R$20:$R$43=$R7)*($S$20:$S$43=$S7)*(Z$20:Z$43))</f>
        <v>-0.16833125158006612</v>
      </c>
      <c r="AA7" s="52" cm="1">
        <f t="array" ref="AA7">SUMPRODUCT(($P$20:$P$43=Model!$B$6)*($R$20:$R$43=$R7)*($S$20:$S$43=$S7)*(AA$20:AA$43))</f>
        <v>-0.16668253622464729</v>
      </c>
      <c r="AB7" s="52" cm="1">
        <f t="array" ref="AB7">SUMPRODUCT(($P$20:$P$43=Model!$B$6)*($R$20:$R$43=$R7)*($S$20:$S$43=$S7)*(AB$20:AB$43))</f>
        <v>-0.21430701802786423</v>
      </c>
      <c r="AC7" s="52" cm="1">
        <f t="array" ref="AC7">SUMPRODUCT(($P$20:$P$43=Model!$B$6)*($R$20:$R$43=$R7)*($S$20:$S$43=$S7)*(AC$20:AC$43))</f>
        <v>-0.14467085065202556</v>
      </c>
      <c r="AD7" s="52" cm="1">
        <f t="array" ref="AD7">SUMPRODUCT(($P$20:$P$43=Model!$B$6)*($R$20:$R$43=$R7)*($S$20:$S$43=$S7)*(AD$20:AD$43))</f>
        <v>-0.11433667404658122</v>
      </c>
      <c r="AE7" s="52" cm="1">
        <f t="array" ref="AE7">SUMPRODUCT(($P$20:$P$43=Model!$B$6)*($R$20:$R$43=$R7)*($S$20:$S$43=$S7)*(AE$20:AE$43))</f>
        <v>-9.0257224167867328E-2</v>
      </c>
      <c r="AF7" s="52" cm="1">
        <f t="array" ref="AF7">SUMPRODUCT(($P$20:$P$43=Model!$B$6)*($R$20:$R$43=$R7)*($S$20:$S$43=$S7)*(AF$20:AF$43))</f>
        <v>-0.10291092230932627</v>
      </c>
      <c r="AG7" s="52" cm="1">
        <f t="array" ref="AG7">SUMPRODUCT(($P$20:$P$43=Model!$B$6)*($R$20:$R$43=$R7)*($S$20:$S$43=$S7)*(AG$20:AG$43))</f>
        <v>-0.10075335496557057</v>
      </c>
      <c r="AH7" s="52" cm="1">
        <f t="array" ref="AH7">SUMPRODUCT(($P$20:$P$43=Model!$B$6)*($R$20:$R$43=$R7)*($S$20:$S$43=$S7)*(AH$20:AH$43))</f>
        <v>-7.423745824349906E-2</v>
      </c>
      <c r="AI7" s="52" cm="1">
        <f t="array" ref="AI7">SUMPRODUCT(($P$20:$P$43=Model!$B$6)*($R$20:$R$43=$R7)*($S$20:$S$43=$S7)*(AI$20:AI$43))</f>
        <v>-5.6861075029530736E-2</v>
      </c>
      <c r="AJ7" s="52" cm="1">
        <f t="array" ref="AJ7">SUMPRODUCT(($P$20:$P$43=Model!$B$6)*($R$20:$R$43=$R7)*($S$20:$S$43=$S7)*(AJ$20:AJ$43))</f>
        <v>-4.3170488718124789E-2</v>
      </c>
      <c r="AK7" s="52" cm="1">
        <f t="array" ref="AK7">SUMPRODUCT(($P$20:$P$43=Model!$B$6)*($R$20:$R$43=$R7)*($S$20:$S$43=$S7)*(AK$20:AK$43))</f>
        <v>-2.4539495290130484E-2</v>
      </c>
      <c r="AL7" s="52" cm="1">
        <f t="array" ref="AL7">SUMPRODUCT(($P$20:$P$43=Model!$B$6)*($R$20:$R$43=$R7)*($S$20:$S$43=$S7)*(AL$20:AL$43))</f>
        <v>-2.6440947810033848E-2</v>
      </c>
      <c r="AM7" s="52" cm="1">
        <f t="array" ref="AM7">SUMPRODUCT(($P$20:$P$43=Model!$B$6)*($R$20:$R$43=$R7)*($S$20:$S$43=$S7)*(AM$20:AM$43))</f>
        <v>-2.3507238317545569E-2</v>
      </c>
      <c r="AN7" s="52" cm="1">
        <f t="array" ref="AN7">SUMPRODUCT(($P$20:$P$43=Model!$B$6)*($R$20:$R$43=$R7)*($S$20:$S$43=$S7)*(AN$20:AN$43))</f>
        <v>-3.2691556526236752E-2</v>
      </c>
      <c r="AO7" s="52" cm="1">
        <f t="array" ref="AO7">SUMPRODUCT(($P$20:$P$43=Model!$B$6)*($R$20:$R$43=$R7)*($S$20:$S$43=$S7)*(AO$20:AO$43))</f>
        <v>-3.3232733619052712E-2</v>
      </c>
      <c r="AP7" s="52" cm="1">
        <f t="array" ref="AP7">SUMPRODUCT(($P$20:$P$43=Model!$B$6)*($R$20:$R$43=$R7)*($S$20:$S$43=$S7)*(AP$20:AP$43))</f>
        <v>-4.4675197422882153E-2</v>
      </c>
      <c r="AQ7" s="52" cm="1">
        <f t="array" ref="AQ7">SUMPRODUCT(($P$20:$P$43=Model!$B$6)*($R$20:$R$43=$R7)*($S$20:$S$43=$S7)*(AQ$20:AQ$43))</f>
        <v>-9.081365827262311E-2</v>
      </c>
      <c r="AR7" s="52" cm="1">
        <f t="array" ref="AR7">SUMPRODUCT(($P$20:$P$43=Model!$B$6)*($R$20:$R$43=$R7)*($S$20:$S$43=$S7)*(AR$20:AR$43))</f>
        <v>-0.12439386543473117</v>
      </c>
      <c r="AS7" s="52" cm="1">
        <f t="array" ref="AS7">SUMPRODUCT(($P$20:$P$43=Model!$B$6)*($R$20:$R$43=$R7)*($S$20:$S$43=$S7)*(AS$20:AS$43))</f>
        <v>-4.4864633024778763E-2</v>
      </c>
      <c r="AT7" s="52" cm="1">
        <f t="array" ref="AT7">SUMPRODUCT(($P$20:$P$43=Model!$B$6)*($R$20:$R$43=$R7)*($S$20:$S$43=$S7)*(AT$20:AT$43))</f>
        <v>-3.9050153349320833E-2</v>
      </c>
      <c r="AU7" s="52" cm="1">
        <f t="array" ref="AU7">SUMPRODUCT(($P$20:$P$43=Model!$B$6)*($R$20:$R$43=$R7)*($S$20:$S$43=$S7)*(AU$20:AU$43))</f>
        <v>-3.6911959589212603E-2</v>
      </c>
      <c r="AV7" s="52" cm="1">
        <f t="array" ref="AV7">SUMPRODUCT(($P$20:$P$43=Model!$B$6)*($R$20:$R$43=$R7)*($S$20:$S$43=$S7)*(AV$20:AV$43))</f>
        <v>-2.9553400325232161E-2</v>
      </c>
      <c r="AW7" s="52" cm="1">
        <f t="array" ref="AW7">SUMPRODUCT(($P$20:$P$43=Model!$B$6)*($R$20:$R$43=$R7)*($S$20:$S$43=$S7)*(AW$20:AW$43))</f>
        <v>-3.4414736390925987E-2</v>
      </c>
      <c r="AX7" s="52" cm="1">
        <f t="array" ref="AX7">SUMPRODUCT(($P$20:$P$43=Model!$B$6)*($R$20:$R$43=$R7)*($S$20:$S$43=$S7)*(AX$20:AX$43))</f>
        <v>-3.9373612582531393E-2</v>
      </c>
      <c r="AY7" s="52" cm="1">
        <f t="array" ref="AY7">SUMPRODUCT(($P$20:$P$43=Model!$B$6)*($R$20:$R$43=$R7)*($S$20:$S$43=$S7)*(AY$20:AY$43))</f>
        <v>-7.6498972752748293E-2</v>
      </c>
      <c r="AZ7" s="52" cm="1">
        <f t="array" ref="AZ7">SUMPRODUCT(($P$20:$P$43=Model!$B$6)*($R$20:$R$43=$R7)*($S$20:$S$43=$S7)*(AZ$20:AZ$43))</f>
        <v>-8.8258989286470024E-2</v>
      </c>
      <c r="BA7" s="52" cm="1">
        <f t="array" ref="BA7">SUMPRODUCT(($P$20:$P$43=Model!$B$6)*($R$20:$R$43=$R7)*($S$20:$S$43=$S7)*(BA$20:BA$43))</f>
        <v>-0.12284737177752801</v>
      </c>
      <c r="BB7" s="52" cm="1">
        <f t="array" ref="BB7">SUMPRODUCT(($P$20:$P$43=Model!$B$6)*($R$20:$R$43=$R7)*($S$20:$S$43=$S7)*(BB$20:BB$43))</f>
        <v>-0.12743576346588548</v>
      </c>
    </row>
    <row r="8" spans="1:54" x14ac:dyDescent="0.25">
      <c r="A8" s="19">
        <v>2025</v>
      </c>
      <c r="B8" s="20">
        <f ca="1">OFFSET(Afforestation!$B$2,0,ROW()-ROW($B$5))</f>
        <v>62800</v>
      </c>
      <c r="C8" s="2">
        <f t="shared" ca="1" si="0"/>
        <v>8.3190243126254551</v>
      </c>
      <c r="D8" s="2">
        <f t="shared" ca="1" si="1"/>
        <v>5.1964550120394488</v>
      </c>
      <c r="E8" s="13">
        <f>Model!$B$7</f>
        <v>0</v>
      </c>
      <c r="F8" s="2">
        <f t="shared" ca="1" si="2"/>
        <v>0</v>
      </c>
      <c r="G8" s="2">
        <f t="shared" ca="1" si="7"/>
        <v>8.3190243126254551</v>
      </c>
      <c r="H8" s="2">
        <f ca="1">OFFSET($X$14,0,ROW()-ROW($H$3))</f>
        <v>-7.3499479603810451</v>
      </c>
      <c r="I8" s="2">
        <f t="shared" ca="1" si="3"/>
        <v>0.96907635224440991</v>
      </c>
      <c r="J8" s="2">
        <f t="shared" ca="1" si="4"/>
        <v>6.1655313642838587</v>
      </c>
      <c r="K8" s="20">
        <f t="shared" ref="K8:K32" ca="1" si="11">K7+(D8-F8+H8)*1000</f>
        <v>84020.610918996274</v>
      </c>
      <c r="L8" s="20">
        <f t="shared" ca="1" si="10"/>
        <v>-2153.4929483415908</v>
      </c>
      <c r="M8" s="20">
        <f t="shared" ca="1" si="5"/>
        <v>0</v>
      </c>
      <c r="N8" s="20">
        <f ca="1">MIN(0,(D8+H8)*1000)</f>
        <v>-2153.4929483415963</v>
      </c>
      <c r="P8" s="51" t="str">
        <f t="shared" si="9"/>
        <v>MPI Central</v>
      </c>
      <c r="Q8" s="51" t="s">
        <v>377</v>
      </c>
      <c r="R8" s="51" t="s">
        <v>391</v>
      </c>
      <c r="S8" s="51" t="s">
        <v>392</v>
      </c>
      <c r="T8" s="51" t="s">
        <v>393</v>
      </c>
      <c r="U8" s="51" t="s">
        <v>381</v>
      </c>
      <c r="V8" s="52" cm="1">
        <f t="array" ref="V8">SUMPRODUCT(($P$20:$P$43=Model!$B$6)*($R$20:$R$43=$R8)*($S$20:$S$43=$S8)*(V$20:V$43))</f>
        <v>0.20672659487536815</v>
      </c>
      <c r="W8" s="52" cm="1">
        <f t="array" ref="W8">SUMPRODUCT(($P$20:$P$43=Model!$B$6)*($R$20:$R$43=$R8)*($S$20:$S$43=$S8)*(W$20:W$43))</f>
        <v>0.23889708533646634</v>
      </c>
      <c r="X8" s="52" cm="1">
        <f t="array" ref="X8">SUMPRODUCT(($P$20:$P$43=Model!$B$6)*($R$20:$R$43=$R8)*($S$20:$S$43=$S8)*(X$20:X$43))</f>
        <v>0.19755121287837851</v>
      </c>
      <c r="Y8" s="52" cm="1">
        <f t="array" ref="Y8">SUMPRODUCT(($P$20:$P$43=Model!$B$6)*($R$20:$R$43=$R8)*($S$20:$S$43=$S8)*(Y$20:Y$43))</f>
        <v>0.19241581139136954</v>
      </c>
      <c r="Z8" s="52" cm="1">
        <f t="array" ref="Z8">SUMPRODUCT(($P$20:$P$43=Model!$B$6)*($R$20:$R$43=$R8)*($S$20:$S$43=$S8)*(Z$20:Z$43))</f>
        <v>0.18552460550673375</v>
      </c>
      <c r="AA8" s="52" cm="1">
        <f t="array" ref="AA8">SUMPRODUCT(($P$20:$P$43=Model!$B$6)*($R$20:$R$43=$R8)*($S$20:$S$43=$S8)*(AA$20:AA$43))</f>
        <v>0.18052877871485656</v>
      </c>
      <c r="AB8" s="52" cm="1">
        <f t="array" ref="AB8">SUMPRODUCT(($P$20:$P$43=Model!$B$6)*($R$20:$R$43=$R8)*($S$20:$S$43=$S8)*(AB$20:AB$43))</f>
        <v>0.17392840937741746</v>
      </c>
      <c r="AC8" s="52" cm="1">
        <f t="array" ref="AC8">SUMPRODUCT(($P$20:$P$43=Model!$B$6)*($R$20:$R$43=$R8)*($S$20:$S$43=$S8)*(AC$20:AC$43))</f>
        <v>0.16379489596110039</v>
      </c>
      <c r="AD8" s="52" cm="1">
        <f t="array" ref="AD8">SUMPRODUCT(($P$20:$P$43=Model!$B$6)*($R$20:$R$43=$R8)*($S$20:$S$43=$S8)*(AD$20:AD$43))</f>
        <v>0.15852980190009794</v>
      </c>
      <c r="AE8" s="52" cm="1">
        <f t="array" ref="AE8">SUMPRODUCT(($P$20:$P$43=Model!$B$6)*($R$20:$R$43=$R8)*($S$20:$S$43=$S8)*(AE$20:AE$43))</f>
        <v>0.15181447438882043</v>
      </c>
      <c r="AF8" s="52" cm="1">
        <f t="array" ref="AF8">SUMPRODUCT(($P$20:$P$43=Model!$B$6)*($R$20:$R$43=$R8)*($S$20:$S$43=$S8)*(AF$20:AF$43))</f>
        <v>0.14678807689519563</v>
      </c>
      <c r="AG8" s="52" cm="1">
        <f t="array" ref="AG8">SUMPRODUCT(($P$20:$P$43=Model!$B$6)*($R$20:$R$43=$R8)*($S$20:$S$43=$S8)*(AG$20:AG$43))</f>
        <v>0.14039805715663833</v>
      </c>
      <c r="AH8" s="52" cm="1">
        <f t="array" ref="AH8">SUMPRODUCT(($P$20:$P$43=Model!$B$6)*($R$20:$R$43=$R8)*($S$20:$S$43=$S8)*(AH$20:AH$43))</f>
        <v>0.13425252010589228</v>
      </c>
      <c r="AI8" s="52" cm="1">
        <f t="array" ref="AI8">SUMPRODUCT(($P$20:$P$43=Model!$B$6)*($R$20:$R$43=$R8)*($S$20:$S$43=$S8)*(AI$20:AI$43))</f>
        <v>0.12893835800406606</v>
      </c>
      <c r="AJ8" s="52" cm="1">
        <f t="array" ref="AJ8">SUMPRODUCT(($P$20:$P$43=Model!$B$6)*($R$20:$R$43=$R8)*($S$20:$S$43=$S8)*(AJ$20:AJ$43))</f>
        <v>0.12421561301779596</v>
      </c>
      <c r="AK8" s="52" cm="1">
        <f t="array" ref="AK8">SUMPRODUCT(($P$20:$P$43=Model!$B$6)*($R$20:$R$43=$R8)*($S$20:$S$43=$S8)*(AK$20:AK$43))</f>
        <v>0.11963057456575482</v>
      </c>
      <c r="AL8" s="52" cm="1">
        <f t="array" ref="AL8">SUMPRODUCT(($P$20:$P$43=Model!$B$6)*($R$20:$R$43=$R8)*($S$20:$S$43=$S8)*(AL$20:AL$43))</f>
        <v>0.11393711992951806</v>
      </c>
      <c r="AM8" s="52" cm="1">
        <f t="array" ref="AM8">SUMPRODUCT(($P$20:$P$43=Model!$B$6)*($R$20:$R$43=$R8)*($S$20:$S$43=$S8)*(AM$20:AM$43))</f>
        <v>0.11189271385959002</v>
      </c>
      <c r="AN8" s="52" cm="1">
        <f t="array" ref="AN8">SUMPRODUCT(($P$20:$P$43=Model!$B$6)*($R$20:$R$43=$R8)*($S$20:$S$43=$S8)*(AN$20:AN$43))</f>
        <v>0.10682979220094882</v>
      </c>
      <c r="AO8" s="52" cm="1">
        <f t="array" ref="AO8">SUMPRODUCT(($P$20:$P$43=Model!$B$6)*($R$20:$R$43=$R8)*($S$20:$S$43=$S8)*(AO$20:AO$43))</f>
        <v>0.10314294293827243</v>
      </c>
      <c r="AP8" s="52" cm="1">
        <f t="array" ref="AP8">SUMPRODUCT(($P$20:$P$43=Model!$B$6)*($R$20:$R$43=$R8)*($S$20:$S$43=$S8)*(AP$20:AP$43))</f>
        <v>0.10106935758546741</v>
      </c>
      <c r="AQ8" s="52" cm="1">
        <f t="array" ref="AQ8">SUMPRODUCT(($P$20:$P$43=Model!$B$6)*($R$20:$R$43=$R8)*($S$20:$S$43=$S8)*(AQ$20:AQ$43))</f>
        <v>9.7568220778027598E-2</v>
      </c>
      <c r="AR8" s="52" cm="1">
        <f t="array" ref="AR8">SUMPRODUCT(($P$20:$P$43=Model!$B$6)*($R$20:$R$43=$R8)*($S$20:$S$43=$S8)*(AR$20:AR$43))</f>
        <v>9.6602616252886686E-2</v>
      </c>
      <c r="AS8" s="52" cm="1">
        <f t="array" ref="AS8">SUMPRODUCT(($P$20:$P$43=Model!$B$6)*($R$20:$R$43=$R8)*($S$20:$S$43=$S8)*(AS$20:AS$43))</f>
        <v>9.2598493528808168E-2</v>
      </c>
      <c r="AT8" s="52" cm="1">
        <f t="array" ref="AT8">SUMPRODUCT(($P$20:$P$43=Model!$B$6)*($R$20:$R$43=$R8)*($S$20:$S$43=$S8)*(AT$20:AT$43))</f>
        <v>9.2170395935803978E-2</v>
      </c>
      <c r="AU8" s="52" cm="1">
        <f t="array" ref="AU8">SUMPRODUCT(($P$20:$P$43=Model!$B$6)*($R$20:$R$43=$R8)*($S$20:$S$43=$S8)*(AU$20:AU$43))</f>
        <v>9.1374423624493967E-2</v>
      </c>
      <c r="AV8" s="52" cm="1">
        <f t="array" ref="AV8">SUMPRODUCT(($P$20:$P$43=Model!$B$6)*($R$20:$R$43=$R8)*($S$20:$S$43=$S8)*(AV$20:AV$43))</f>
        <v>8.9129804871472762E-2</v>
      </c>
      <c r="AW8" s="52" cm="1">
        <f t="array" ref="AW8">SUMPRODUCT(($P$20:$P$43=Model!$B$6)*($R$20:$R$43=$R8)*($S$20:$S$43=$S8)*(AW$20:AW$43))</f>
        <v>8.9013543118902388E-2</v>
      </c>
      <c r="AX8" s="52" cm="1">
        <f t="array" ref="AX8">SUMPRODUCT(($P$20:$P$43=Model!$B$6)*($R$20:$R$43=$R8)*($S$20:$S$43=$S8)*(AX$20:AX$43))</f>
        <v>8.818393275882723E-2</v>
      </c>
      <c r="AY8" s="52" cm="1">
        <f t="array" ref="AY8">SUMPRODUCT(($P$20:$P$43=Model!$B$6)*($R$20:$R$43=$R8)*($S$20:$S$43=$S8)*(AY$20:AY$43))</f>
        <v>8.7738340464396325E-2</v>
      </c>
      <c r="AZ8" s="52" cm="1">
        <f t="array" ref="AZ8">SUMPRODUCT(($P$20:$P$43=Model!$B$6)*($R$20:$R$43=$R8)*($S$20:$S$43=$S8)*(AZ$20:AZ$43))</f>
        <v>8.8284348033121907E-2</v>
      </c>
      <c r="BA8" s="52" cm="1">
        <f t="array" ref="BA8">SUMPRODUCT(($P$20:$P$43=Model!$B$6)*($R$20:$R$43=$R8)*($S$20:$S$43=$S8)*(BA$20:BA$43))</f>
        <v>8.7393791487132749E-2</v>
      </c>
      <c r="BB8" s="52" cm="1">
        <f t="array" ref="BB8">SUMPRODUCT(($P$20:$P$43=Model!$B$6)*($R$20:$R$43=$R8)*($S$20:$S$43=$S8)*(BB$20:BB$43))</f>
        <v>8.7320255066835342E-2</v>
      </c>
    </row>
    <row r="9" spans="1:54" x14ac:dyDescent="0.25">
      <c r="A9" s="19">
        <v>2026</v>
      </c>
      <c r="B9" s="20">
        <f ca="1">OFFSET(Afforestation!$B$2,0,ROW()-ROW($B$5))</f>
        <v>27600</v>
      </c>
      <c r="C9" s="2">
        <f t="shared" ca="1" si="0"/>
        <v>10.401914506577755</v>
      </c>
      <c r="D9" s="2">
        <f t="shared" ca="1" si="1"/>
        <v>4.9690682249806786</v>
      </c>
      <c r="E9" s="13">
        <f>Model!$B$7</f>
        <v>0</v>
      </c>
      <c r="F9" s="2">
        <f t="shared" ca="1" si="2"/>
        <v>0</v>
      </c>
      <c r="G9" s="2">
        <f t="shared" ca="1" si="7"/>
        <v>10.401914506577755</v>
      </c>
      <c r="H9" s="2">
        <f t="shared" ca="1" si="8"/>
        <v>-5.7377929830900536</v>
      </c>
      <c r="I9" s="2">
        <f t="shared" ca="1" si="3"/>
        <v>4.6641215234877018</v>
      </c>
      <c r="J9" s="2">
        <f t="shared" ca="1" si="4"/>
        <v>9.6331897484683822</v>
      </c>
      <c r="K9" s="20">
        <f t="shared" ca="1" si="11"/>
        <v>83251.886160886905</v>
      </c>
      <c r="L9" s="20">
        <f t="shared" ca="1" si="10"/>
        <v>-768.72475810936885</v>
      </c>
      <c r="M9" s="20">
        <f t="shared" ca="1" si="5"/>
        <v>0</v>
      </c>
      <c r="N9" s="20">
        <f t="shared" ca="1" si="6"/>
        <v>-768.72475810937499</v>
      </c>
      <c r="P9" s="51" t="str">
        <f t="shared" si="9"/>
        <v>MPI Central</v>
      </c>
      <c r="Q9" s="51" t="s">
        <v>394</v>
      </c>
      <c r="R9" s="51" t="s">
        <v>378</v>
      </c>
      <c r="S9" s="51" t="s">
        <v>395</v>
      </c>
      <c r="T9" s="43">
        <v>905208.77382836048</v>
      </c>
      <c r="U9" s="51" t="s">
        <v>381</v>
      </c>
      <c r="V9" s="51">
        <v>0</v>
      </c>
      <c r="W9" s="51">
        <v>0</v>
      </c>
      <c r="X9" s="51">
        <v>0</v>
      </c>
      <c r="Y9" s="51">
        <v>0</v>
      </c>
      <c r="Z9" s="360">
        <f ca="1">-OFFSET('New Forest Abs'!$BM$10,COLUMN()-COLUMN($Z$9),0)</f>
        <v>3.4037108947434933E-2</v>
      </c>
      <c r="AA9" s="360">
        <f ca="1">-OFFSET('New Forest Abs'!$BM$10,COLUMN()-COLUMN($Z$9),0)</f>
        <v>0.17342214902236472</v>
      </c>
      <c r="AB9" s="360">
        <f ca="1">-OFFSET('New Forest Abs'!$BM$10,COLUMN()-COLUMN($Z$9),0)</f>
        <v>0.50510244836274132</v>
      </c>
      <c r="AC9" s="360">
        <f ca="1">-OFFSET('New Forest Abs'!$BM$10,COLUMN()-COLUMN($Z$9),0)</f>
        <v>1.6743530552396004</v>
      </c>
      <c r="AD9" s="360">
        <f ca="1">-OFFSET('New Forest Abs'!$BM$10,COLUMN()-COLUMN($Z$9),0)</f>
        <v>3.4958426488368306</v>
      </c>
      <c r="AE9" s="360">
        <f ca="1">-OFFSET('New Forest Abs'!$BM$10,COLUMN()-COLUMN($Z$9),0)</f>
        <v>5.666582661390728</v>
      </c>
      <c r="AF9" s="360">
        <f ca="1">-OFFSET('New Forest Abs'!$BM$10,COLUMN()-COLUMN($Z$9),0)</f>
        <v>7.6126641295053821</v>
      </c>
      <c r="AG9" s="360">
        <f ca="1">-OFFSET('New Forest Abs'!$BM$10,COLUMN()-COLUMN($Z$9),0)</f>
        <v>8.8882539073640707</v>
      </c>
      <c r="AH9" s="360">
        <f ca="1">-OFFSET('New Forest Abs'!$BM$10,COLUMN()-COLUMN($Z$9),0)</f>
        <v>9.3878149969818629</v>
      </c>
      <c r="AI9" s="360">
        <f ca="1">-OFFSET('New Forest Abs'!$BM$10,COLUMN()-COLUMN($Z$9),0)</f>
        <v>9.5932372819962719</v>
      </c>
      <c r="AJ9" s="360">
        <f ca="1">-OFFSET('New Forest Abs'!$BM$10,COLUMN()-COLUMN($Z$9),0)</f>
        <v>9.7072340794202834</v>
      </c>
      <c r="AK9" s="360">
        <f ca="1">-OFFSET('New Forest Abs'!$BM$10,COLUMN()-COLUMN($Z$9),0)</f>
        <v>10.150851654077526</v>
      </c>
      <c r="AL9" s="360">
        <f ca="1">-OFFSET('New Forest Abs'!$BM$10,COLUMN()-COLUMN($Z$9),0)</f>
        <v>10.84793890221081</v>
      </c>
      <c r="AM9" s="360">
        <f ca="1">-OFFSET('New Forest Abs'!$BM$10,COLUMN()-COLUMN($Z$9),0)</f>
        <v>11.722710113315596</v>
      </c>
      <c r="AN9" s="360">
        <f ca="1">-OFFSET('New Forest Abs'!$BM$10,COLUMN()-COLUMN($Z$9),0)</f>
        <v>12.636432392532503</v>
      </c>
      <c r="AO9" s="360">
        <f ca="1">-OFFSET('New Forest Abs'!$BM$10,COLUMN()-COLUMN($Z$9),0)</f>
        <v>13.543286328727371</v>
      </c>
      <c r="AP9" s="360">
        <f ca="1">-OFFSET('New Forest Abs'!$BM$10,COLUMN()-COLUMN($Z$9),0)</f>
        <v>11.557228957978939</v>
      </c>
      <c r="AQ9" s="360">
        <f ca="1">-OFFSET('New Forest Abs'!$BM$10,COLUMN()-COLUMN($Z$9),0)</f>
        <v>9.9776595299998796</v>
      </c>
      <c r="AR9" s="360">
        <f ca="1">-OFFSET('New Forest Abs'!$BM$10,COLUMN()-COLUMN($Z$9),0)</f>
        <v>8.9177042498220462</v>
      </c>
      <c r="AS9" s="360">
        <f ca="1">-OFFSET('New Forest Abs'!$BM$10,COLUMN()-COLUMN($Z$9),0)</f>
        <v>8.6465657535649694</v>
      </c>
      <c r="AT9" s="360">
        <f ca="1">-OFFSET('New Forest Abs'!$BM$10,COLUMN()-COLUMN($Z$9),0)</f>
        <v>8.6465657535649694</v>
      </c>
      <c r="AU9" s="360">
        <f ca="1">-OFFSET('New Forest Abs'!$BM$10,COLUMN()-COLUMN($Z$9),0)</f>
        <v>8.6465657535649694</v>
      </c>
      <c r="AV9" s="360">
        <f ca="1">-OFFSET('New Forest Abs'!$BM$10,COLUMN()-COLUMN($Z$9),0)</f>
        <v>8.6465657535649694</v>
      </c>
      <c r="AW9" s="360">
        <f ca="1">-OFFSET('New Forest Abs'!$BM$10,COLUMN()-COLUMN($Z$9),0)</f>
        <v>8.6465657535649694</v>
      </c>
      <c r="AX9" s="360">
        <f ca="1">-OFFSET('New Forest Abs'!$BM$10,COLUMN()-COLUMN($Z$9),0)</f>
        <v>8.6465657535649694</v>
      </c>
      <c r="AY9" s="360">
        <f ca="1">-OFFSET('New Forest Abs'!$BM$10,COLUMN()-COLUMN($Z$9),0)</f>
        <v>8.6465657535649694</v>
      </c>
      <c r="AZ9" s="360">
        <f ca="1">-OFFSET('New Forest Abs'!$BM$10,COLUMN()-COLUMN($Z$9),0)</f>
        <v>8.6465657535649694</v>
      </c>
      <c r="BA9" s="360">
        <f ca="1">-OFFSET('New Forest Abs'!$BM$10,COLUMN()-COLUMN($Z$9),0)</f>
        <v>8.6465657535649694</v>
      </c>
      <c r="BB9" s="360">
        <f ca="1">-OFFSET('New Forest Abs'!$BM$10,COLUMN()-COLUMN($Z$9),0)</f>
        <v>8.6465657535649694</v>
      </c>
    </row>
    <row r="10" spans="1:54" x14ac:dyDescent="0.25">
      <c r="A10" s="19">
        <v>2027</v>
      </c>
      <c r="B10" s="20">
        <f ca="1">OFFSET(Afforestation!$B$2,0,ROW()-ROW($B$5))</f>
        <v>27400</v>
      </c>
      <c r="C10" s="2">
        <f t="shared" ca="1" si="0"/>
        <v>12.485742842104759</v>
      </c>
      <c r="D10" s="2">
        <f t="shared" ca="1" si="1"/>
        <v>4.8065288125560421</v>
      </c>
      <c r="E10" s="13">
        <f>Model!$B$7</f>
        <v>0</v>
      </c>
      <c r="F10" s="2">
        <f t="shared" ca="1" si="2"/>
        <v>0</v>
      </c>
      <c r="G10" s="2">
        <f t="shared" ca="1" si="7"/>
        <v>12.485742842104759</v>
      </c>
      <c r="H10" s="2">
        <f t="shared" ca="1" si="8"/>
        <v>-4.3971325410754964</v>
      </c>
      <c r="I10" s="2">
        <f t="shared" ca="1" si="3"/>
        <v>8.0886103010292629</v>
      </c>
      <c r="J10" s="2">
        <f t="shared" ca="1" si="4"/>
        <v>12.895139113585305</v>
      </c>
      <c r="K10" s="20">
        <f ca="1">K9+(D10-F10+H10)*1000</f>
        <v>83661.282432367443</v>
      </c>
      <c r="L10" s="20">
        <f t="shared" ca="1" si="10"/>
        <v>409.39627148053842</v>
      </c>
      <c r="M10" s="20">
        <f t="shared" ca="1" si="5"/>
        <v>409.39627148054569</v>
      </c>
      <c r="N10" s="20">
        <f t="shared" ca="1" si="6"/>
        <v>0</v>
      </c>
      <c r="P10" s="51" t="str">
        <f t="shared" si="9"/>
        <v>MPI Central</v>
      </c>
      <c r="Q10" s="51" t="s">
        <v>394</v>
      </c>
      <c r="R10" s="51" t="s">
        <v>378</v>
      </c>
      <c r="S10" s="51" t="s">
        <v>392</v>
      </c>
      <c r="T10" s="43">
        <v>186823.22</v>
      </c>
      <c r="U10" s="51" t="s">
        <v>381</v>
      </c>
      <c r="V10" s="51">
        <v>0</v>
      </c>
      <c r="W10" s="51">
        <v>0</v>
      </c>
      <c r="X10" s="51">
        <v>0</v>
      </c>
      <c r="Y10" s="51">
        <v>0</v>
      </c>
      <c r="Z10" s="360">
        <f ca="1">-OFFSET('New Forest Abs'!$BL$10,COLUMN()-COLUMN($Z$10),0)</f>
        <v>6.361364183532503E-3</v>
      </c>
      <c r="AA10" s="360">
        <f ca="1">-OFFSET('New Forest Abs'!$BL$10,COLUMN()-COLUMN($Z$10),0)</f>
        <v>3.1424558925784635E-2</v>
      </c>
      <c r="AB10" s="360">
        <f ca="1">-OFFSET('New Forest Abs'!$BL$10,COLUMN()-COLUMN($Z$10),0)</f>
        <v>9.5936515043046428E-2</v>
      </c>
      <c r="AC10" s="360">
        <f ca="1">-OFFSET('New Forest Abs'!$BL$10,COLUMN()-COLUMN($Z$10),0)</f>
        <v>0.32129478510850956</v>
      </c>
      <c r="AD10" s="360">
        <f ca="1">-OFFSET('New Forest Abs'!$BL$10,COLUMN()-COLUMN($Z$10),0)</f>
        <v>0.68708506701222216</v>
      </c>
      <c r="AE10" s="360">
        <f ca="1">-OFFSET('New Forest Abs'!$BL$10,COLUMN()-COLUMN($Z$10),0)</f>
        <v>1.2084299719607188</v>
      </c>
      <c r="AF10" s="360">
        <f ca="1">-OFFSET('New Forest Abs'!$BL$10,COLUMN()-COLUMN($Z$10),0)</f>
        <v>1.7914237763078056</v>
      </c>
      <c r="AG10" s="360">
        <f ca="1">-OFFSET('New Forest Abs'!$BL$10,COLUMN()-COLUMN($Z$10),0)</f>
        <v>2.3276376276476975</v>
      </c>
      <c r="AH10" s="360">
        <f ca="1">-OFFSET('New Forest Abs'!$BL$10,COLUMN()-COLUMN($Z$10),0)</f>
        <v>2.7569740432543903</v>
      </c>
      <c r="AI10" s="360">
        <f ca="1">-OFFSET('New Forest Abs'!$BL$10,COLUMN()-COLUMN($Z$10),0)</f>
        <v>3.1008085323230556</v>
      </c>
      <c r="AJ10" s="360">
        <f ca="1">-OFFSET('New Forest Abs'!$BL$10,COLUMN()-COLUMN($Z$10),0)</f>
        <v>3.3647588170553799</v>
      </c>
      <c r="AK10" s="360">
        <f ca="1">-OFFSET('New Forest Abs'!$BL$10,COLUMN()-COLUMN($Z$10),0)</f>
        <v>3.6543474693934224</v>
      </c>
      <c r="AL10" s="360">
        <f ca="1">-OFFSET('New Forest Abs'!$BL$10,COLUMN()-COLUMN($Z$10),0)</f>
        <v>3.9686599177441395</v>
      </c>
      <c r="AM10" s="360">
        <f ca="1">-OFFSET('New Forest Abs'!$BL$10,COLUMN()-COLUMN($Z$10),0)</f>
        <v>4.3277476541259192</v>
      </c>
      <c r="AN10" s="360">
        <f ca="1">-OFFSET('New Forest Abs'!$BL$10,COLUMN()-COLUMN($Z$10),0)</f>
        <v>4.715430093740073</v>
      </c>
      <c r="AO10" s="360">
        <f ca="1">-OFFSET('New Forest Abs'!$BL$10,COLUMN()-COLUMN($Z$10),0)</f>
        <v>5.1139993487321371</v>
      </c>
      <c r="AP10" s="360">
        <f ca="1">-OFFSET('New Forest Abs'!$BL$10,COLUMN()-COLUMN($Z$10),0)</f>
        <v>5.5170712258129697</v>
      </c>
      <c r="AQ10" s="360">
        <f ca="1">-OFFSET('New Forest Abs'!$BL$10,COLUMN()-COLUMN($Z$10),0)</f>
        <v>5.9182887520212448</v>
      </c>
      <c r="AR10" s="360">
        <f ca="1">-OFFSET('New Forest Abs'!$BL$10,COLUMN()-COLUMN($Z$10),0)</f>
        <v>6.3162425736959387</v>
      </c>
      <c r="AS10" s="360">
        <f ca="1">-OFFSET('New Forest Abs'!$BL$10,COLUMN()-COLUMN($Z$10),0)</f>
        <v>6.7059225419476824</v>
      </c>
      <c r="AT10" s="360">
        <f ca="1">-OFFSET('New Forest Abs'!$BL$10,COLUMN()-COLUMN($Z$10),0)</f>
        <v>7.0897171176819898</v>
      </c>
      <c r="AU10" s="360">
        <f ca="1">-OFFSET('New Forest Abs'!$BL$10,COLUMN()-COLUMN($Z$10),0)</f>
        <v>7.4702386583324172</v>
      </c>
      <c r="AV10" s="360">
        <f ca="1">-OFFSET('New Forest Abs'!$BL$10,COLUMN()-COLUMN($Z$10),0)</f>
        <v>7.8504008498991418</v>
      </c>
      <c r="AW10" s="360">
        <f ca="1">-OFFSET('New Forest Abs'!$BL$10,COLUMN()-COLUMN($Z$10),0)</f>
        <v>8.22894025858694</v>
      </c>
      <c r="AX10" s="360">
        <f ca="1">-OFFSET('New Forest Abs'!$BL$10,COLUMN()-COLUMN($Z$10),0)</f>
        <v>8.6043583805455253</v>
      </c>
      <c r="AY10" s="360">
        <f ca="1">-OFFSET('New Forest Abs'!$BL$10,COLUMN()-COLUMN($Z$10),0)</f>
        <v>8.9752901269921228</v>
      </c>
      <c r="AZ10" s="360">
        <f ca="1">-OFFSET('New Forest Abs'!$BL$10,COLUMN()-COLUMN($Z$10),0)</f>
        <v>9.3407518373844933</v>
      </c>
      <c r="BA10" s="360">
        <f ca="1">-OFFSET('New Forest Abs'!$BL$10,COLUMN()-COLUMN($Z$10),0)</f>
        <v>9.7016509641884063</v>
      </c>
      <c r="BB10" s="360">
        <f ca="1">-OFFSET('New Forest Abs'!$BL$10,COLUMN()-COLUMN($Z$10),0)</f>
        <v>10.05815237372069</v>
      </c>
    </row>
    <row r="11" spans="1:54" x14ac:dyDescent="0.25">
      <c r="A11" s="19">
        <v>2028</v>
      </c>
      <c r="B11" s="20">
        <f ca="1">OFFSET(Afforestation!$B$2,0,ROW()-ROW($B$5))</f>
        <v>27300</v>
      </c>
      <c r="C11" s="2">
        <f t="shared" ca="1" si="0"/>
        <v>14.152025165406336</v>
      </c>
      <c r="D11" s="2">
        <f t="shared" ca="1" si="1"/>
        <v>4.6760415211923991</v>
      </c>
      <c r="E11" s="13">
        <f>Model!$B$7</f>
        <v>0</v>
      </c>
      <c r="F11" s="2">
        <f t="shared" ca="1" si="2"/>
        <v>0</v>
      </c>
      <c r="G11" s="2">
        <f t="shared" ca="1" si="7"/>
        <v>14.152025165406336</v>
      </c>
      <c r="H11" s="2">
        <f t="shared" ca="1" si="8"/>
        <v>-5.1936201560786541</v>
      </c>
      <c r="I11" s="2">
        <f t="shared" ca="1" si="3"/>
        <v>8.9584050093276808</v>
      </c>
      <c r="J11" s="2">
        <f t="shared" ca="1" si="4"/>
        <v>13.63444653052008</v>
      </c>
      <c r="K11" s="20">
        <f t="shared" ca="1" si="11"/>
        <v>83143.703797481183</v>
      </c>
      <c r="L11" s="20">
        <f t="shared" ca="1" si="10"/>
        <v>-517.57863488626026</v>
      </c>
      <c r="M11" s="20">
        <f t="shared" ca="1" si="5"/>
        <v>0</v>
      </c>
      <c r="N11" s="20">
        <f t="shared" ca="1" si="6"/>
        <v>-517.57863488625503</v>
      </c>
      <c r="P11" s="51" t="str">
        <f t="shared" si="9"/>
        <v>MPI Central</v>
      </c>
      <c r="Q11" s="51" t="s">
        <v>394</v>
      </c>
      <c r="R11" s="51" t="s">
        <v>387</v>
      </c>
      <c r="S11" s="51" t="s">
        <v>392</v>
      </c>
      <c r="T11" s="43">
        <v>64996.92110588873</v>
      </c>
      <c r="U11" s="51" t="s">
        <v>381</v>
      </c>
      <c r="V11" s="51">
        <v>0</v>
      </c>
      <c r="W11" s="51">
        <v>0</v>
      </c>
      <c r="X11" s="51">
        <v>0</v>
      </c>
      <c r="Y11" s="51">
        <v>0</v>
      </c>
      <c r="Z11" s="360">
        <f ca="1">-OFFSET('New Forest Abs'!$BK$10,COLUMN()-COLUMN($Z$11),0)</f>
        <v>4.7497327438981822E-3</v>
      </c>
      <c r="AA11" s="360">
        <f ca="1">-OFFSET('New Forest Abs'!$BK$10,COLUMN()-COLUMN($Z$11),0)</f>
        <v>1.1034105523839781E-2</v>
      </c>
      <c r="AB11" s="360">
        <f ca="1">-OFFSET('New Forest Abs'!$BK$10,COLUMN()-COLUMN($Z$11),0)</f>
        <v>1.9074489369772889E-2</v>
      </c>
      <c r="AC11" s="360">
        <f ca="1">-OFFSET('New Forest Abs'!$BK$10,COLUMN()-COLUMN($Z$11),0)</f>
        <v>3.1719923936431325E-2</v>
      </c>
      <c r="AD11" s="360">
        <f ca="1">-OFFSET('New Forest Abs'!$BK$10,COLUMN()-COLUMN($Z$11),0)</f>
        <v>4.7226715290039314E-2</v>
      </c>
      <c r="AE11" s="360">
        <f ca="1">-OFFSET('New Forest Abs'!$BK$10,COLUMN()-COLUMN($Z$11),0)</f>
        <v>6.5465405747621566E-2</v>
      </c>
      <c r="AF11" s="360">
        <f ca="1">-OFFSET('New Forest Abs'!$BK$10,COLUMN()-COLUMN($Z$11),0)</f>
        <v>8.4731689714304587E-2</v>
      </c>
      <c r="AG11" s="360">
        <f ca="1">-OFFSET('New Forest Abs'!$BK$10,COLUMN()-COLUMN($Z$11),0)</f>
        <v>0.10440996645553911</v>
      </c>
      <c r="AH11" s="360">
        <f ca="1">-OFFSET('New Forest Abs'!$BK$10,COLUMN()-COLUMN($Z$11),0)</f>
        <v>0.12396545116584246</v>
      </c>
      <c r="AI11" s="360">
        <f ca="1">-OFFSET('New Forest Abs'!$BK$10,COLUMN()-COLUMN($Z$11),0)</f>
        <v>0.14339657738826328</v>
      </c>
      <c r="AJ11" s="360">
        <f ca="1">-OFFSET('New Forest Abs'!$BK$10,COLUMN()-COLUMN($Z$11),0)</f>
        <v>0.16147149649497866</v>
      </c>
      <c r="AK11" s="360">
        <f ca="1">-OFFSET('New Forest Abs'!$BK$10,COLUMN()-COLUMN($Z$11),0)</f>
        <v>0.17573692942753083</v>
      </c>
      <c r="AL11" s="360">
        <f ca="1">-OFFSET('New Forest Abs'!$BK$10,COLUMN()-COLUMN($Z$11),0)</f>
        <v>0.19256036855180714</v>
      </c>
      <c r="AM11" s="360">
        <f ca="1">-OFFSET('New Forest Abs'!$BK$10,COLUMN()-COLUMN($Z$11),0)</f>
        <v>0.20895939351720014</v>
      </c>
      <c r="AN11" s="360">
        <f ca="1">-OFFSET('New Forest Abs'!$BK$10,COLUMN()-COLUMN($Z$11),0)</f>
        <v>0.22190154194063469</v>
      </c>
      <c r="AO11" s="360">
        <f ca="1">-OFFSET('New Forest Abs'!$BK$10,COLUMN()-COLUMN($Z$11),0)</f>
        <v>0.2333471314893307</v>
      </c>
      <c r="AP11" s="360">
        <f ca="1">-OFFSET('New Forest Abs'!$BK$10,COLUMN()-COLUMN($Z$11),0)</f>
        <v>0.24122957697579961</v>
      </c>
      <c r="AQ11" s="360">
        <f ca="1">-OFFSET('New Forest Abs'!$BK$10,COLUMN()-COLUMN($Z$11),0)</f>
        <v>0.24767682484270276</v>
      </c>
      <c r="AR11" s="360">
        <f ca="1">-OFFSET('New Forest Abs'!$BK$10,COLUMN()-COLUMN($Z$11),0)</f>
        <v>0.25208594916372867</v>
      </c>
      <c r="AS11" s="360">
        <f ca="1">-OFFSET('New Forest Abs'!$BK$10,COLUMN()-COLUMN($Z$11),0)</f>
        <v>0.25264897134470332</v>
      </c>
      <c r="AT11" s="360">
        <f ca="1">-OFFSET('New Forest Abs'!$BK$10,COLUMN()-COLUMN($Z$11),0)</f>
        <v>0.24715881621994185</v>
      </c>
      <c r="AU11" s="360">
        <f ca="1">-OFFSET('New Forest Abs'!$BK$10,COLUMN()-COLUMN($Z$11),0)</f>
        <v>0.23863841710604949</v>
      </c>
      <c r="AV11" s="360">
        <f ca="1">-OFFSET('New Forest Abs'!$BK$10,COLUMN()-COLUMN($Z$11),0)</f>
        <v>0.23242047796138798</v>
      </c>
      <c r="AW11" s="360">
        <f ca="1">-OFFSET('New Forest Abs'!$BK$10,COLUMN()-COLUMN($Z$11),0)</f>
        <v>0.22704491809643462</v>
      </c>
      <c r="AX11" s="360">
        <f ca="1">-OFFSET('New Forest Abs'!$BK$10,COLUMN()-COLUMN($Z$11),0)</f>
        <v>0.21950450036693786</v>
      </c>
      <c r="AY11" s="360">
        <f ca="1">-OFFSET('New Forest Abs'!$BK$10,COLUMN()-COLUMN($Z$11),0)</f>
        <v>0.21207245351322468</v>
      </c>
      <c r="AZ11" s="360">
        <f ca="1">-OFFSET('New Forest Abs'!$BK$10,COLUMN()-COLUMN($Z$11),0)</f>
        <v>0.20664737922670795</v>
      </c>
      <c r="BA11" s="360">
        <f ca="1">-OFFSET('New Forest Abs'!$BK$10,COLUMN()-COLUMN($Z$11),0)</f>
        <v>0.19855637542059495</v>
      </c>
      <c r="BB11" s="360">
        <f ca="1">-OFFSET('New Forest Abs'!$BK$10,COLUMN()-COLUMN($Z$11),0)</f>
        <v>0.19041198829237399</v>
      </c>
    </row>
    <row r="12" spans="1:54" x14ac:dyDescent="0.25">
      <c r="A12" s="19">
        <v>2029</v>
      </c>
      <c r="B12" s="20">
        <f ca="1">OFFSET(Afforestation!$B$2,0,ROW()-ROW($B$5))</f>
        <v>27300</v>
      </c>
      <c r="C12" s="2">
        <f t="shared" ca="1" si="0"/>
        <v>15.168876003833965</v>
      </c>
      <c r="D12" s="2">
        <f t="shared" ca="1" si="1"/>
        <v>4.5850640377802705</v>
      </c>
      <c r="E12" s="13">
        <f>Model!$B$7</f>
        <v>0</v>
      </c>
      <c r="F12" s="2">
        <f t="shared" ca="1" si="2"/>
        <v>0</v>
      </c>
      <c r="G12" s="2">
        <f t="shared" ca="1" si="7"/>
        <v>15.168876003833965</v>
      </c>
      <c r="H12" s="2">
        <f t="shared" ca="1" si="8"/>
        <v>-5.1581089199902319</v>
      </c>
      <c r="I12" s="2">
        <f t="shared" ca="1" si="3"/>
        <v>10.010767083843733</v>
      </c>
      <c r="J12" s="2">
        <f t="shared" ca="1" si="4"/>
        <v>14.595831121624004</v>
      </c>
      <c r="K12" s="20">
        <f t="shared" ca="1" si="11"/>
        <v>82570.658915271226</v>
      </c>
      <c r="L12" s="20">
        <f t="shared" ca="1" si="10"/>
        <v>-573.044882209957</v>
      </c>
      <c r="M12" s="20">
        <f t="shared" ca="1" si="5"/>
        <v>0</v>
      </c>
      <c r="N12" s="20">
        <f t="shared" ca="1" si="6"/>
        <v>-573.04488220996143</v>
      </c>
      <c r="P12" s="51" t="str">
        <f t="shared" si="9"/>
        <v>MPI Central</v>
      </c>
      <c r="Q12" s="51" t="s">
        <v>396</v>
      </c>
      <c r="R12" s="51" t="s">
        <v>121</v>
      </c>
      <c r="S12" s="51" t="s">
        <v>397</v>
      </c>
      <c r="T12" s="51"/>
      <c r="U12" s="51" t="s">
        <v>365</v>
      </c>
      <c r="V12" s="23">
        <f>IF($P$12="MPI Central",V44,V3+V6+V8+SUM(V9:V11))</f>
        <v>3.7419474376906861</v>
      </c>
      <c r="W12" s="23">
        <f t="shared" ref="W12:BB12" si="12">IF($P$12="MPI Central",W44,W3+W6+W8+SUM(W9:W11))</f>
        <v>3.7830837432534805</v>
      </c>
      <c r="X12" s="23">
        <f t="shared" si="12"/>
        <v>3.8497408439486671</v>
      </c>
      <c r="Y12" s="23">
        <f t="shared" si="12"/>
        <v>4.0055967121192673</v>
      </c>
      <c r="Z12" s="23">
        <f t="shared" si="12"/>
        <v>4.3734773485979597</v>
      </c>
      <c r="AA12" s="23">
        <f t="shared" si="12"/>
        <v>5.5215918458227504</v>
      </c>
      <c r="AB12" s="23">
        <f t="shared" si="12"/>
        <v>6.6446509993934484</v>
      </c>
      <c r="AC12" s="23">
        <f t="shared" si="12"/>
        <v>8.3190243126254551</v>
      </c>
      <c r="AD12" s="23">
        <f t="shared" si="12"/>
        <v>10.401914506577755</v>
      </c>
      <c r="AE12" s="23">
        <f t="shared" si="12"/>
        <v>12.485742842104759</v>
      </c>
      <c r="AF12" s="23">
        <f t="shared" si="12"/>
        <v>14.152025165406336</v>
      </c>
      <c r="AG12" s="23">
        <f t="shared" si="12"/>
        <v>15.168876003833965</v>
      </c>
      <c r="AH12" s="23">
        <f t="shared" si="12"/>
        <v>15.563621038300418</v>
      </c>
      <c r="AI12" s="23">
        <f t="shared" si="12"/>
        <v>15.728732200626675</v>
      </c>
      <c r="AJ12" s="23">
        <f t="shared" si="12"/>
        <v>15.98729921126731</v>
      </c>
      <c r="AK12" s="23">
        <f t="shared" si="12"/>
        <v>16.579736936540396</v>
      </c>
      <c r="AL12" s="23">
        <f t="shared" si="12"/>
        <v>17.36498017290781</v>
      </c>
      <c r="AM12" s="23">
        <f t="shared" si="12"/>
        <v>17.764058933452201</v>
      </c>
      <c r="AN12" s="23">
        <f t="shared" si="12"/>
        <v>17.947466854155575</v>
      </c>
      <c r="AO12" s="23">
        <f t="shared" si="12"/>
        <v>18.192567325487644</v>
      </c>
      <c r="AP12" s="23">
        <f t="shared" si="12"/>
        <v>17.122154476992677</v>
      </c>
      <c r="AQ12" s="23">
        <f t="shared" si="12"/>
        <v>15.941385738360241</v>
      </c>
      <c r="AR12" s="23">
        <f t="shared" si="12"/>
        <v>15.236528255876934</v>
      </c>
      <c r="AS12" s="23">
        <f t="shared" si="12"/>
        <v>15.347520321596416</v>
      </c>
      <c r="AT12" s="23">
        <f t="shared" si="12"/>
        <v>15.514687464231649</v>
      </c>
      <c r="AU12" s="23">
        <f t="shared" si="12"/>
        <v>15.660715826959915</v>
      </c>
      <c r="AV12" s="23">
        <f t="shared" si="12"/>
        <v>15.759155189935722</v>
      </c>
      <c r="AW12" s="23">
        <f t="shared" si="12"/>
        <v>15.881829730245666</v>
      </c>
      <c r="AX12" s="23">
        <f t="shared" si="12"/>
        <v>16.01528205822212</v>
      </c>
      <c r="AY12" s="23">
        <f t="shared" si="12"/>
        <v>16.161700778430387</v>
      </c>
      <c r="AZ12" s="23">
        <f t="shared" si="12"/>
        <v>16.294325733612549</v>
      </c>
      <c r="BA12" s="23">
        <f t="shared" si="12"/>
        <v>16.437615463454009</v>
      </c>
      <c r="BB12" s="23">
        <f t="shared" si="12"/>
        <v>16.584731147867849</v>
      </c>
    </row>
    <row r="13" spans="1:54" x14ac:dyDescent="0.25">
      <c r="A13" s="19">
        <v>2030</v>
      </c>
      <c r="B13" s="20">
        <f ca="1">OFFSET(Afforestation!$B$2,0,ROW()-ROW($B$5))</f>
        <v>27300</v>
      </c>
      <c r="C13" s="2">
        <f t="shared" ca="1" si="0"/>
        <v>15.563621038300418</v>
      </c>
      <c r="D13" s="2">
        <f t="shared" ca="1" si="1"/>
        <v>4.7662829849720358</v>
      </c>
      <c r="E13" s="13">
        <f>Model!$B$7</f>
        <v>0</v>
      </c>
      <c r="F13" s="2">
        <f t="shared" ca="1" si="2"/>
        <v>0</v>
      </c>
      <c r="G13" s="2">
        <f t="shared" ca="1" si="7"/>
        <v>15.563621038300418</v>
      </c>
      <c r="H13" s="2">
        <f t="shared" ca="1" si="8"/>
        <v>-3.6239979382755299</v>
      </c>
      <c r="I13" s="2">
        <f t="shared" ca="1" si="3"/>
        <v>11.939623100024889</v>
      </c>
      <c r="J13" s="2">
        <f t="shared" ca="1" si="4"/>
        <v>16.705906084996926</v>
      </c>
      <c r="K13" s="20">
        <f t="shared" ca="1" si="11"/>
        <v>83712.943961967729</v>
      </c>
      <c r="L13" s="20">
        <f t="shared" ca="1" si="10"/>
        <v>1142.2850466965028</v>
      </c>
      <c r="M13" s="20">
        <f t="shared" ca="1" si="5"/>
        <v>1142.285046696506</v>
      </c>
      <c r="N13" s="20">
        <f t="shared" ca="1" si="6"/>
        <v>0</v>
      </c>
      <c r="P13" s="51" t="str">
        <f t="shared" si="9"/>
        <v>MPI Central</v>
      </c>
      <c r="Q13" s="51" t="s">
        <v>396</v>
      </c>
      <c r="R13" s="51" t="s">
        <v>121</v>
      </c>
      <c r="S13" s="51" t="s">
        <v>398</v>
      </c>
      <c r="T13" s="51"/>
      <c r="U13" s="51" t="s">
        <v>365</v>
      </c>
      <c r="V13" s="23">
        <f>V4</f>
        <v>8.4220683673060002</v>
      </c>
      <c r="W13" s="23">
        <f t="shared" ref="W13:BA13" si="13">W4</f>
        <v>8.3109429715469556</v>
      </c>
      <c r="X13" s="23">
        <f t="shared" si="13"/>
        <v>7.9963015393850583</v>
      </c>
      <c r="Y13" s="23">
        <f t="shared" si="13"/>
        <v>7.5585566855436257</v>
      </c>
      <c r="Z13" s="23">
        <f t="shared" si="13"/>
        <v>6.8991949995693211</v>
      </c>
      <c r="AA13" s="23">
        <f t="shared" si="13"/>
        <v>6.2522055070772984</v>
      </c>
      <c r="AB13" s="23">
        <f t="shared" si="13"/>
        <v>5.5317668061692098</v>
      </c>
      <c r="AC13" s="23">
        <f>AC4</f>
        <v>5.1964550120394488</v>
      </c>
      <c r="AD13" s="23">
        <f t="shared" si="13"/>
        <v>4.9690682249806786</v>
      </c>
      <c r="AE13" s="23">
        <f t="shared" si="13"/>
        <v>4.8065288125560421</v>
      </c>
      <c r="AF13" s="23">
        <f t="shared" si="13"/>
        <v>4.6760415211923991</v>
      </c>
      <c r="AG13" s="23">
        <f t="shared" si="13"/>
        <v>4.5850640377802705</v>
      </c>
      <c r="AH13" s="23">
        <f t="shared" si="13"/>
        <v>4.7662829849720358</v>
      </c>
      <c r="AI13" s="23">
        <f t="shared" si="13"/>
        <v>5.0673769836627649</v>
      </c>
      <c r="AJ13" s="23">
        <f t="shared" si="13"/>
        <v>5.5732071972629829</v>
      </c>
      <c r="AK13" s="23">
        <f t="shared" si="13"/>
        <v>6.153758348940201</v>
      </c>
      <c r="AL13" s="23">
        <f t="shared" si="13"/>
        <v>6.8793023814401266</v>
      </c>
      <c r="AM13" s="23">
        <f t="shared" si="13"/>
        <v>7.3134707551292921</v>
      </c>
      <c r="AN13" s="23">
        <f t="shared" si="13"/>
        <v>7.6554463640580712</v>
      </c>
      <c r="AO13" s="23">
        <f t="shared" si="13"/>
        <v>7.9033857131870198</v>
      </c>
      <c r="AP13" s="23">
        <f t="shared" si="13"/>
        <v>8.1041522949765543</v>
      </c>
      <c r="AQ13" s="23">
        <f t="shared" si="13"/>
        <v>8.0825196790513907</v>
      </c>
      <c r="AR13" s="23">
        <f t="shared" si="13"/>
        <v>7.8346159763625565</v>
      </c>
      <c r="AS13" s="23">
        <f t="shared" si="13"/>
        <v>7.7874285804629082</v>
      </c>
      <c r="AT13" s="23">
        <f t="shared" si="13"/>
        <v>7.7084833631410028</v>
      </c>
      <c r="AU13" s="23">
        <f t="shared" si="13"/>
        <v>7.6104418614154516</v>
      </c>
      <c r="AV13" s="23">
        <f t="shared" si="13"/>
        <v>7.5715408472250481</v>
      </c>
      <c r="AW13" s="23">
        <f t="shared" si="13"/>
        <v>7.5560131157239256</v>
      </c>
      <c r="AX13" s="23">
        <f t="shared" si="13"/>
        <v>7.5610976185075636</v>
      </c>
      <c r="AY13" s="23">
        <f t="shared" si="13"/>
        <v>7.2869599039431625</v>
      </c>
      <c r="AZ13" s="23">
        <f t="shared" si="13"/>
        <v>6.9990266782100807</v>
      </c>
      <c r="BA13" s="23">
        <f t="shared" si="13"/>
        <v>6.6034741983414609</v>
      </c>
      <c r="BB13" s="23">
        <f>BB4</f>
        <v>6.3557423602063654</v>
      </c>
    </row>
    <row r="14" spans="1:54" x14ac:dyDescent="0.25">
      <c r="A14" s="19">
        <v>2031</v>
      </c>
      <c r="B14" s="20">
        <f ca="1">OFFSET(Afforestation!$B$2,0,ROW()-ROW($B$5))</f>
        <v>27300</v>
      </c>
      <c r="C14" s="2">
        <f t="shared" ca="1" si="0"/>
        <v>15.728732200626675</v>
      </c>
      <c r="D14" s="2">
        <f t="shared" ca="1" si="1"/>
        <v>5.0673769836627649</v>
      </c>
      <c r="E14" s="13">
        <f>Model!$B$7</f>
        <v>0</v>
      </c>
      <c r="F14" s="2">
        <f t="shared" ca="1" si="2"/>
        <v>0</v>
      </c>
      <c r="G14" s="2">
        <f t="shared" ca="1" si="7"/>
        <v>15.728732200626675</v>
      </c>
      <c r="H14" s="2">
        <f t="shared" ca="1" si="8"/>
        <v>-2.5485008013372568</v>
      </c>
      <c r="I14" s="2">
        <f t="shared" ca="1" si="3"/>
        <v>13.180231399289418</v>
      </c>
      <c r="J14" s="2">
        <f t="shared" ca="1" si="4"/>
        <v>18.247608382952187</v>
      </c>
      <c r="K14" s="20">
        <f t="shared" ca="1" si="11"/>
        <v>86231.820144293233</v>
      </c>
      <c r="L14" s="20">
        <f t="shared" ca="1" si="10"/>
        <v>2518.8761823255045</v>
      </c>
      <c r="M14" s="20">
        <f t="shared" ca="1" si="5"/>
        <v>2518.8761823255081</v>
      </c>
      <c r="N14" s="20">
        <f t="shared" ca="1" si="6"/>
        <v>0</v>
      </c>
      <c r="P14" s="51" t="str">
        <f t="shared" si="9"/>
        <v>MPI Central</v>
      </c>
      <c r="Q14" s="51" t="s">
        <v>396</v>
      </c>
      <c r="R14" s="51" t="s">
        <v>121</v>
      </c>
      <c r="S14" s="51" t="s">
        <v>399</v>
      </c>
      <c r="T14" s="51"/>
      <c r="U14" s="51" t="s">
        <v>400</v>
      </c>
      <c r="V14" s="23">
        <f>V5+V7</f>
        <v>-0.67919413285643837</v>
      </c>
      <c r="W14" s="23">
        <f t="shared" ref="W14:BB14" si="14">W5+W7</f>
        <v>-1.1328424930550103</v>
      </c>
      <c r="X14" s="23">
        <f t="shared" si="14"/>
        <v>-2.324873667327326</v>
      </c>
      <c r="Y14" s="23">
        <f t="shared" si="14"/>
        <v>-3.5526439361037987</v>
      </c>
      <c r="Z14" s="23">
        <f t="shared" si="14"/>
        <v>-7.1031544328219329</v>
      </c>
      <c r="AA14" s="23">
        <f t="shared" si="14"/>
        <v>-8.6508629228133689</v>
      </c>
      <c r="AB14" s="23">
        <f t="shared" si="14"/>
        <v>-11.377046089842661</v>
      </c>
      <c r="AC14" s="23">
        <f t="shared" si="14"/>
        <v>-7.3499479603810451</v>
      </c>
      <c r="AD14" s="23">
        <f t="shared" si="14"/>
        <v>-5.7377929830900536</v>
      </c>
      <c r="AE14" s="23">
        <f t="shared" si="14"/>
        <v>-4.3971325410754964</v>
      </c>
      <c r="AF14" s="23">
        <f t="shared" si="14"/>
        <v>-5.1936201560786541</v>
      </c>
      <c r="AG14" s="23">
        <f t="shared" si="14"/>
        <v>-5.1581089199902319</v>
      </c>
      <c r="AH14" s="23">
        <f>AH5+AH7</f>
        <v>-3.6239979382755299</v>
      </c>
      <c r="AI14" s="23">
        <f t="shared" si="14"/>
        <v>-2.5485008013372568</v>
      </c>
      <c r="AJ14" s="23">
        <f t="shared" si="14"/>
        <v>-1.7699228292294331</v>
      </c>
      <c r="AK14" s="23">
        <f t="shared" si="14"/>
        <v>-0.69963157172346135</v>
      </c>
      <c r="AL14" s="23">
        <f t="shared" si="14"/>
        <v>-0.93747929870530822</v>
      </c>
      <c r="AM14" s="23">
        <f t="shared" si="14"/>
        <v>-0.77363130105229927</v>
      </c>
      <c r="AN14" s="23">
        <f t="shared" si="14"/>
        <v>-1.3997210036095495</v>
      </c>
      <c r="AO14" s="23">
        <f t="shared" si="14"/>
        <v>-1.4255766098337783</v>
      </c>
      <c r="AP14" s="23">
        <f t="shared" si="14"/>
        <v>-2.4180593222653277</v>
      </c>
      <c r="AQ14" s="23">
        <f t="shared" si="14"/>
        <v>-6.0370241886959759</v>
      </c>
      <c r="AR14" s="23">
        <f t="shared" si="14"/>
        <v>-8.4416392835520764</v>
      </c>
      <c r="AS14" s="23">
        <f t="shared" si="14"/>
        <v>-4.5354648744401187</v>
      </c>
      <c r="AT14" s="23">
        <f t="shared" si="14"/>
        <v>-4.6653455444824541</v>
      </c>
      <c r="AU14" s="23">
        <f t="shared" si="14"/>
        <v>-3.6810320133880796</v>
      </c>
      <c r="AV14" s="23">
        <f t="shared" si="14"/>
        <v>-2.5721975224116718</v>
      </c>
      <c r="AW14" s="23">
        <f t="shared" si="14"/>
        <v>-2.0347440037514457</v>
      </c>
      <c r="AX14" s="23">
        <f t="shared" si="14"/>
        <v>-2.6784787576068139</v>
      </c>
      <c r="AY14" s="23">
        <f t="shared" si="14"/>
        <v>-4.9709897423927671</v>
      </c>
      <c r="AZ14" s="23">
        <f t="shared" si="14"/>
        <v>-5.1414508701987014</v>
      </c>
      <c r="BA14" s="23">
        <f t="shared" si="14"/>
        <v>-6.4683893885893999</v>
      </c>
      <c r="BB14" s="23">
        <f t="shared" si="14"/>
        <v>-6.939546455164785</v>
      </c>
    </row>
    <row r="15" spans="1:54" x14ac:dyDescent="0.25">
      <c r="A15" s="19">
        <v>2032</v>
      </c>
      <c r="B15" s="20">
        <f ca="1">OFFSET(Afforestation!$B$2,0,ROW()-ROW($B$5))</f>
        <v>27300</v>
      </c>
      <c r="C15" s="2">
        <f t="shared" ca="1" si="0"/>
        <v>15.98729921126731</v>
      </c>
      <c r="D15" s="2">
        <f t="shared" ca="1" si="1"/>
        <v>5.5732071972629829</v>
      </c>
      <c r="E15" s="13">
        <f>Model!$B$7</f>
        <v>0</v>
      </c>
      <c r="F15" s="2">
        <f t="shared" ca="1" si="2"/>
        <v>0</v>
      </c>
      <c r="G15" s="2">
        <f t="shared" ca="1" si="7"/>
        <v>15.98729921126731</v>
      </c>
      <c r="H15" s="2">
        <f t="shared" ca="1" si="8"/>
        <v>-1.7699228292294331</v>
      </c>
      <c r="I15" s="2">
        <f t="shared" ca="1" si="3"/>
        <v>14.217376382037877</v>
      </c>
      <c r="J15" s="2">
        <f t="shared" ca="1" si="4"/>
        <v>19.790583579300861</v>
      </c>
      <c r="K15" s="20">
        <f t="shared" ca="1" si="11"/>
        <v>90035.104512326783</v>
      </c>
      <c r="L15" s="20">
        <f t="shared" ca="1" si="10"/>
        <v>3803.28436803355</v>
      </c>
      <c r="M15" s="20">
        <f t="shared" ca="1" si="5"/>
        <v>3803.28436803355</v>
      </c>
      <c r="N15" s="20">
        <f t="shared" ca="1" si="6"/>
        <v>0</v>
      </c>
      <c r="P15" s="51" t="str">
        <f t="shared" si="9"/>
        <v>MPI Central</v>
      </c>
      <c r="Q15" s="51" t="s">
        <v>396</v>
      </c>
      <c r="R15" s="51" t="s">
        <v>121</v>
      </c>
      <c r="S15" s="51" t="s">
        <v>401</v>
      </c>
      <c r="T15" s="51"/>
      <c r="U15" s="51" t="s">
        <v>121</v>
      </c>
      <c r="V15" s="23">
        <f>SUM(V12:V14)</f>
        <v>11.484821672140249</v>
      </c>
      <c r="W15" s="23">
        <f t="shared" ref="W15:BB15" si="15">SUM(W12:W14)</f>
        <v>10.961184221745425</v>
      </c>
      <c r="X15" s="23">
        <f t="shared" si="15"/>
        <v>9.5211687160063985</v>
      </c>
      <c r="Y15" s="23">
        <f t="shared" si="15"/>
        <v>8.0115094615590934</v>
      </c>
      <c r="Z15" s="23">
        <f t="shared" si="15"/>
        <v>4.169517915345347</v>
      </c>
      <c r="AA15" s="23">
        <f t="shared" si="15"/>
        <v>3.1229344300866799</v>
      </c>
      <c r="AB15" s="23">
        <f>SUM(AB12:AB14)</f>
        <v>0.79937171571999599</v>
      </c>
      <c r="AC15" s="23">
        <f t="shared" si="15"/>
        <v>6.1655313642838587</v>
      </c>
      <c r="AD15" s="23">
        <f t="shared" si="15"/>
        <v>9.6331897484683822</v>
      </c>
      <c r="AE15" s="23">
        <f t="shared" si="15"/>
        <v>12.895139113585305</v>
      </c>
      <c r="AF15" s="23">
        <f t="shared" si="15"/>
        <v>13.63444653052008</v>
      </c>
      <c r="AG15" s="23">
        <f t="shared" si="15"/>
        <v>14.595831121624004</v>
      </c>
      <c r="AH15" s="23">
        <f t="shared" si="15"/>
        <v>16.705906084996926</v>
      </c>
      <c r="AI15" s="23">
        <f t="shared" si="15"/>
        <v>18.247608382952187</v>
      </c>
      <c r="AJ15" s="23">
        <f t="shared" si="15"/>
        <v>19.790583579300861</v>
      </c>
      <c r="AK15" s="23">
        <f t="shared" si="15"/>
        <v>22.033863713757135</v>
      </c>
      <c r="AL15" s="23">
        <f t="shared" si="15"/>
        <v>23.306803255642627</v>
      </c>
      <c r="AM15" s="23">
        <f t="shared" si="15"/>
        <v>24.303898387529195</v>
      </c>
      <c r="AN15" s="23">
        <f t="shared" si="15"/>
        <v>24.203192214604098</v>
      </c>
      <c r="AO15" s="23">
        <f t="shared" si="15"/>
        <v>24.670376428840886</v>
      </c>
      <c r="AP15" s="23">
        <f t="shared" si="15"/>
        <v>22.808247449703902</v>
      </c>
      <c r="AQ15" s="23">
        <f t="shared" si="15"/>
        <v>17.986881228715657</v>
      </c>
      <c r="AR15" s="23">
        <f t="shared" si="15"/>
        <v>14.629504948687414</v>
      </c>
      <c r="AS15" s="23">
        <f t="shared" si="15"/>
        <v>18.599484027619205</v>
      </c>
      <c r="AT15" s="23">
        <f t="shared" si="15"/>
        <v>18.5578252828902</v>
      </c>
      <c r="AU15" s="23">
        <f t="shared" si="15"/>
        <v>19.590125674987288</v>
      </c>
      <c r="AV15" s="23">
        <f t="shared" si="15"/>
        <v>20.7584985147491</v>
      </c>
      <c r="AW15" s="23">
        <f t="shared" si="15"/>
        <v>21.403098842218146</v>
      </c>
      <c r="AX15" s="23">
        <f t="shared" si="15"/>
        <v>20.897900919122868</v>
      </c>
      <c r="AY15" s="23">
        <f t="shared" si="15"/>
        <v>18.477670939980783</v>
      </c>
      <c r="AZ15" s="23">
        <f t="shared" si="15"/>
        <v>18.151901541623928</v>
      </c>
      <c r="BA15" s="23">
        <f t="shared" si="15"/>
        <v>16.572700273206067</v>
      </c>
      <c r="BB15" s="23">
        <f t="shared" si="15"/>
        <v>16.000927052909429</v>
      </c>
    </row>
    <row r="16" spans="1:54" x14ac:dyDescent="0.25">
      <c r="A16" s="19">
        <v>2033</v>
      </c>
      <c r="B16" s="20">
        <f ca="1">OFFSET(Afforestation!$B$2,0,ROW()-ROW($B$5))</f>
        <v>27300</v>
      </c>
      <c r="C16" s="2">
        <f t="shared" ca="1" si="0"/>
        <v>16.579736936540396</v>
      </c>
      <c r="D16" s="2">
        <f t="shared" ca="1" si="1"/>
        <v>6.153758348940201</v>
      </c>
      <c r="E16" s="13">
        <f>Model!$B$7</f>
        <v>0</v>
      </c>
      <c r="F16" s="2">
        <f t="shared" ca="1" si="2"/>
        <v>0</v>
      </c>
      <c r="G16" s="2">
        <f t="shared" ca="1" si="7"/>
        <v>16.579736936540396</v>
      </c>
      <c r="H16" s="2">
        <f t="shared" ca="1" si="8"/>
        <v>-0.69963157172346135</v>
      </c>
      <c r="I16" s="2">
        <f t="shared" ca="1" si="3"/>
        <v>15.880105364816934</v>
      </c>
      <c r="J16" s="2">
        <f t="shared" ca="1" si="4"/>
        <v>22.033863713757135</v>
      </c>
      <c r="K16" s="20">
        <f t="shared" ca="1" si="11"/>
        <v>95489.231289543517</v>
      </c>
      <c r="L16" s="20">
        <f t="shared" ca="1" si="10"/>
        <v>5454.1267772167339</v>
      </c>
      <c r="M16" s="20">
        <f t="shared" ca="1" si="5"/>
        <v>5454.1267772167394</v>
      </c>
      <c r="N16" s="20">
        <f t="shared" ca="1" si="6"/>
        <v>0</v>
      </c>
      <c r="P16" s="51" t="str">
        <f t="shared" si="9"/>
        <v>MPI Central</v>
      </c>
      <c r="Q16" s="51" t="s">
        <v>402</v>
      </c>
      <c r="R16" s="51" t="s">
        <v>403</v>
      </c>
      <c r="S16" s="51" t="s">
        <v>397</v>
      </c>
      <c r="T16" s="51"/>
      <c r="U16" s="51" t="s">
        <v>365</v>
      </c>
      <c r="V16" s="23">
        <f>V12</f>
        <v>3.7419474376906861</v>
      </c>
      <c r="W16" s="23">
        <f>V16+W12</f>
        <v>7.5250311809441666</v>
      </c>
      <c r="X16" s="23">
        <f t="shared" ref="X16:BB19" si="16">W16+X12</f>
        <v>11.374772024892835</v>
      </c>
      <c r="Y16" s="23">
        <f t="shared" si="16"/>
        <v>15.380368737012102</v>
      </c>
      <c r="Z16" s="23">
        <f t="shared" si="16"/>
        <v>19.753846085610061</v>
      </c>
      <c r="AA16" s="23">
        <f t="shared" si="16"/>
        <v>25.275437931432812</v>
      </c>
      <c r="AB16" s="23">
        <f t="shared" si="16"/>
        <v>31.92008893082626</v>
      </c>
      <c r="AC16" s="23">
        <f t="shared" si="16"/>
        <v>40.239113243451712</v>
      </c>
      <c r="AD16" s="23">
        <f t="shared" si="16"/>
        <v>50.641027750029465</v>
      </c>
      <c r="AE16" s="23">
        <f t="shared" si="16"/>
        <v>63.126770592134221</v>
      </c>
      <c r="AF16" s="23">
        <f t="shared" si="16"/>
        <v>77.278795757540564</v>
      </c>
      <c r="AG16" s="23">
        <f t="shared" si="16"/>
        <v>92.447671761374522</v>
      </c>
      <c r="AH16" s="23">
        <f t="shared" si="16"/>
        <v>108.01129279967495</v>
      </c>
      <c r="AI16" s="23">
        <f t="shared" si="16"/>
        <v>123.74002500030163</v>
      </c>
      <c r="AJ16" s="23">
        <f t="shared" si="16"/>
        <v>139.72732421156894</v>
      </c>
      <c r="AK16" s="23">
        <f t="shared" si="16"/>
        <v>156.30706114810934</v>
      </c>
      <c r="AL16" s="23">
        <f t="shared" si="16"/>
        <v>173.67204132101716</v>
      </c>
      <c r="AM16" s="23">
        <f t="shared" si="16"/>
        <v>191.43610025446935</v>
      </c>
      <c r="AN16" s="23">
        <f t="shared" si="16"/>
        <v>209.38356710862493</v>
      </c>
      <c r="AO16" s="23">
        <f t="shared" si="16"/>
        <v>227.57613443411259</v>
      </c>
      <c r="AP16" s="23">
        <f t="shared" si="16"/>
        <v>244.69828891110527</v>
      </c>
      <c r="AQ16" s="23">
        <f t="shared" si="16"/>
        <v>260.63967464946552</v>
      </c>
      <c r="AR16" s="23">
        <f t="shared" si="16"/>
        <v>275.87620290534244</v>
      </c>
      <c r="AS16" s="23">
        <f t="shared" si="16"/>
        <v>291.22372322693883</v>
      </c>
      <c r="AT16" s="23">
        <f t="shared" si="16"/>
        <v>306.73841069117049</v>
      </c>
      <c r="AU16" s="23">
        <f t="shared" si="16"/>
        <v>322.3991265181304</v>
      </c>
      <c r="AV16" s="23">
        <f t="shared" si="16"/>
        <v>338.15828170806611</v>
      </c>
      <c r="AW16" s="23">
        <f t="shared" si="16"/>
        <v>354.04011143831178</v>
      </c>
      <c r="AX16" s="23">
        <f t="shared" si="16"/>
        <v>370.0553934965339</v>
      </c>
      <c r="AY16" s="23">
        <f t="shared" si="16"/>
        <v>386.21709427496427</v>
      </c>
      <c r="AZ16" s="23">
        <f t="shared" si="16"/>
        <v>402.51142000857681</v>
      </c>
      <c r="BA16" s="23">
        <f t="shared" si="16"/>
        <v>418.9490354720308</v>
      </c>
      <c r="BB16" s="23">
        <f t="shared" si="16"/>
        <v>435.53376661989864</v>
      </c>
    </row>
    <row r="17" spans="1:56" x14ac:dyDescent="0.25">
      <c r="A17" s="19">
        <v>2034</v>
      </c>
      <c r="B17" s="20">
        <f ca="1">OFFSET(Afforestation!$B$2,0,ROW()-ROW($B$5))</f>
        <v>27300</v>
      </c>
      <c r="C17" s="2">
        <f t="shared" ca="1" si="0"/>
        <v>17.36498017290781</v>
      </c>
      <c r="D17" s="2">
        <f t="shared" ca="1" si="1"/>
        <v>6.8793023814401266</v>
      </c>
      <c r="E17" s="13">
        <f>Model!$B$7</f>
        <v>0</v>
      </c>
      <c r="F17" s="2">
        <f t="shared" ca="1" si="2"/>
        <v>0</v>
      </c>
      <c r="G17" s="2">
        <f t="shared" ca="1" si="7"/>
        <v>17.36498017290781</v>
      </c>
      <c r="H17" s="2">
        <f t="shared" ca="1" si="8"/>
        <v>-0.93747929870530822</v>
      </c>
      <c r="I17" s="2">
        <f t="shared" ca="1" si="3"/>
        <v>16.427500874202501</v>
      </c>
      <c r="J17" s="2">
        <f t="shared" ca="1" si="4"/>
        <v>23.306803255642627</v>
      </c>
      <c r="K17" s="20">
        <f t="shared" ca="1" si="11"/>
        <v>101431.05437227833</v>
      </c>
      <c r="L17" s="20">
        <f t="shared" ca="1" si="10"/>
        <v>5941.8230827348161</v>
      </c>
      <c r="M17" s="20">
        <f ca="1">MAX(0,(D17+H17)*1000)</f>
        <v>5941.8230827348189</v>
      </c>
      <c r="N17" s="20">
        <f t="shared" ca="1" si="6"/>
        <v>0</v>
      </c>
      <c r="P17" s="51" t="str">
        <f t="shared" si="9"/>
        <v>MPI Central</v>
      </c>
      <c r="Q17" s="51" t="s">
        <v>402</v>
      </c>
      <c r="R17" s="51" t="s">
        <v>403</v>
      </c>
      <c r="S17" s="51" t="s">
        <v>398</v>
      </c>
      <c r="T17" s="51"/>
      <c r="U17" s="51" t="s">
        <v>365</v>
      </c>
      <c r="V17" s="23">
        <f>V13</f>
        <v>8.4220683673060002</v>
      </c>
      <c r="W17" s="23">
        <f>V17+W13</f>
        <v>16.733011338852954</v>
      </c>
      <c r="X17" s="23">
        <f t="shared" ref="X17:AL17" si="17">W17+X13</f>
        <v>24.729312878238012</v>
      </c>
      <c r="Y17" s="23">
        <f t="shared" si="17"/>
        <v>32.287869563781641</v>
      </c>
      <c r="Z17" s="23">
        <f t="shared" si="17"/>
        <v>39.187064563350958</v>
      </c>
      <c r="AA17" s="23">
        <f t="shared" si="17"/>
        <v>45.439270070428257</v>
      </c>
      <c r="AB17" s="23">
        <f t="shared" si="17"/>
        <v>50.971036876597466</v>
      </c>
      <c r="AC17" s="23">
        <f t="shared" si="17"/>
        <v>56.167491888636917</v>
      </c>
      <c r="AD17" s="23">
        <f t="shared" si="17"/>
        <v>61.136560113617598</v>
      </c>
      <c r="AE17" s="23">
        <f t="shared" si="17"/>
        <v>65.943088926173644</v>
      </c>
      <c r="AF17" s="23">
        <f t="shared" si="17"/>
        <v>70.619130447366047</v>
      </c>
      <c r="AG17" s="23">
        <f t="shared" si="17"/>
        <v>75.204194485146317</v>
      </c>
      <c r="AH17" s="23">
        <f t="shared" si="17"/>
        <v>79.970477470118354</v>
      </c>
      <c r="AI17" s="23">
        <f t="shared" si="17"/>
        <v>85.037854453781122</v>
      </c>
      <c r="AJ17" s="23">
        <f t="shared" si="17"/>
        <v>90.61106165104411</v>
      </c>
      <c r="AK17" s="23">
        <f t="shared" si="17"/>
        <v>96.764819999984311</v>
      </c>
      <c r="AL17" s="23">
        <f t="shared" si="17"/>
        <v>103.64412238142444</v>
      </c>
      <c r="AM17" s="23">
        <f t="shared" si="16"/>
        <v>110.95759313655373</v>
      </c>
      <c r="AN17" s="23">
        <f t="shared" si="16"/>
        <v>118.61303950061179</v>
      </c>
      <c r="AO17" s="23">
        <f t="shared" si="16"/>
        <v>126.51642521379881</v>
      </c>
      <c r="AP17" s="23">
        <f t="shared" si="16"/>
        <v>134.62057750877537</v>
      </c>
      <c r="AQ17" s="23">
        <f t="shared" si="16"/>
        <v>142.70309718782676</v>
      </c>
      <c r="AR17" s="23">
        <f t="shared" si="16"/>
        <v>150.53771316418931</v>
      </c>
      <c r="AS17" s="23">
        <f t="shared" si="16"/>
        <v>158.32514174465223</v>
      </c>
      <c r="AT17" s="23">
        <f t="shared" si="16"/>
        <v>166.03362510779323</v>
      </c>
      <c r="AU17" s="23">
        <f t="shared" si="16"/>
        <v>173.64406696920867</v>
      </c>
      <c r="AV17" s="23">
        <f t="shared" si="16"/>
        <v>181.2156078164337</v>
      </c>
      <c r="AW17" s="23">
        <f t="shared" si="16"/>
        <v>188.77162093215762</v>
      </c>
      <c r="AX17" s="23">
        <f t="shared" si="16"/>
        <v>196.33271855066519</v>
      </c>
      <c r="AY17" s="23">
        <f t="shared" si="16"/>
        <v>203.61967845460836</v>
      </c>
      <c r="AZ17" s="23">
        <f t="shared" si="16"/>
        <v>210.61870513281843</v>
      </c>
      <c r="BA17" s="23">
        <f t="shared" si="16"/>
        <v>217.22217933115991</v>
      </c>
      <c r="BB17" s="23">
        <f t="shared" si="16"/>
        <v>223.57792169136627</v>
      </c>
      <c r="BD17" s="23"/>
    </row>
    <row r="18" spans="1:56" x14ac:dyDescent="0.25">
      <c r="A18" s="19">
        <v>2035</v>
      </c>
      <c r="B18" s="20">
        <f ca="1">OFFSET(Afforestation!$B$2,0,ROW()-ROW($B$5))</f>
        <v>27300</v>
      </c>
      <c r="C18" s="2">
        <f t="shared" ca="1" si="0"/>
        <v>17.764058933452201</v>
      </c>
      <c r="D18" s="2">
        <f t="shared" ca="1" si="1"/>
        <v>7.3134707551292921</v>
      </c>
      <c r="E18" s="13">
        <f>Model!$B$7</f>
        <v>0</v>
      </c>
      <c r="F18" s="2">
        <f t="shared" ca="1" si="2"/>
        <v>0</v>
      </c>
      <c r="G18" s="2">
        <f t="shared" ca="1" si="7"/>
        <v>17.764058933452201</v>
      </c>
      <c r="H18" s="2">
        <f t="shared" ca="1" si="8"/>
        <v>-0.77363130105229927</v>
      </c>
      <c r="I18" s="2">
        <f t="shared" ca="1" si="3"/>
        <v>16.990427632399904</v>
      </c>
      <c r="J18" s="2">
        <f t="shared" ca="1" si="4"/>
        <v>24.303898387529195</v>
      </c>
      <c r="K18" s="20">
        <f t="shared" ca="1" si="11"/>
        <v>107970.89382635533</v>
      </c>
      <c r="L18" s="20">
        <f t="shared" ca="1" si="10"/>
        <v>6539.839454076995</v>
      </c>
      <c r="M18" s="20">
        <f t="shared" ca="1" si="5"/>
        <v>6539.8394540769923</v>
      </c>
      <c r="N18" s="20">
        <f t="shared" ca="1" si="6"/>
        <v>0</v>
      </c>
      <c r="P18" s="51" t="str">
        <f t="shared" si="9"/>
        <v>MPI Central</v>
      </c>
      <c r="Q18" s="51" t="s">
        <v>402</v>
      </c>
      <c r="R18" s="51" t="s">
        <v>403</v>
      </c>
      <c r="S18" s="51" t="s">
        <v>399</v>
      </c>
      <c r="T18" s="51"/>
      <c r="U18" s="51" t="s">
        <v>400</v>
      </c>
      <c r="V18" s="23">
        <f>V14</f>
        <v>-0.67919413285643837</v>
      </c>
      <c r="W18" s="23">
        <f>V18+W14</f>
        <v>-1.8120366259114487</v>
      </c>
      <c r="X18" s="23">
        <f t="shared" si="16"/>
        <v>-4.1369102932387749</v>
      </c>
      <c r="Y18" s="23">
        <f t="shared" si="16"/>
        <v>-7.6895542293425736</v>
      </c>
      <c r="Z18" s="23">
        <f t="shared" si="16"/>
        <v>-14.792708662164507</v>
      </c>
      <c r="AA18" s="23">
        <f t="shared" si="16"/>
        <v>-23.443571584977875</v>
      </c>
      <c r="AB18" s="23">
        <f t="shared" si="16"/>
        <v>-34.820617674820539</v>
      </c>
      <c r="AC18" s="23">
        <f t="shared" si="16"/>
        <v>-42.170565635201584</v>
      </c>
      <c r="AD18" s="23">
        <f t="shared" si="16"/>
        <v>-47.908358618291636</v>
      </c>
      <c r="AE18" s="23">
        <f t="shared" si="16"/>
        <v>-52.305491159367136</v>
      </c>
      <c r="AF18" s="23">
        <f t="shared" si="16"/>
        <v>-57.499111315445788</v>
      </c>
      <c r="AG18" s="23">
        <f t="shared" si="16"/>
        <v>-62.657220235436021</v>
      </c>
      <c r="AH18" s="23">
        <f t="shared" si="16"/>
        <v>-66.281218173711551</v>
      </c>
      <c r="AI18" s="23">
        <f t="shared" si="16"/>
        <v>-68.829718975048806</v>
      </c>
      <c r="AJ18" s="23">
        <f t="shared" si="16"/>
        <v>-70.599641804278235</v>
      </c>
      <c r="AK18" s="23">
        <f t="shared" si="16"/>
        <v>-71.299273376001693</v>
      </c>
      <c r="AL18" s="23">
        <f t="shared" si="16"/>
        <v>-72.236752674707006</v>
      </c>
      <c r="AM18" s="23">
        <f t="shared" si="16"/>
        <v>-73.010383975759311</v>
      </c>
      <c r="AN18" s="23">
        <f t="shared" si="16"/>
        <v>-74.410104979368867</v>
      </c>
      <c r="AO18" s="23">
        <f t="shared" si="16"/>
        <v>-75.83568158920265</v>
      </c>
      <c r="AP18" s="23">
        <f t="shared" si="16"/>
        <v>-78.253740911467972</v>
      </c>
      <c r="AQ18" s="23">
        <f t="shared" si="16"/>
        <v>-84.290765100163952</v>
      </c>
      <c r="AR18" s="23">
        <f t="shared" si="16"/>
        <v>-92.73240438371603</v>
      </c>
      <c r="AS18" s="23">
        <f t="shared" si="16"/>
        <v>-97.267869258156153</v>
      </c>
      <c r="AT18" s="23">
        <f t="shared" si="16"/>
        <v>-101.9332148026386</v>
      </c>
      <c r="AU18" s="23">
        <f t="shared" si="16"/>
        <v>-105.61424681602668</v>
      </c>
      <c r="AV18" s="23">
        <f t="shared" si="16"/>
        <v>-108.18644433843835</v>
      </c>
      <c r="AW18" s="23">
        <f t="shared" si="16"/>
        <v>-110.22118834218979</v>
      </c>
      <c r="AX18" s="23">
        <f t="shared" si="16"/>
        <v>-112.8996670997966</v>
      </c>
      <c r="AY18" s="23">
        <f t="shared" si="16"/>
        <v>-117.87065684218936</v>
      </c>
      <c r="AZ18" s="23">
        <f t="shared" si="16"/>
        <v>-123.01210771238806</v>
      </c>
      <c r="BA18" s="23">
        <f t="shared" si="16"/>
        <v>-129.48049710097746</v>
      </c>
      <c r="BB18" s="23">
        <f t="shared" si="16"/>
        <v>-136.42004355614225</v>
      </c>
      <c r="BD18" s="23"/>
    </row>
    <row r="19" spans="1:56" x14ac:dyDescent="0.25">
      <c r="A19" s="19">
        <v>2036</v>
      </c>
      <c r="B19" s="20">
        <f ca="1">OFFSET(Afforestation!$B$2,0,ROW()-ROW($B$5))</f>
        <v>27300</v>
      </c>
      <c r="C19" s="2">
        <f t="shared" ca="1" si="0"/>
        <v>17.947466854155575</v>
      </c>
      <c r="D19" s="2">
        <f t="shared" ca="1" si="1"/>
        <v>7.6554463640580712</v>
      </c>
      <c r="E19" s="13">
        <f>Model!$B$7</f>
        <v>0</v>
      </c>
      <c r="F19" s="2">
        <f t="shared" ca="1" si="2"/>
        <v>0</v>
      </c>
      <c r="G19" s="2">
        <f t="shared" ca="1" si="7"/>
        <v>17.947466854155575</v>
      </c>
      <c r="H19" s="2">
        <f t="shared" ca="1" si="8"/>
        <v>-1.3997210036095495</v>
      </c>
      <c r="I19" s="2">
        <f t="shared" ca="1" si="3"/>
        <v>16.547745850546026</v>
      </c>
      <c r="J19" s="2">
        <f t="shared" ca="1" si="4"/>
        <v>24.203192214604098</v>
      </c>
      <c r="K19" s="20">
        <f t="shared" ca="1" si="11"/>
        <v>114226.61918680384</v>
      </c>
      <c r="L19" s="20">
        <f t="shared" ca="1" si="10"/>
        <v>6255.7253604485159</v>
      </c>
      <c r="M19" s="20">
        <f t="shared" ca="1" si="5"/>
        <v>6255.7253604485213</v>
      </c>
      <c r="N19" s="20">
        <f t="shared" ca="1" si="6"/>
        <v>0</v>
      </c>
      <c r="P19" s="51" t="str">
        <f t="shared" si="9"/>
        <v>MPI Central</v>
      </c>
      <c r="Q19" s="53" t="s">
        <v>402</v>
      </c>
      <c r="R19" s="53" t="s">
        <v>403</v>
      </c>
      <c r="S19" s="53" t="s">
        <v>401</v>
      </c>
      <c r="T19" s="53"/>
      <c r="U19" s="53" t="s">
        <v>121</v>
      </c>
      <c r="V19" s="54">
        <f>V15</f>
        <v>11.484821672140249</v>
      </c>
      <c r="W19" s="54">
        <f>V19+W15</f>
        <v>22.446005893885676</v>
      </c>
      <c r="X19" s="54">
        <f t="shared" si="16"/>
        <v>31.967174609892076</v>
      </c>
      <c r="Y19" s="54">
        <f t="shared" si="16"/>
        <v>39.97868407145117</v>
      </c>
      <c r="Z19" s="54">
        <f t="shared" si="16"/>
        <v>44.148201986796515</v>
      </c>
      <c r="AA19" s="54">
        <f t="shared" si="16"/>
        <v>47.271136416883195</v>
      </c>
      <c r="AB19" s="54">
        <f t="shared" si="16"/>
        <v>48.070508132603194</v>
      </c>
      <c r="AC19" s="54">
        <f t="shared" si="16"/>
        <v>54.236039496887052</v>
      </c>
      <c r="AD19" s="54">
        <f t="shared" si="16"/>
        <v>63.869229245355434</v>
      </c>
      <c r="AE19" s="54">
        <f t="shared" si="16"/>
        <v>76.764368358940743</v>
      </c>
      <c r="AF19" s="54">
        <f t="shared" si="16"/>
        <v>90.398814889460823</v>
      </c>
      <c r="AG19" s="54">
        <f t="shared" si="16"/>
        <v>104.99464601108482</v>
      </c>
      <c r="AH19" s="54">
        <f t="shared" si="16"/>
        <v>121.70055209608175</v>
      </c>
      <c r="AI19" s="54">
        <f t="shared" si="16"/>
        <v>139.94816047903393</v>
      </c>
      <c r="AJ19" s="54">
        <f t="shared" si="16"/>
        <v>159.73874405833479</v>
      </c>
      <c r="AK19" s="54">
        <f t="shared" si="16"/>
        <v>181.77260777209193</v>
      </c>
      <c r="AL19" s="54">
        <f t="shared" si="16"/>
        <v>205.07941102773455</v>
      </c>
      <c r="AM19" s="54">
        <f t="shared" si="16"/>
        <v>229.38330941526374</v>
      </c>
      <c r="AN19" s="54">
        <f t="shared" si="16"/>
        <v>253.58650162986783</v>
      </c>
      <c r="AO19" s="54">
        <f t="shared" si="16"/>
        <v>278.25687805870871</v>
      </c>
      <c r="AP19" s="54">
        <f t="shared" si="16"/>
        <v>301.06512550841262</v>
      </c>
      <c r="AQ19" s="54">
        <f t="shared" si="16"/>
        <v>319.05200673712829</v>
      </c>
      <c r="AR19" s="54">
        <f t="shared" si="16"/>
        <v>333.68151168581574</v>
      </c>
      <c r="AS19" s="54">
        <f t="shared" si="16"/>
        <v>352.28099571343495</v>
      </c>
      <c r="AT19" s="54">
        <f t="shared" si="16"/>
        <v>370.83882099632513</v>
      </c>
      <c r="AU19" s="54">
        <f t="shared" si="16"/>
        <v>390.42894667131242</v>
      </c>
      <c r="AV19" s="54">
        <f t="shared" si="16"/>
        <v>411.1874451860615</v>
      </c>
      <c r="AW19" s="54">
        <f t="shared" si="16"/>
        <v>432.59054402827962</v>
      </c>
      <c r="AX19" s="54">
        <f t="shared" si="16"/>
        <v>453.48844494740251</v>
      </c>
      <c r="AY19" s="54">
        <f t="shared" si="16"/>
        <v>471.9661158873833</v>
      </c>
      <c r="AZ19" s="54">
        <f t="shared" si="16"/>
        <v>490.11801742900724</v>
      </c>
      <c r="BA19" s="54">
        <f t="shared" si="16"/>
        <v>506.69071770221331</v>
      </c>
      <c r="BB19" s="54">
        <f t="shared" si="16"/>
        <v>522.69164475512275</v>
      </c>
      <c r="BD19" s="23"/>
    </row>
    <row r="20" spans="1:56" x14ac:dyDescent="0.25">
      <c r="A20" s="19">
        <v>2037</v>
      </c>
      <c r="B20" s="20">
        <f ca="1">OFFSET(Afforestation!$B$2,0,ROW()-ROW($B$5))</f>
        <v>27300</v>
      </c>
      <c r="C20" s="2">
        <f t="shared" ca="1" si="0"/>
        <v>18.192567325487644</v>
      </c>
      <c r="D20" s="2">
        <f t="shared" ca="1" si="1"/>
        <v>7.9033857131870198</v>
      </c>
      <c r="E20" s="13">
        <f>Model!$B$7</f>
        <v>0</v>
      </c>
      <c r="F20" s="2">
        <f t="shared" ca="1" si="2"/>
        <v>0</v>
      </c>
      <c r="G20" s="2">
        <f t="shared" ca="1" si="7"/>
        <v>18.192567325487644</v>
      </c>
      <c r="H20" s="2">
        <f t="shared" ca="1" si="8"/>
        <v>-1.4255766098337783</v>
      </c>
      <c r="I20" s="2">
        <f t="shared" ca="1" si="3"/>
        <v>16.766990715653865</v>
      </c>
      <c r="J20" s="2">
        <f t="shared" ca="1" si="4"/>
        <v>24.670376428840886</v>
      </c>
      <c r="K20" s="20">
        <f t="shared" ca="1" si="11"/>
        <v>120704.42829015708</v>
      </c>
      <c r="L20" s="20">
        <f t="shared" ca="1" si="10"/>
        <v>6477.8091033532401</v>
      </c>
      <c r="M20" s="20">
        <f t="shared" ca="1" si="5"/>
        <v>6477.809103353241</v>
      </c>
      <c r="N20" s="20">
        <f t="shared" ca="1" si="6"/>
        <v>0</v>
      </c>
      <c r="P20" s="150" t="s">
        <v>135</v>
      </c>
      <c r="Q20" s="150" t="s">
        <v>377</v>
      </c>
      <c r="R20" s="150" t="s">
        <v>378</v>
      </c>
      <c r="S20" s="150" t="s">
        <v>379</v>
      </c>
      <c r="T20" s="150" t="s">
        <v>380</v>
      </c>
      <c r="U20" s="150" t="s">
        <v>381</v>
      </c>
      <c r="V20" s="151">
        <v>2.8504986194775599</v>
      </c>
      <c r="W20" s="151">
        <v>2.8649916659672883</v>
      </c>
      <c r="X20" s="151">
        <v>2.864147021333328</v>
      </c>
      <c r="Y20" s="151">
        <v>2.8651798261509125</v>
      </c>
      <c r="Z20" s="151">
        <v>2.8851326363332239</v>
      </c>
      <c r="AA20" s="151">
        <v>2.9265526058708597</v>
      </c>
      <c r="AB20" s="151">
        <v>2.9767692120690583</v>
      </c>
      <c r="AC20" s="151">
        <v>3.0117024591509769</v>
      </c>
      <c r="AD20" s="151">
        <v>3.0211761908604391</v>
      </c>
      <c r="AE20" s="151">
        <v>3.0027297060094962</v>
      </c>
      <c r="AF20" s="151">
        <v>2.9635974140066281</v>
      </c>
      <c r="AG20" s="151">
        <v>2.9125309059110704</v>
      </c>
      <c r="AH20" s="151">
        <v>2.8682906079830439</v>
      </c>
      <c r="AI20" s="151">
        <v>2.831292384393818</v>
      </c>
      <c r="AJ20" s="151">
        <v>2.8035874988364209</v>
      </c>
      <c r="AK20" s="151">
        <v>2.7769267358954113</v>
      </c>
      <c r="AL20" s="151">
        <v>2.7518465215163452</v>
      </c>
      <c r="AM20" s="151">
        <v>2.7218278596227785</v>
      </c>
      <c r="AN20" s="151">
        <v>2.6871503214742565</v>
      </c>
      <c r="AO20" s="151">
        <v>2.6503275839266309</v>
      </c>
      <c r="AP20" s="151">
        <v>2.6098395422885803</v>
      </c>
      <c r="AQ20" s="151">
        <v>2.5686939042188524</v>
      </c>
      <c r="AR20" s="151">
        <v>2.5273255861518913</v>
      </c>
      <c r="AS20" s="151">
        <v>2.4868118289461574</v>
      </c>
      <c r="AT20" s="151">
        <v>2.4469764271047687</v>
      </c>
      <c r="AU20" s="151">
        <v>2.4084479551030706</v>
      </c>
      <c r="AV20" s="151">
        <v>2.3727087222404797</v>
      </c>
      <c r="AW20" s="151">
        <v>2.3383105847800461</v>
      </c>
      <c r="AX20" s="151">
        <v>2.3123668042305248</v>
      </c>
      <c r="AY20" s="151">
        <v>2.288135080855437</v>
      </c>
      <c r="AZ20" s="151">
        <v>2.2682145408073557</v>
      </c>
      <c r="BA20" s="151">
        <v>2.2495659548065796</v>
      </c>
      <c r="BB20" s="151">
        <v>2.2331066153043309</v>
      </c>
    </row>
    <row r="21" spans="1:56" x14ac:dyDescent="0.25">
      <c r="A21" s="19">
        <v>2038</v>
      </c>
      <c r="B21" s="20">
        <f ca="1">OFFSET(Afforestation!$B$2,0,ROW()-ROW($B$5))</f>
        <v>27300</v>
      </c>
      <c r="C21" s="2">
        <f t="shared" ca="1" si="0"/>
        <v>17.122154476992677</v>
      </c>
      <c r="D21" s="2">
        <f t="shared" ca="1" si="1"/>
        <v>8.1041522949765543</v>
      </c>
      <c r="E21" s="13">
        <f>Model!$B$7</f>
        <v>0</v>
      </c>
      <c r="F21" s="2">
        <f t="shared" ca="1" si="2"/>
        <v>0</v>
      </c>
      <c r="G21" s="2">
        <f t="shared" ca="1" si="7"/>
        <v>17.122154476992677</v>
      </c>
      <c r="H21" s="2">
        <f t="shared" ca="1" si="8"/>
        <v>-2.4180593222653277</v>
      </c>
      <c r="I21" s="2">
        <f t="shared" ca="1" si="3"/>
        <v>14.704095154727348</v>
      </c>
      <c r="J21" s="2">
        <f t="shared" ca="1" si="4"/>
        <v>22.808247449703902</v>
      </c>
      <c r="K21" s="20">
        <f t="shared" ca="1" si="11"/>
        <v>126390.52126286831</v>
      </c>
      <c r="L21" s="20">
        <f t="shared" ca="1" si="10"/>
        <v>5686.0929727112234</v>
      </c>
      <c r="M21" s="20">
        <f t="shared" ca="1" si="5"/>
        <v>5686.092972711227</v>
      </c>
      <c r="N21" s="20">
        <f t="shared" ca="1" si="6"/>
        <v>0</v>
      </c>
      <c r="P21" s="150" t="s">
        <v>135</v>
      </c>
      <c r="Q21" s="150" t="s">
        <v>377</v>
      </c>
      <c r="R21" s="150" t="s">
        <v>378</v>
      </c>
      <c r="S21" s="150" t="s">
        <v>382</v>
      </c>
      <c r="T21" s="150" t="s">
        <v>383</v>
      </c>
      <c r="U21" s="150" t="s">
        <v>381</v>
      </c>
      <c r="V21" s="151">
        <v>8.4220683673060002</v>
      </c>
      <c r="W21" s="151">
        <v>8.3109429715469556</v>
      </c>
      <c r="X21" s="151">
        <v>7.9963015393850583</v>
      </c>
      <c r="Y21" s="151">
        <v>7.5585566855436257</v>
      </c>
      <c r="Z21" s="151">
        <v>6.8991949995693211</v>
      </c>
      <c r="AA21" s="151">
        <v>6.2522055070772984</v>
      </c>
      <c r="AB21" s="151">
        <v>5.5317668061692098</v>
      </c>
      <c r="AC21" s="151">
        <v>5.1964550120394488</v>
      </c>
      <c r="AD21" s="151">
        <v>4.9690682249806786</v>
      </c>
      <c r="AE21" s="151">
        <v>4.8065288125560421</v>
      </c>
      <c r="AF21" s="151">
        <v>4.6760415211923991</v>
      </c>
      <c r="AG21" s="151">
        <v>4.5850640377802705</v>
      </c>
      <c r="AH21" s="151">
        <v>4.7662829849720358</v>
      </c>
      <c r="AI21" s="151">
        <v>5.0673769836627649</v>
      </c>
      <c r="AJ21" s="151">
        <v>5.5732071972629829</v>
      </c>
      <c r="AK21" s="151">
        <v>6.153758348940201</v>
      </c>
      <c r="AL21" s="151">
        <v>6.8793023814401266</v>
      </c>
      <c r="AM21" s="151">
        <v>7.3134707551292921</v>
      </c>
      <c r="AN21" s="151">
        <v>7.6554463640580712</v>
      </c>
      <c r="AO21" s="151">
        <v>7.9033857131870198</v>
      </c>
      <c r="AP21" s="151">
        <v>8.1041522949765543</v>
      </c>
      <c r="AQ21" s="151">
        <v>8.0825196790513907</v>
      </c>
      <c r="AR21" s="151">
        <v>7.8346159763625565</v>
      </c>
      <c r="AS21" s="151">
        <v>7.7874285804629082</v>
      </c>
      <c r="AT21" s="151">
        <v>7.7084833631410028</v>
      </c>
      <c r="AU21" s="151">
        <v>7.6104418614154516</v>
      </c>
      <c r="AV21" s="151">
        <v>7.5715408472250481</v>
      </c>
      <c r="AW21" s="151">
        <v>7.5560131157239256</v>
      </c>
      <c r="AX21" s="151">
        <v>7.5610976185075636</v>
      </c>
      <c r="AY21" s="151">
        <v>7.2869599039431625</v>
      </c>
      <c r="AZ21" s="151">
        <v>6.9990266782100807</v>
      </c>
      <c r="BA21" s="151">
        <v>6.6034741983414609</v>
      </c>
      <c r="BB21" s="151">
        <v>6.3557423602063654</v>
      </c>
    </row>
    <row r="22" spans="1:56" x14ac:dyDescent="0.25">
      <c r="A22" s="19">
        <v>2039</v>
      </c>
      <c r="B22" s="20">
        <f ca="1">OFFSET(Afforestation!$B$2,0,ROW()-ROW($B$5))</f>
        <v>27300</v>
      </c>
      <c r="C22" s="2">
        <f t="shared" ca="1" si="0"/>
        <v>15.941385738360241</v>
      </c>
      <c r="D22" s="2">
        <f t="shared" ca="1" si="1"/>
        <v>8.0825196790513907</v>
      </c>
      <c r="E22" s="13">
        <f>Model!$B$7</f>
        <v>0</v>
      </c>
      <c r="F22" s="2">
        <f t="shared" ca="1" si="2"/>
        <v>0</v>
      </c>
      <c r="G22" s="2">
        <f t="shared" ca="1" si="7"/>
        <v>15.941385738360241</v>
      </c>
      <c r="H22" s="2">
        <f t="shared" ca="1" si="8"/>
        <v>-6.0370241886959759</v>
      </c>
      <c r="I22" s="2">
        <f t="shared" ca="1" si="3"/>
        <v>9.9043615496642659</v>
      </c>
      <c r="J22" s="2">
        <f t="shared" ca="1" si="4"/>
        <v>17.986881228715657</v>
      </c>
      <c r="K22" s="20">
        <f t="shared" ca="1" si="11"/>
        <v>128436.01675322372</v>
      </c>
      <c r="L22" s="20">
        <f t="shared" ca="1" si="10"/>
        <v>2045.4954903554171</v>
      </c>
      <c r="M22" s="20">
        <f t="shared" ca="1" si="5"/>
        <v>2045.4954903554149</v>
      </c>
      <c r="N22" s="20">
        <f t="shared" ca="1" si="6"/>
        <v>0</v>
      </c>
      <c r="P22" s="150" t="s">
        <v>135</v>
      </c>
      <c r="Q22" s="150" t="s">
        <v>377</v>
      </c>
      <c r="R22" s="150" t="s">
        <v>378</v>
      </c>
      <c r="S22" s="150" t="s">
        <v>384</v>
      </c>
      <c r="T22" s="150" t="s">
        <v>385</v>
      </c>
      <c r="U22" s="150" t="s">
        <v>386</v>
      </c>
      <c r="V22" s="151">
        <v>-0.62323209037416771</v>
      </c>
      <c r="W22" s="151">
        <v>-1.0986200726298805</v>
      </c>
      <c r="X22" s="151">
        <v>-2.264416992551963</v>
      </c>
      <c r="Y22" s="151">
        <v>-3.4280706602912034</v>
      </c>
      <c r="Z22" s="151">
        <v>-6.9348231812418666</v>
      </c>
      <c r="AA22" s="151">
        <v>-8.4841803865887222</v>
      </c>
      <c r="AB22" s="151">
        <v>-11.162739071814798</v>
      </c>
      <c r="AC22" s="151">
        <v>-7.2052771097290194</v>
      </c>
      <c r="AD22" s="151">
        <v>-5.6234563090434726</v>
      </c>
      <c r="AE22" s="151">
        <v>-4.3068753169076288</v>
      </c>
      <c r="AF22" s="151">
        <v>-5.0907092337693278</v>
      </c>
      <c r="AG22" s="151">
        <v>-5.0573555650246611</v>
      </c>
      <c r="AH22" s="151">
        <v>-3.5497604800320306</v>
      </c>
      <c r="AI22" s="151">
        <v>-2.4916397263077261</v>
      </c>
      <c r="AJ22" s="151">
        <v>-1.7267523405113083</v>
      </c>
      <c r="AK22" s="151">
        <v>-0.67509207643333091</v>
      </c>
      <c r="AL22" s="151">
        <v>-0.91103835089527441</v>
      </c>
      <c r="AM22" s="151">
        <v>-0.75012406273475374</v>
      </c>
      <c r="AN22" s="151">
        <v>-1.3670294470833129</v>
      </c>
      <c r="AO22" s="151">
        <v>-1.3923438762147256</v>
      </c>
      <c r="AP22" s="151">
        <v>-2.3733841248424454</v>
      </c>
      <c r="AQ22" s="151">
        <v>-5.946210530423353</v>
      </c>
      <c r="AR22" s="151">
        <v>-8.317245418117345</v>
      </c>
      <c r="AS22" s="151">
        <v>-4.4906002414153399</v>
      </c>
      <c r="AT22" s="151">
        <v>-4.6262953911331328</v>
      </c>
      <c r="AU22" s="151">
        <v>-3.6441200537988672</v>
      </c>
      <c r="AV22" s="151">
        <v>-2.5426441220864398</v>
      </c>
      <c r="AW22" s="151">
        <v>-2.0003292673605197</v>
      </c>
      <c r="AX22" s="151">
        <v>-2.6391051450242826</v>
      </c>
      <c r="AY22" s="151">
        <v>-4.8944907696400186</v>
      </c>
      <c r="AZ22" s="151">
        <v>-5.0531918809122311</v>
      </c>
      <c r="BA22" s="151">
        <v>-6.3455420168118719</v>
      </c>
      <c r="BB22" s="151">
        <v>-6.8121106916988996</v>
      </c>
    </row>
    <row r="23" spans="1:56" x14ac:dyDescent="0.25">
      <c r="A23" s="19">
        <v>2040</v>
      </c>
      <c r="B23" s="20">
        <f ca="1">OFFSET(Afforestation!$B$2,0,ROW()-ROW($B$5))</f>
        <v>27300</v>
      </c>
      <c r="C23" s="2">
        <f t="shared" ca="1" si="0"/>
        <v>15.236528255876934</v>
      </c>
      <c r="D23" s="2">
        <f t="shared" ca="1" si="1"/>
        <v>7.8346159763625565</v>
      </c>
      <c r="E23" s="13">
        <f>Model!$B$7</f>
        <v>0</v>
      </c>
      <c r="F23" s="2">
        <f t="shared" ca="1" si="2"/>
        <v>0</v>
      </c>
      <c r="G23" s="2">
        <f t="shared" ca="1" si="7"/>
        <v>15.236528255876934</v>
      </c>
      <c r="H23" s="2">
        <f t="shared" ca="1" si="8"/>
        <v>-8.4416392835520764</v>
      </c>
      <c r="I23" s="2">
        <f t="shared" ca="1" si="3"/>
        <v>6.7948889723248573</v>
      </c>
      <c r="J23" s="2">
        <f t="shared" ca="1" si="4"/>
        <v>14.629504948687414</v>
      </c>
      <c r="K23" s="20">
        <f t="shared" ca="1" si="11"/>
        <v>127828.9934460342</v>
      </c>
      <c r="L23" s="20">
        <f t="shared" ca="1" si="10"/>
        <v>-607.02330718951998</v>
      </c>
      <c r="M23" s="20">
        <f t="shared" ca="1" si="5"/>
        <v>0</v>
      </c>
      <c r="N23" s="20">
        <f t="shared" ca="1" si="6"/>
        <v>-607.02330718951987</v>
      </c>
      <c r="P23" s="150" t="s">
        <v>135</v>
      </c>
      <c r="Q23" s="150" t="s">
        <v>377</v>
      </c>
      <c r="R23" s="150" t="s">
        <v>387</v>
      </c>
      <c r="S23" s="150" t="s">
        <v>379</v>
      </c>
      <c r="T23" s="150" t="s">
        <v>388</v>
      </c>
      <c r="U23" s="150" t="s">
        <v>381</v>
      </c>
      <c r="V23" s="151">
        <v>0.47898569712953609</v>
      </c>
      <c r="W23" s="151">
        <v>0.48301782703722457</v>
      </c>
      <c r="X23" s="151">
        <v>0.48446957380791966</v>
      </c>
      <c r="Y23" s="151">
        <v>0.48446871707076222</v>
      </c>
      <c r="Z23" s="151">
        <v>0.48276102805894744</v>
      </c>
      <c r="AA23" s="151">
        <v>0.47917345838420422</v>
      </c>
      <c r="AB23" s="151">
        <v>0.47588770544550302</v>
      </c>
      <c r="AC23" s="151">
        <v>0.46856573469288354</v>
      </c>
      <c r="AD23" s="151">
        <v>0.46097679476543596</v>
      </c>
      <c r="AE23" s="151">
        <v>0.44966411206337353</v>
      </c>
      <c r="AF23" s="151">
        <v>0.44185002874443313</v>
      </c>
      <c r="AG23" s="151">
        <v>0.42753340090481534</v>
      </c>
      <c r="AH23" s="151">
        <v>0.41510689158723174</v>
      </c>
      <c r="AI23" s="151">
        <v>0.40263781777426655</v>
      </c>
      <c r="AJ23" s="151">
        <v>0.38686177509059738</v>
      </c>
      <c r="AK23" s="151">
        <v>0.37067991777705284</v>
      </c>
      <c r="AL23" s="151">
        <v>0.35202430068879625</v>
      </c>
      <c r="AM23" s="151">
        <v>0.33852052212503292</v>
      </c>
      <c r="AN23" s="151">
        <v>0.31891751191500156</v>
      </c>
      <c r="AO23" s="151">
        <v>0.30241803587665012</v>
      </c>
      <c r="AP23" s="151">
        <v>0.28664868669115312</v>
      </c>
      <c r="AQ23" s="151">
        <v>0.27162281033109364</v>
      </c>
      <c r="AR23" s="151">
        <v>0.25785722402432326</v>
      </c>
      <c r="AS23" s="151">
        <v>0.24261081129507367</v>
      </c>
      <c r="AT23" s="151">
        <v>0.23302038042631035</v>
      </c>
      <c r="AU23" s="151">
        <v>0.21975360856748136</v>
      </c>
      <c r="AV23" s="151">
        <v>0.20944621825951898</v>
      </c>
      <c r="AW23" s="151">
        <v>0.20113169858287067</v>
      </c>
      <c r="AX23" s="151">
        <v>0.19026507937082426</v>
      </c>
      <c r="AY23" s="151">
        <v>0.18442971417915777</v>
      </c>
      <c r="AZ23" s="151">
        <v>0.1748872226571801</v>
      </c>
      <c r="BA23" s="151">
        <v>0.17036461784475498</v>
      </c>
      <c r="BB23" s="151">
        <v>0.16376531806951347</v>
      </c>
    </row>
    <row r="24" spans="1:56" x14ac:dyDescent="0.25">
      <c r="A24" s="19">
        <v>2041</v>
      </c>
      <c r="B24" s="20">
        <f ca="1">OFFSET(Afforestation!$B$2,0,ROW()-ROW($B$5))</f>
        <v>27300</v>
      </c>
      <c r="C24" s="2">
        <f t="shared" ca="1" si="0"/>
        <v>15.347520321596416</v>
      </c>
      <c r="D24" s="2">
        <f t="shared" ca="1" si="1"/>
        <v>7.7874285804629082</v>
      </c>
      <c r="E24" s="13">
        <f>Model!$B$7</f>
        <v>0</v>
      </c>
      <c r="F24" s="2">
        <f t="shared" ca="1" si="2"/>
        <v>0</v>
      </c>
      <c r="G24" s="2">
        <f t="shared" ca="1" si="7"/>
        <v>15.347520321596416</v>
      </c>
      <c r="H24" s="2">
        <f t="shared" ca="1" si="8"/>
        <v>-4.5354648744401187</v>
      </c>
      <c r="I24" s="2">
        <f t="shared" ca="1" si="3"/>
        <v>10.812055447156297</v>
      </c>
      <c r="J24" s="2">
        <f t="shared" ca="1" si="4"/>
        <v>18.599484027619205</v>
      </c>
      <c r="K24" s="20">
        <f t="shared" ca="1" si="11"/>
        <v>131080.957152057</v>
      </c>
      <c r="L24" s="20">
        <f t="shared" ca="1" si="10"/>
        <v>3251.9637060227979</v>
      </c>
      <c r="M24" s="20">
        <f t="shared" ca="1" si="5"/>
        <v>3251.9637060227897</v>
      </c>
      <c r="N24" s="20">
        <f t="shared" ca="1" si="6"/>
        <v>0</v>
      </c>
      <c r="P24" s="150" t="s">
        <v>135</v>
      </c>
      <c r="Q24" s="150" t="s">
        <v>377</v>
      </c>
      <c r="R24" s="150" t="s">
        <v>378</v>
      </c>
      <c r="S24" s="150" t="s">
        <v>389</v>
      </c>
      <c r="T24" s="150" t="s">
        <v>390</v>
      </c>
      <c r="U24" s="150" t="s">
        <v>386</v>
      </c>
      <c r="V24" s="151">
        <v>-5.5962042482270616E-2</v>
      </c>
      <c r="W24" s="151">
        <v>-3.4222420425129851E-2</v>
      </c>
      <c r="X24" s="151">
        <v>-6.0456674775362915E-2</v>
      </c>
      <c r="Y24" s="151">
        <v>-0.12457327581259528</v>
      </c>
      <c r="Z24" s="151">
        <v>-0.16833125158006612</v>
      </c>
      <c r="AA24" s="151">
        <v>-0.16668253622464729</v>
      </c>
      <c r="AB24" s="151">
        <v>-0.21430701802786423</v>
      </c>
      <c r="AC24" s="151">
        <v>-0.14467085065202556</v>
      </c>
      <c r="AD24" s="151">
        <v>-0.11433667404658122</v>
      </c>
      <c r="AE24" s="151">
        <v>-9.0257224167867328E-2</v>
      </c>
      <c r="AF24" s="151">
        <v>-0.10291092230932627</v>
      </c>
      <c r="AG24" s="151">
        <v>-0.10075335496557057</v>
      </c>
      <c r="AH24" s="151">
        <v>-7.423745824349906E-2</v>
      </c>
      <c r="AI24" s="151">
        <v>-5.6861075029530736E-2</v>
      </c>
      <c r="AJ24" s="151">
        <v>-4.3170488718124789E-2</v>
      </c>
      <c r="AK24" s="151">
        <v>-2.4539495290130484E-2</v>
      </c>
      <c r="AL24" s="151">
        <v>-2.6440947810033848E-2</v>
      </c>
      <c r="AM24" s="151">
        <v>-2.3507238317545569E-2</v>
      </c>
      <c r="AN24" s="151">
        <v>-3.2691556526236752E-2</v>
      </c>
      <c r="AO24" s="151">
        <v>-3.3232733619052712E-2</v>
      </c>
      <c r="AP24" s="151">
        <v>-4.4675197422882153E-2</v>
      </c>
      <c r="AQ24" s="151">
        <v>-9.081365827262311E-2</v>
      </c>
      <c r="AR24" s="151">
        <v>-0.12439386543473117</v>
      </c>
      <c r="AS24" s="151">
        <v>-4.4864633024778763E-2</v>
      </c>
      <c r="AT24" s="151">
        <v>-3.9050153349320833E-2</v>
      </c>
      <c r="AU24" s="151">
        <v>-3.6911959589212603E-2</v>
      </c>
      <c r="AV24" s="151">
        <v>-2.9553400325232161E-2</v>
      </c>
      <c r="AW24" s="151">
        <v>-3.4414736390925987E-2</v>
      </c>
      <c r="AX24" s="151">
        <v>-3.9373612582531393E-2</v>
      </c>
      <c r="AY24" s="151">
        <v>-7.6498972752748293E-2</v>
      </c>
      <c r="AZ24" s="151">
        <v>-8.8258989286470024E-2</v>
      </c>
      <c r="BA24" s="151">
        <v>-0.12284737177752801</v>
      </c>
      <c r="BB24" s="151">
        <v>-0.12743576346588548</v>
      </c>
    </row>
    <row r="25" spans="1:56" x14ac:dyDescent="0.25">
      <c r="A25" s="19">
        <v>2042</v>
      </c>
      <c r="B25" s="20">
        <f ca="1">OFFSET(Afforestation!$B$2,0,ROW()-ROW($B$5))</f>
        <v>27300</v>
      </c>
      <c r="C25" s="2">
        <f t="shared" ca="1" si="0"/>
        <v>15.514687464231649</v>
      </c>
      <c r="D25" s="2">
        <f t="shared" ca="1" si="1"/>
        <v>7.7084833631410028</v>
      </c>
      <c r="E25" s="13">
        <f>Model!$B$7</f>
        <v>0</v>
      </c>
      <c r="F25" s="2">
        <f t="shared" ca="1" si="2"/>
        <v>0</v>
      </c>
      <c r="G25" s="2">
        <f t="shared" ca="1" si="7"/>
        <v>15.514687464231649</v>
      </c>
      <c r="H25" s="2">
        <f t="shared" ca="1" si="8"/>
        <v>-4.6653455444824541</v>
      </c>
      <c r="I25" s="2">
        <f t="shared" ca="1" si="3"/>
        <v>10.849341919749195</v>
      </c>
      <c r="J25" s="2">
        <f t="shared" ca="1" si="4"/>
        <v>18.5578252828902</v>
      </c>
      <c r="K25" s="20">
        <f t="shared" ca="1" si="11"/>
        <v>134124.09497071555</v>
      </c>
      <c r="L25" s="20">
        <f t="shared" ca="1" si="10"/>
        <v>3043.1378186585498</v>
      </c>
      <c r="M25" s="20">
        <f t="shared" ca="1" si="5"/>
        <v>3043.1378186585489</v>
      </c>
      <c r="N25" s="20">
        <f t="shared" ca="1" si="6"/>
        <v>0</v>
      </c>
      <c r="P25" s="150" t="s">
        <v>135</v>
      </c>
      <c r="Q25" s="150" t="s">
        <v>377</v>
      </c>
      <c r="R25" s="150" t="s">
        <v>391</v>
      </c>
      <c r="S25" s="150" t="s">
        <v>392</v>
      </c>
      <c r="T25" s="150" t="s">
        <v>393</v>
      </c>
      <c r="U25" s="150" t="s">
        <v>381</v>
      </c>
      <c r="V25" s="151">
        <v>0.20672659487536815</v>
      </c>
      <c r="W25" s="151">
        <v>0.23889708533646634</v>
      </c>
      <c r="X25" s="151">
        <v>0.19755121287837851</v>
      </c>
      <c r="Y25" s="151">
        <v>0.19241581139136954</v>
      </c>
      <c r="Z25" s="151">
        <v>0.18552460550673375</v>
      </c>
      <c r="AA25" s="151">
        <v>0.18052877871485656</v>
      </c>
      <c r="AB25" s="151">
        <v>0.17392840937741746</v>
      </c>
      <c r="AC25" s="151">
        <v>0.16379489596110039</v>
      </c>
      <c r="AD25" s="151">
        <v>0.15852980190009794</v>
      </c>
      <c r="AE25" s="151">
        <v>0.15181447438882043</v>
      </c>
      <c r="AF25" s="151">
        <v>0.14678807689519563</v>
      </c>
      <c r="AG25" s="151">
        <v>0.14039805715663833</v>
      </c>
      <c r="AH25" s="151">
        <v>0.13425252010589228</v>
      </c>
      <c r="AI25" s="151">
        <v>0.12893835800406606</v>
      </c>
      <c r="AJ25" s="151">
        <v>0.12421561301779596</v>
      </c>
      <c r="AK25" s="151">
        <v>0.11963057456575482</v>
      </c>
      <c r="AL25" s="151">
        <v>0.11393711992951806</v>
      </c>
      <c r="AM25" s="151">
        <v>0.11189271385959002</v>
      </c>
      <c r="AN25" s="151">
        <v>0.10682979220094882</v>
      </c>
      <c r="AO25" s="151">
        <v>0.10314294293827243</v>
      </c>
      <c r="AP25" s="151">
        <v>0.10106935758546741</v>
      </c>
      <c r="AQ25" s="151">
        <v>9.7568220778027598E-2</v>
      </c>
      <c r="AR25" s="151">
        <v>9.6602616252886686E-2</v>
      </c>
      <c r="AS25" s="151">
        <v>9.2598493528808168E-2</v>
      </c>
      <c r="AT25" s="151">
        <v>9.2170395935803978E-2</v>
      </c>
      <c r="AU25" s="151">
        <v>9.1374423624493967E-2</v>
      </c>
      <c r="AV25" s="151">
        <v>8.9129804871472762E-2</v>
      </c>
      <c r="AW25" s="151">
        <v>8.9013543118902388E-2</v>
      </c>
      <c r="AX25" s="151">
        <v>8.818393275882723E-2</v>
      </c>
      <c r="AY25" s="151">
        <v>8.7738340464396325E-2</v>
      </c>
      <c r="AZ25" s="151">
        <v>8.8284348033121907E-2</v>
      </c>
      <c r="BA25" s="151">
        <v>8.7393791487132749E-2</v>
      </c>
      <c r="BB25" s="151">
        <v>8.7320255066835342E-2</v>
      </c>
    </row>
    <row r="26" spans="1:56" x14ac:dyDescent="0.25">
      <c r="A26" s="19">
        <v>2043</v>
      </c>
      <c r="B26" s="20">
        <f ca="1">OFFSET(Afforestation!$B$2,0,ROW()-ROW($B$5))</f>
        <v>27300</v>
      </c>
      <c r="C26" s="2">
        <f t="shared" ca="1" si="0"/>
        <v>15.660715826959915</v>
      </c>
      <c r="D26" s="2">
        <f t="shared" ca="1" si="1"/>
        <v>7.6104418614154516</v>
      </c>
      <c r="E26" s="13">
        <f>Model!$B$7</f>
        <v>0</v>
      </c>
      <c r="F26" s="2">
        <f t="shared" ca="1" si="2"/>
        <v>0</v>
      </c>
      <c r="G26" s="2">
        <f t="shared" ca="1" si="7"/>
        <v>15.660715826959915</v>
      </c>
      <c r="H26" s="2">
        <f t="shared" ca="1" si="8"/>
        <v>-3.6810320133880796</v>
      </c>
      <c r="I26" s="2">
        <f t="shared" ca="1" si="3"/>
        <v>11.979683813571835</v>
      </c>
      <c r="J26" s="2">
        <f t="shared" ca="1" si="4"/>
        <v>19.590125674987288</v>
      </c>
      <c r="K26" s="20">
        <f t="shared" ca="1" si="11"/>
        <v>138053.50481874292</v>
      </c>
      <c r="L26" s="20">
        <f t="shared" ca="1" si="10"/>
        <v>3929.4098480273678</v>
      </c>
      <c r="M26" s="20">
        <f t="shared" ca="1" si="5"/>
        <v>3929.4098480273719</v>
      </c>
      <c r="N26" s="20">
        <f t="shared" ca="1" si="6"/>
        <v>0</v>
      </c>
      <c r="P26" s="55" t="s">
        <v>343</v>
      </c>
      <c r="Q26" s="55" t="s">
        <v>377</v>
      </c>
      <c r="R26" s="55" t="s">
        <v>378</v>
      </c>
      <c r="S26" s="55" t="s">
        <v>379</v>
      </c>
      <c r="T26" s="55" t="s">
        <v>380</v>
      </c>
      <c r="U26" s="55" t="s">
        <v>381</v>
      </c>
      <c r="V26" s="56">
        <v>1.9383390612447386</v>
      </c>
      <c r="W26" s="56">
        <v>1.9481943328577562</v>
      </c>
      <c r="X26" s="56">
        <v>1.9476199745066634</v>
      </c>
      <c r="Y26" s="56">
        <v>1.9483222817826213</v>
      </c>
      <c r="Z26" s="56">
        <v>1.9618901927065928</v>
      </c>
      <c r="AA26" s="56">
        <v>1.9900557719921856</v>
      </c>
      <c r="AB26" s="56">
        <v>2.0242030642069602</v>
      </c>
      <c r="AC26" s="56">
        <v>2.0479576722226644</v>
      </c>
      <c r="AD26" s="56">
        <v>2.0543998097850986</v>
      </c>
      <c r="AE26" s="56">
        <v>2.0418562000864582</v>
      </c>
      <c r="AF26" s="56">
        <v>2.0152462415245069</v>
      </c>
      <c r="AG26" s="56">
        <v>1.9805210160195275</v>
      </c>
      <c r="AH26" s="56">
        <v>1.9504376134284709</v>
      </c>
      <c r="AI26" s="56">
        <v>1.9252788213877967</v>
      </c>
      <c r="AJ26" s="56">
        <v>1.9064394992087665</v>
      </c>
      <c r="AK26" s="56">
        <v>1.88831018040888</v>
      </c>
      <c r="AL26" s="56">
        <v>1.8712556346311151</v>
      </c>
      <c r="AM26" s="56">
        <v>1.8508429445434893</v>
      </c>
      <c r="AN26" s="56">
        <v>1.8272622186024947</v>
      </c>
      <c r="AO26" s="56">
        <v>1.8022227570701095</v>
      </c>
      <c r="AP26" s="56">
        <v>1.7746908887562349</v>
      </c>
      <c r="AQ26" s="56">
        <v>1.7467118548688203</v>
      </c>
      <c r="AR26" s="56">
        <v>1.7185813985832867</v>
      </c>
      <c r="AS26" s="56">
        <v>1.6910320436833872</v>
      </c>
      <c r="AT26" s="56">
        <v>1.6639439704312435</v>
      </c>
      <c r="AU26" s="56">
        <v>1.637744609470088</v>
      </c>
      <c r="AV26" s="56">
        <v>1.6134419311235264</v>
      </c>
      <c r="AW26" s="56">
        <v>1.5900511976504319</v>
      </c>
      <c r="AX26" s="56">
        <v>1.572409426876757</v>
      </c>
      <c r="AY26" s="56">
        <v>1.5559318549816981</v>
      </c>
      <c r="AZ26" s="56">
        <v>1.5423858877490024</v>
      </c>
      <c r="BA26" s="56">
        <v>1.5297048492684746</v>
      </c>
      <c r="BB26" s="56">
        <v>1.5185124984069454</v>
      </c>
    </row>
    <row r="27" spans="1:56" x14ac:dyDescent="0.25">
      <c r="A27" s="19">
        <v>2044</v>
      </c>
      <c r="B27" s="20">
        <f ca="1">OFFSET(Afforestation!$B$2,0,ROW()-ROW($B$5))</f>
        <v>27300</v>
      </c>
      <c r="C27" s="2">
        <f t="shared" ca="1" si="0"/>
        <v>15.759155189935722</v>
      </c>
      <c r="D27" s="2">
        <f t="shared" ca="1" si="1"/>
        <v>7.5715408472250481</v>
      </c>
      <c r="E27" s="13">
        <f>Model!$B$7</f>
        <v>0</v>
      </c>
      <c r="F27" s="2">
        <f t="shared" ca="1" si="2"/>
        <v>0</v>
      </c>
      <c r="G27" s="2">
        <f t="shared" ca="1" si="7"/>
        <v>15.759155189935722</v>
      </c>
      <c r="H27" s="2">
        <f t="shared" ca="1" si="8"/>
        <v>-2.5721975224116718</v>
      </c>
      <c r="I27" s="2">
        <f t="shared" ca="1" si="3"/>
        <v>13.18695766752405</v>
      </c>
      <c r="J27" s="2">
        <f t="shared" ca="1" si="4"/>
        <v>20.7584985147491</v>
      </c>
      <c r="K27" s="20">
        <f t="shared" ca="1" si="11"/>
        <v>143052.8481435563</v>
      </c>
      <c r="L27" s="20">
        <f t="shared" ca="1" si="10"/>
        <v>4999.3433248133806</v>
      </c>
      <c r="M27" s="20">
        <f t="shared" ca="1" si="5"/>
        <v>4999.3433248133761</v>
      </c>
      <c r="N27" s="20">
        <f t="shared" ca="1" si="6"/>
        <v>0</v>
      </c>
      <c r="P27" s="55" t="s">
        <v>343</v>
      </c>
      <c r="Q27" s="55" t="s">
        <v>377</v>
      </c>
      <c r="R27" s="55" t="s">
        <v>378</v>
      </c>
      <c r="S27" s="55" t="s">
        <v>382</v>
      </c>
      <c r="T27" s="55" t="s">
        <v>383</v>
      </c>
      <c r="U27" s="55" t="s">
        <v>381</v>
      </c>
      <c r="V27" s="56">
        <v>9.3204223264853052</v>
      </c>
      <c r="W27" s="56">
        <v>9.1974435551786318</v>
      </c>
      <c r="X27" s="56">
        <v>8.8492403702527991</v>
      </c>
      <c r="Y27" s="56">
        <v>8.3648027320016087</v>
      </c>
      <c r="Z27" s="56">
        <v>7.6351091328567158</v>
      </c>
      <c r="AA27" s="56">
        <v>6.9191242370775958</v>
      </c>
      <c r="AB27" s="56">
        <v>6.1219868412554854</v>
      </c>
      <c r="AC27" s="56">
        <v>5.7512190964912602</v>
      </c>
      <c r="AD27" s="56">
        <v>5.5001416000525918</v>
      </c>
      <c r="AE27" s="56">
        <v>5.3211589253810629</v>
      </c>
      <c r="AF27" s="56">
        <v>5.1778804336166759</v>
      </c>
      <c r="AG27" s="56">
        <v>5.0784692450318571</v>
      </c>
      <c r="AH27" s="56">
        <v>5.2802759884830452</v>
      </c>
      <c r="AI27" s="56">
        <v>5.6140593323122934</v>
      </c>
      <c r="AJ27" s="56">
        <v>6.1741917330054008</v>
      </c>
      <c r="AK27" s="56">
        <v>6.8168072747263171</v>
      </c>
      <c r="AL27" s="56">
        <v>7.6200620072463607</v>
      </c>
      <c r="AM27" s="56">
        <v>8.101022041273211</v>
      </c>
      <c r="AN27" s="56">
        <v>8.4798771964380606</v>
      </c>
      <c r="AO27" s="56">
        <v>8.7545588742069995</v>
      </c>
      <c r="AP27" s="56">
        <v>8.9769000343191845</v>
      </c>
      <c r="AQ27" s="56">
        <v>8.9530273028985992</v>
      </c>
      <c r="AR27" s="56">
        <v>8.6787584265171631</v>
      </c>
      <c r="AS27" s="56">
        <v>8.6266357463467536</v>
      </c>
      <c r="AT27" s="56">
        <v>8.5393966632234193</v>
      </c>
      <c r="AU27" s="56">
        <v>8.4310074506592763</v>
      </c>
      <c r="AV27" s="56">
        <v>8.3880823357579875</v>
      </c>
      <c r="AW27" s="56">
        <v>8.3712808668038203</v>
      </c>
      <c r="AX27" s="56">
        <v>8.3776036664731581</v>
      </c>
      <c r="AY27" s="56">
        <v>8.0743764001195348</v>
      </c>
      <c r="AZ27" s="56">
        <v>7.755595842451541</v>
      </c>
      <c r="BA27" s="56">
        <v>7.317390830687394</v>
      </c>
      <c r="BB27" s="56">
        <v>7.0424569231505281</v>
      </c>
    </row>
    <row r="28" spans="1:56" x14ac:dyDescent="0.25">
      <c r="A28" s="19">
        <v>2045</v>
      </c>
      <c r="B28" s="20">
        <f ca="1">OFFSET(Afforestation!$B$2,0,ROW()-ROW($B$5))</f>
        <v>27300</v>
      </c>
      <c r="C28" s="2">
        <f t="shared" ca="1" si="0"/>
        <v>15.881829730245666</v>
      </c>
      <c r="D28" s="2">
        <f t="shared" ca="1" si="1"/>
        <v>7.5560131157239256</v>
      </c>
      <c r="E28" s="13">
        <f>Model!$B$7</f>
        <v>0</v>
      </c>
      <c r="F28" s="2">
        <f t="shared" ca="1" si="2"/>
        <v>0</v>
      </c>
      <c r="G28" s="2">
        <f t="shared" ca="1" si="7"/>
        <v>15.881829730245666</v>
      </c>
      <c r="H28" s="2">
        <f t="shared" ca="1" si="8"/>
        <v>-2.0347440037514457</v>
      </c>
      <c r="I28" s="2">
        <f t="shared" ca="1" si="3"/>
        <v>13.847085726494221</v>
      </c>
      <c r="J28" s="2">
        <f t="shared" ca="1" si="4"/>
        <v>21.403098842218146</v>
      </c>
      <c r="K28" s="20">
        <f t="shared" ca="1" si="11"/>
        <v>148574.11725552878</v>
      </c>
      <c r="L28" s="20">
        <f t="shared" ca="1" si="10"/>
        <v>5521.2691119724768</v>
      </c>
      <c r="M28" s="20">
        <f t="shared" ca="1" si="5"/>
        <v>5521.2691119724795</v>
      </c>
      <c r="N28" s="20">
        <f t="shared" ca="1" si="6"/>
        <v>0</v>
      </c>
      <c r="P28" s="55" t="s">
        <v>343</v>
      </c>
      <c r="Q28" s="55" t="s">
        <v>377</v>
      </c>
      <c r="R28" s="55" t="s">
        <v>378</v>
      </c>
      <c r="S28" s="55" t="s">
        <v>384</v>
      </c>
      <c r="T28" s="55" t="s">
        <v>385</v>
      </c>
      <c r="U28" s="55" t="s">
        <v>386</v>
      </c>
      <c r="V28" s="56">
        <v>-0.68971018001407891</v>
      </c>
      <c r="W28" s="56">
        <v>-1.2158062137104011</v>
      </c>
      <c r="X28" s="56">
        <v>-2.5059548050908389</v>
      </c>
      <c r="Y28" s="56">
        <v>-3.7937315307222663</v>
      </c>
      <c r="Z28" s="56">
        <v>-7.6745376539076648</v>
      </c>
      <c r="AA28" s="56">
        <v>-9.389159627824851</v>
      </c>
      <c r="AB28" s="56">
        <v>-12.353431239475043</v>
      </c>
      <c r="AC28" s="56">
        <v>-7.9738400014334445</v>
      </c>
      <c r="AD28" s="56">
        <v>-6.2232916486747767</v>
      </c>
      <c r="AE28" s="56">
        <v>-4.7662753507111084</v>
      </c>
      <c r="AF28" s="56">
        <v>-5.6337182187047219</v>
      </c>
      <c r="AG28" s="56">
        <v>-5.5968068252939576</v>
      </c>
      <c r="AH28" s="56">
        <v>-3.9284015979021136</v>
      </c>
      <c r="AI28" s="56">
        <v>-2.7574146304472169</v>
      </c>
      <c r="AJ28" s="56">
        <v>-1.9109392568325143</v>
      </c>
      <c r="AK28" s="56">
        <v>-0.74710189791955273</v>
      </c>
      <c r="AL28" s="56">
        <v>-1.0082157749907705</v>
      </c>
      <c r="AM28" s="56">
        <v>-0.83013729609312747</v>
      </c>
      <c r="AN28" s="56">
        <v>-1.5128459214388663</v>
      </c>
      <c r="AO28" s="56">
        <v>-1.5408605563442959</v>
      </c>
      <c r="AP28" s="56">
        <v>-2.6265450981589726</v>
      </c>
      <c r="AQ28" s="56">
        <v>-6.5804729870018441</v>
      </c>
      <c r="AR28" s="56">
        <v>-9.2044182627165281</v>
      </c>
      <c r="AS28" s="56">
        <v>-4.9695976004996432</v>
      </c>
      <c r="AT28" s="56">
        <v>-5.1197668995206653</v>
      </c>
      <c r="AU28" s="56">
        <v>-4.0328261928707461</v>
      </c>
      <c r="AV28" s="56">
        <v>-2.8138594951089932</v>
      </c>
      <c r="AW28" s="56">
        <v>-2.2136977225456418</v>
      </c>
      <c r="AX28" s="56">
        <v>-2.9206096938268726</v>
      </c>
      <c r="AY28" s="56">
        <v>-5.4165697850682868</v>
      </c>
      <c r="AZ28" s="56">
        <v>-5.5921990148762024</v>
      </c>
      <c r="BA28" s="56">
        <v>-7.0223998319384719</v>
      </c>
      <c r="BB28" s="56">
        <v>-7.5387358321467817</v>
      </c>
    </row>
    <row r="29" spans="1:56" x14ac:dyDescent="0.25">
      <c r="A29" s="19">
        <v>2046</v>
      </c>
      <c r="B29" s="20">
        <f ca="1">OFFSET(Afforestation!$B$2,0,ROW()-ROW($B$5))</f>
        <v>27300</v>
      </c>
      <c r="C29" s="2">
        <f t="shared" ca="1" si="0"/>
        <v>16.01528205822212</v>
      </c>
      <c r="D29" s="2">
        <f t="shared" ca="1" si="1"/>
        <v>7.5610976185075636</v>
      </c>
      <c r="E29" s="13">
        <f>Model!$B$7</f>
        <v>0</v>
      </c>
      <c r="F29" s="2">
        <f t="shared" ca="1" si="2"/>
        <v>0</v>
      </c>
      <c r="G29" s="2">
        <f t="shared" ca="1" si="7"/>
        <v>16.01528205822212</v>
      </c>
      <c r="H29" s="2">
        <f t="shared" ca="1" si="8"/>
        <v>-2.6784787576068139</v>
      </c>
      <c r="I29" s="2">
        <f t="shared" ca="1" si="3"/>
        <v>13.336803300615305</v>
      </c>
      <c r="J29" s="2">
        <f t="shared" ca="1" si="4"/>
        <v>20.897900919122868</v>
      </c>
      <c r="K29" s="20">
        <f t="shared" ca="1" si="11"/>
        <v>153456.73611642953</v>
      </c>
      <c r="L29" s="20">
        <f t="shared" ca="1" si="10"/>
        <v>4882.6188609007513</v>
      </c>
      <c r="M29" s="20">
        <f t="shared" ca="1" si="5"/>
        <v>4882.6188609007495</v>
      </c>
      <c r="N29" s="20">
        <f t="shared" ca="1" si="6"/>
        <v>0</v>
      </c>
      <c r="P29" s="55" t="s">
        <v>343</v>
      </c>
      <c r="Q29" s="55" t="s">
        <v>377</v>
      </c>
      <c r="R29" s="55" t="s">
        <v>387</v>
      </c>
      <c r="S29" s="55" t="s">
        <v>379</v>
      </c>
      <c r="T29" s="55" t="s">
        <v>388</v>
      </c>
      <c r="U29" s="55" t="s">
        <v>381</v>
      </c>
      <c r="V29" s="56">
        <v>0.47898569712953609</v>
      </c>
      <c r="W29" s="56">
        <v>0.48301782703722457</v>
      </c>
      <c r="X29" s="56">
        <v>0.48446957380791966</v>
      </c>
      <c r="Y29" s="56">
        <v>0.48446871707076222</v>
      </c>
      <c r="Z29" s="56">
        <v>0.48276102805894744</v>
      </c>
      <c r="AA29" s="56">
        <v>0.47917345838420422</v>
      </c>
      <c r="AB29" s="56">
        <v>0.47588770544550302</v>
      </c>
      <c r="AC29" s="56">
        <v>0.46856573469288354</v>
      </c>
      <c r="AD29" s="56">
        <v>0.46097679476543596</v>
      </c>
      <c r="AE29" s="56">
        <v>0.44966411206337353</v>
      </c>
      <c r="AF29" s="56">
        <v>0.44185002874443313</v>
      </c>
      <c r="AG29" s="56">
        <v>0.42753340090481534</v>
      </c>
      <c r="AH29" s="56">
        <v>0.41510689158723174</v>
      </c>
      <c r="AI29" s="56">
        <v>0.40263781777426655</v>
      </c>
      <c r="AJ29" s="56">
        <v>0.38686177509059738</v>
      </c>
      <c r="AK29" s="56">
        <v>0.37067991777705284</v>
      </c>
      <c r="AL29" s="56">
        <v>0.35202430068879625</v>
      </c>
      <c r="AM29" s="56">
        <v>0.33852052212503292</v>
      </c>
      <c r="AN29" s="56">
        <v>0.31891751191500156</v>
      </c>
      <c r="AO29" s="56">
        <v>0.30241803587665012</v>
      </c>
      <c r="AP29" s="56">
        <v>0.28664868669115312</v>
      </c>
      <c r="AQ29" s="56">
        <v>0.27162281033109364</v>
      </c>
      <c r="AR29" s="56">
        <v>0.25785722402432326</v>
      </c>
      <c r="AS29" s="56">
        <v>0.24261081129507367</v>
      </c>
      <c r="AT29" s="56">
        <v>0.23302038042631035</v>
      </c>
      <c r="AU29" s="56">
        <v>0.21975360856748136</v>
      </c>
      <c r="AV29" s="56">
        <v>0.20944621825951898</v>
      </c>
      <c r="AW29" s="56">
        <v>0.20113169858287067</v>
      </c>
      <c r="AX29" s="56">
        <v>0.19026507937082426</v>
      </c>
      <c r="AY29" s="56">
        <v>0.18442971417915777</v>
      </c>
      <c r="AZ29" s="56">
        <v>0.1748872226571801</v>
      </c>
      <c r="BA29" s="56">
        <v>0.17036461784475498</v>
      </c>
      <c r="BB29" s="56">
        <v>0.16376531806951347</v>
      </c>
    </row>
    <row r="30" spans="1:56" x14ac:dyDescent="0.25">
      <c r="A30" s="19">
        <v>2047</v>
      </c>
      <c r="B30" s="20">
        <f ca="1">OFFSET(Afforestation!$B$2,0,ROW()-ROW($B$5))</f>
        <v>27300</v>
      </c>
      <c r="C30" s="2">
        <f t="shared" ca="1" si="0"/>
        <v>16.161700778430387</v>
      </c>
      <c r="D30" s="2">
        <f t="shared" ca="1" si="1"/>
        <v>7.2869599039431625</v>
      </c>
      <c r="E30" s="13">
        <f>Model!$B$7</f>
        <v>0</v>
      </c>
      <c r="F30" s="2">
        <f t="shared" ca="1" si="2"/>
        <v>0</v>
      </c>
      <c r="G30" s="2">
        <f t="shared" ca="1" si="7"/>
        <v>16.161700778430387</v>
      </c>
      <c r="H30" s="2">
        <f t="shared" ca="1" si="8"/>
        <v>-4.9709897423927671</v>
      </c>
      <c r="I30" s="2">
        <f t="shared" ca="1" si="3"/>
        <v>11.190711036037619</v>
      </c>
      <c r="J30" s="2">
        <f t="shared" ca="1" si="4"/>
        <v>18.477670939980783</v>
      </c>
      <c r="K30" s="20">
        <f t="shared" ca="1" si="11"/>
        <v>155772.70627797992</v>
      </c>
      <c r="L30" s="20">
        <f t="shared" ca="1" si="10"/>
        <v>2315.9701615503873</v>
      </c>
      <c r="M30" s="20">
        <f t="shared" ca="1" si="5"/>
        <v>2315.9701615503955</v>
      </c>
      <c r="N30" s="20">
        <f t="shared" ca="1" si="6"/>
        <v>0</v>
      </c>
      <c r="P30" s="55" t="s">
        <v>343</v>
      </c>
      <c r="Q30" s="55" t="s">
        <v>377</v>
      </c>
      <c r="R30" s="55" t="s">
        <v>378</v>
      </c>
      <c r="S30" s="55" t="s">
        <v>389</v>
      </c>
      <c r="T30" s="55" t="s">
        <v>390</v>
      </c>
      <c r="U30" s="55" t="s">
        <v>386</v>
      </c>
      <c r="V30" s="56">
        <v>-5.7037780347046145E-2</v>
      </c>
      <c r="W30" s="56">
        <v>-3.6100225270477043E-2</v>
      </c>
      <c r="X30" s="56">
        <v>-6.466304008473496E-2</v>
      </c>
      <c r="Y30" s="56">
        <v>-0.13093821189927213</v>
      </c>
      <c r="Z30" s="56">
        <v>-0.18135485174860649</v>
      </c>
      <c r="AA30" s="56">
        <v>-0.18259400675527632</v>
      </c>
      <c r="AB30" s="56">
        <v>-0.23529843328416972</v>
      </c>
      <c r="AC30" s="56">
        <v>-0.15823440805490824</v>
      </c>
      <c r="AD30" s="56">
        <v>-0.12466458594488324</v>
      </c>
      <c r="AE30" s="56">
        <v>-9.8016661412439823E-2</v>
      </c>
      <c r="AF30" s="56">
        <v>-0.11202008735565439</v>
      </c>
      <c r="AG30" s="56">
        <v>-0.10963237949523144</v>
      </c>
      <c r="AH30" s="56">
        <v>-8.0288120456138964E-2</v>
      </c>
      <c r="AI30" s="56">
        <v>-6.1058256366014009E-2</v>
      </c>
      <c r="AJ30" s="56">
        <v>-4.5907340848058101E-2</v>
      </c>
      <c r="AK30" s="56">
        <v>-2.5289041454411069E-2</v>
      </c>
      <c r="AL30" s="56">
        <v>-2.7393315576437458E-2</v>
      </c>
      <c r="AM30" s="56">
        <v>-2.41466770714171E-2</v>
      </c>
      <c r="AN30" s="56">
        <v>-3.4310655889035341E-2</v>
      </c>
      <c r="AO30" s="56">
        <v>-3.4909558538418331E-2</v>
      </c>
      <c r="AP30" s="56">
        <v>-4.7572551814656243E-2</v>
      </c>
      <c r="AQ30" s="56">
        <v>-9.8632448488369578E-2</v>
      </c>
      <c r="AR30" s="56">
        <v>-0.13579454441443581</v>
      </c>
      <c r="AS30" s="56">
        <v>-4.7782193880755157E-2</v>
      </c>
      <c r="AT30" s="56">
        <v>-4.1347503039915051E-2</v>
      </c>
      <c r="AU30" s="56">
        <v>-3.8981235278728606E-2</v>
      </c>
      <c r="AV30" s="56">
        <v>-3.0837763026590255E-2</v>
      </c>
      <c r="AW30" s="56">
        <v>-3.6217641605958098E-2</v>
      </c>
      <c r="AX30" s="56">
        <v>-4.1705464591334743E-2</v>
      </c>
      <c r="AY30" s="56">
        <v>-8.2790863179708116E-2</v>
      </c>
      <c r="AZ30" s="56">
        <v>-9.5805281477026827E-2</v>
      </c>
      <c r="BA30" s="56">
        <v>-0.13408309143379765</v>
      </c>
      <c r="BB30" s="56">
        <v>-0.13916091156891325</v>
      </c>
    </row>
    <row r="31" spans="1:56" x14ac:dyDescent="0.25">
      <c r="A31" s="19">
        <v>2048</v>
      </c>
      <c r="B31" s="20">
        <f ca="1">OFFSET(Afforestation!$B$2,0,ROW()-ROW($B$5))</f>
        <v>27300</v>
      </c>
      <c r="C31" s="2">
        <f t="shared" ca="1" si="0"/>
        <v>16.294325733612549</v>
      </c>
      <c r="D31" s="2">
        <f t="shared" ca="1" si="1"/>
        <v>6.9990266782100807</v>
      </c>
      <c r="E31" s="13">
        <f>Model!$B$7</f>
        <v>0</v>
      </c>
      <c r="F31" s="2">
        <f t="shared" ca="1" si="2"/>
        <v>0</v>
      </c>
      <c r="G31" s="2">
        <f t="shared" ca="1" si="7"/>
        <v>16.294325733612549</v>
      </c>
      <c r="H31" s="2">
        <f t="shared" ca="1" si="8"/>
        <v>-5.1414508701987014</v>
      </c>
      <c r="I31" s="2">
        <f t="shared" ca="1" si="3"/>
        <v>11.152874863413848</v>
      </c>
      <c r="J31" s="2">
        <f t="shared" ca="1" si="4"/>
        <v>18.151901541623928</v>
      </c>
      <c r="K31" s="20">
        <f t="shared" ca="1" si="11"/>
        <v>157630.28208599129</v>
      </c>
      <c r="L31" s="20">
        <f t="shared" ca="1" si="10"/>
        <v>1857.5758080113737</v>
      </c>
      <c r="M31" s="20">
        <f t="shared" ca="1" si="5"/>
        <v>1857.5758080113794</v>
      </c>
      <c r="N31" s="20">
        <f t="shared" ca="1" si="6"/>
        <v>0</v>
      </c>
      <c r="P31" s="55" t="s">
        <v>343</v>
      </c>
      <c r="Q31" s="55" t="s">
        <v>377</v>
      </c>
      <c r="R31" s="55" t="s">
        <v>391</v>
      </c>
      <c r="S31" s="55" t="s">
        <v>392</v>
      </c>
      <c r="T31" s="55" t="s">
        <v>393</v>
      </c>
      <c r="U31" s="55" t="s">
        <v>381</v>
      </c>
      <c r="V31" s="56">
        <v>0.20672659487536815</v>
      </c>
      <c r="W31" s="56">
        <v>0.23889708533646634</v>
      </c>
      <c r="X31" s="56">
        <v>0.19755121287837851</v>
      </c>
      <c r="Y31" s="56">
        <v>0.19241581139136954</v>
      </c>
      <c r="Z31" s="56">
        <v>0.18552460550673375</v>
      </c>
      <c r="AA31" s="56">
        <v>0.18052877871485656</v>
      </c>
      <c r="AB31" s="56">
        <v>0.17392840937741746</v>
      </c>
      <c r="AC31" s="56">
        <v>0.16379489596110039</v>
      </c>
      <c r="AD31" s="56">
        <v>0.15852980190009794</v>
      </c>
      <c r="AE31" s="56">
        <v>0.15181447438882043</v>
      </c>
      <c r="AF31" s="56">
        <v>0.14678807689519563</v>
      </c>
      <c r="AG31" s="56">
        <v>0.14039805715663833</v>
      </c>
      <c r="AH31" s="56">
        <v>0.13425252010589228</v>
      </c>
      <c r="AI31" s="56">
        <v>0.12893835800406606</v>
      </c>
      <c r="AJ31" s="56">
        <v>0.12421561301779596</v>
      </c>
      <c r="AK31" s="56">
        <v>0.11963057456575482</v>
      </c>
      <c r="AL31" s="56">
        <v>0.11393711992951806</v>
      </c>
      <c r="AM31" s="56">
        <v>0.11189271385959002</v>
      </c>
      <c r="AN31" s="56">
        <v>0.10682979220094882</v>
      </c>
      <c r="AO31" s="56">
        <v>0.10314294293827243</v>
      </c>
      <c r="AP31" s="56">
        <v>0.10106935758546741</v>
      </c>
      <c r="AQ31" s="56">
        <v>9.7568220778027598E-2</v>
      </c>
      <c r="AR31" s="56">
        <v>9.6602616252886686E-2</v>
      </c>
      <c r="AS31" s="56">
        <v>9.2598493528808168E-2</v>
      </c>
      <c r="AT31" s="56">
        <v>9.2170395935803978E-2</v>
      </c>
      <c r="AU31" s="56">
        <v>9.1374423624493967E-2</v>
      </c>
      <c r="AV31" s="56">
        <v>8.9129804871472762E-2</v>
      </c>
      <c r="AW31" s="56">
        <v>8.9013543118902388E-2</v>
      </c>
      <c r="AX31" s="56">
        <v>8.818393275882723E-2</v>
      </c>
      <c r="AY31" s="56">
        <v>8.7738340464396325E-2</v>
      </c>
      <c r="AZ31" s="56">
        <v>8.8284348033121907E-2</v>
      </c>
      <c r="BA31" s="56">
        <v>8.7393791487132749E-2</v>
      </c>
      <c r="BB31" s="56">
        <v>8.7320255066835342E-2</v>
      </c>
    </row>
    <row r="32" spans="1:56" x14ac:dyDescent="0.25">
      <c r="A32" s="19">
        <v>2049</v>
      </c>
      <c r="B32" s="20">
        <f ca="1">OFFSET(Afforestation!$B$2,0,ROW()-ROW($B$5))</f>
        <v>27300</v>
      </c>
      <c r="C32" s="2">
        <f t="shared" ca="1" si="0"/>
        <v>16.437615463454009</v>
      </c>
      <c r="D32" s="2">
        <f t="shared" ca="1" si="1"/>
        <v>6.6034741983414609</v>
      </c>
      <c r="E32" s="13">
        <f>Model!$B$7</f>
        <v>0</v>
      </c>
      <c r="F32" s="2">
        <f t="shared" ca="1" si="2"/>
        <v>0</v>
      </c>
      <c r="G32" s="2">
        <f t="shared" ca="1" si="7"/>
        <v>16.437615463454009</v>
      </c>
      <c r="H32" s="2">
        <f t="shared" ca="1" si="8"/>
        <v>-6.4683893885893999</v>
      </c>
      <c r="I32" s="2">
        <f t="shared" ca="1" si="3"/>
        <v>9.9692260748646078</v>
      </c>
      <c r="J32" s="2">
        <f t="shared" ca="1" si="4"/>
        <v>16.572700273206067</v>
      </c>
      <c r="K32" s="20">
        <f t="shared" ca="1" si="11"/>
        <v>157765.36689574335</v>
      </c>
      <c r="L32" s="20">
        <f t="shared" ca="1" si="10"/>
        <v>135.08480975206476</v>
      </c>
      <c r="M32" s="20">
        <f t="shared" ca="1" si="5"/>
        <v>135.08480975206095</v>
      </c>
      <c r="N32" s="20">
        <f t="shared" ca="1" si="6"/>
        <v>0</v>
      </c>
      <c r="P32" s="57" t="s">
        <v>180</v>
      </c>
      <c r="Q32" s="57" t="s">
        <v>377</v>
      </c>
      <c r="R32" s="57" t="s">
        <v>378</v>
      </c>
      <c r="S32" s="57" t="s">
        <v>379</v>
      </c>
      <c r="T32" s="57"/>
      <c r="U32" s="57" t="s">
        <v>381</v>
      </c>
      <c r="V32" s="58">
        <v>2.8504986194775555</v>
      </c>
      <c r="W32" s="58">
        <v>2.8649916659672883</v>
      </c>
      <c r="X32" s="58">
        <v>2.864147021333328</v>
      </c>
      <c r="Y32" s="58">
        <v>2.8651798261509125</v>
      </c>
      <c r="Z32" s="58">
        <v>2.8851326363332239</v>
      </c>
      <c r="AA32" s="58">
        <v>2.9265526058708597</v>
      </c>
      <c r="AB32" s="58">
        <v>2.9767692120690583</v>
      </c>
      <c r="AC32" s="58">
        <v>3.0117024591509769</v>
      </c>
      <c r="AD32" s="58">
        <v>3.0211761908604391</v>
      </c>
      <c r="AE32" s="58">
        <v>3.0027297060094962</v>
      </c>
      <c r="AF32" s="58">
        <v>2.9635974140066281</v>
      </c>
      <c r="AG32" s="58">
        <v>2.9125309059110704</v>
      </c>
      <c r="AH32" s="58">
        <v>2.8682906079830439</v>
      </c>
      <c r="AI32" s="58">
        <v>2.831292384393818</v>
      </c>
      <c r="AJ32" s="58">
        <v>2.8035874988364209</v>
      </c>
      <c r="AK32" s="58">
        <v>2.7769267358954113</v>
      </c>
      <c r="AL32" s="58">
        <v>2.7518465215163452</v>
      </c>
      <c r="AM32" s="58">
        <v>2.7218278596227785</v>
      </c>
      <c r="AN32" s="58">
        <v>2.6871503214742565</v>
      </c>
      <c r="AO32" s="58">
        <v>2.6503275839266309</v>
      </c>
      <c r="AP32" s="58">
        <v>2.6098395422885803</v>
      </c>
      <c r="AQ32" s="58">
        <v>2.5686939042188524</v>
      </c>
      <c r="AR32" s="58">
        <v>2.5273255861518913</v>
      </c>
      <c r="AS32" s="58">
        <v>2.4868118289461574</v>
      </c>
      <c r="AT32" s="58">
        <v>2.4469764271047687</v>
      </c>
      <c r="AU32" s="58">
        <v>2.4084479551030706</v>
      </c>
      <c r="AV32" s="58">
        <v>2.3727087222404797</v>
      </c>
      <c r="AW32" s="58">
        <v>2.3383105847800461</v>
      </c>
      <c r="AX32" s="58">
        <v>2.3123668042305248</v>
      </c>
      <c r="AY32" s="58">
        <v>2.288135080855437</v>
      </c>
      <c r="AZ32" s="58">
        <v>2.2682145408073557</v>
      </c>
      <c r="BA32" s="58">
        <v>2.2495659548065796</v>
      </c>
      <c r="BB32" s="58">
        <v>2.2331066153043309</v>
      </c>
    </row>
    <row r="33" spans="1:54" x14ac:dyDescent="0.25">
      <c r="A33" s="19">
        <v>2050</v>
      </c>
      <c r="B33" s="20">
        <f ca="1">OFFSET(Afforestation!$B$2,0,ROW()-ROW($B$5))</f>
        <v>27300</v>
      </c>
      <c r="C33" s="2">
        <f t="shared" ca="1" si="0"/>
        <v>16.584731147867849</v>
      </c>
      <c r="D33" s="2">
        <f t="shared" ca="1" si="1"/>
        <v>6.3557423602063654</v>
      </c>
      <c r="E33" s="13">
        <f>Model!$B$7</f>
        <v>0</v>
      </c>
      <c r="F33" s="2">
        <f t="shared" ca="1" si="2"/>
        <v>0</v>
      </c>
      <c r="G33" s="2">
        <f t="shared" ca="1" si="7"/>
        <v>16.584731147867849</v>
      </c>
      <c r="H33" s="2">
        <f t="shared" ca="1" si="8"/>
        <v>-6.939546455164785</v>
      </c>
      <c r="I33" s="2">
        <f t="shared" ca="1" si="3"/>
        <v>9.6451846927030651</v>
      </c>
      <c r="J33" s="2">
        <f t="shared" ca="1" si="4"/>
        <v>16.000927052909429</v>
      </c>
      <c r="K33" s="20">
        <f ca="1">K32+(D33-F33+H33)*1000</f>
        <v>157181.56280078494</v>
      </c>
      <c r="L33" s="20">
        <f t="shared" ca="1" si="10"/>
        <v>-583.80409495841013</v>
      </c>
      <c r="M33" s="20">
        <f t="shared" ca="1" si="5"/>
        <v>0</v>
      </c>
      <c r="N33" s="20">
        <f t="shared" ca="1" si="6"/>
        <v>-583.80409495841957</v>
      </c>
      <c r="P33" s="57" t="s">
        <v>180</v>
      </c>
      <c r="Q33" s="57" t="s">
        <v>377</v>
      </c>
      <c r="R33" s="57" t="s">
        <v>378</v>
      </c>
      <c r="S33" s="57" t="s">
        <v>382</v>
      </c>
      <c r="T33" s="57"/>
      <c r="U33" s="57" t="s">
        <v>381</v>
      </c>
      <c r="V33" s="58">
        <v>8.4220683673059984</v>
      </c>
      <c r="W33" s="58">
        <v>8.3109429715469556</v>
      </c>
      <c r="X33" s="58">
        <v>7.9963015393850583</v>
      </c>
      <c r="Y33" s="58">
        <v>7.5585566855436257</v>
      </c>
      <c r="Z33" s="58">
        <v>6.8991949995693211</v>
      </c>
      <c r="AA33" s="58">
        <v>6.2522055070772984</v>
      </c>
      <c r="AB33" s="58">
        <v>5.5317668061692098</v>
      </c>
      <c r="AC33" s="58">
        <v>5.1964550120394488</v>
      </c>
      <c r="AD33" s="58">
        <v>4.9690682249806786</v>
      </c>
      <c r="AE33" s="58">
        <v>4.8065288125560421</v>
      </c>
      <c r="AF33" s="58">
        <v>4.6760415211923991</v>
      </c>
      <c r="AG33" s="58">
        <v>4.5850640377802705</v>
      </c>
      <c r="AH33" s="58">
        <v>4.7662829849720358</v>
      </c>
      <c r="AI33" s="58">
        <v>5.0673769836627649</v>
      </c>
      <c r="AJ33" s="58">
        <v>5.5732071972629829</v>
      </c>
      <c r="AK33" s="58">
        <v>6.153758348940201</v>
      </c>
      <c r="AL33" s="58">
        <v>6.8793023814401266</v>
      </c>
      <c r="AM33" s="58">
        <v>7.3134707551292921</v>
      </c>
      <c r="AN33" s="58">
        <v>7.6554463640580712</v>
      </c>
      <c r="AO33" s="58">
        <v>7.9033857131870198</v>
      </c>
      <c r="AP33" s="58">
        <v>8.1041522949765543</v>
      </c>
      <c r="AQ33" s="58">
        <v>8.0825196790513907</v>
      </c>
      <c r="AR33" s="58">
        <v>7.8346159763625565</v>
      </c>
      <c r="AS33" s="58">
        <v>7.7874285804629082</v>
      </c>
      <c r="AT33" s="58">
        <v>7.7084833631410028</v>
      </c>
      <c r="AU33" s="58">
        <v>7.6104418614154516</v>
      </c>
      <c r="AV33" s="58">
        <v>7.5715408472250481</v>
      </c>
      <c r="AW33" s="58">
        <v>7.5560131157239256</v>
      </c>
      <c r="AX33" s="58">
        <v>7.5610976185075636</v>
      </c>
      <c r="AY33" s="58">
        <v>7.2869599039431625</v>
      </c>
      <c r="AZ33" s="58">
        <v>6.9990266782100807</v>
      </c>
      <c r="BA33" s="58">
        <v>6.6034741983414609</v>
      </c>
      <c r="BB33" s="58">
        <v>6.3557423602063654</v>
      </c>
    </row>
    <row r="34" spans="1:54" x14ac:dyDescent="0.25">
      <c r="P34" s="57" t="s">
        <v>180</v>
      </c>
      <c r="Q34" s="57" t="s">
        <v>377</v>
      </c>
      <c r="R34" s="57" t="s">
        <v>378</v>
      </c>
      <c r="S34" s="57" t="s">
        <v>384</v>
      </c>
      <c r="T34" s="57"/>
      <c r="U34" s="57" t="s">
        <v>386</v>
      </c>
      <c r="V34" s="58">
        <v>-0.62323209037416771</v>
      </c>
      <c r="W34" s="58">
        <v>-1.0986200726298805</v>
      </c>
      <c r="X34" s="58">
        <v>-2.264416992551963</v>
      </c>
      <c r="Y34" s="58">
        <v>-3.4280706602912034</v>
      </c>
      <c r="Z34" s="58">
        <v>-6.9348231812418666</v>
      </c>
      <c r="AA34" s="58">
        <v>-8.4841803865887222</v>
      </c>
      <c r="AB34" s="58">
        <v>-11.162739071814798</v>
      </c>
      <c r="AC34" s="58">
        <v>-7.2052771097290194</v>
      </c>
      <c r="AD34" s="58">
        <v>-5.6234563090434726</v>
      </c>
      <c r="AE34" s="58">
        <v>-4.3068753169076288</v>
      </c>
      <c r="AF34" s="58">
        <v>-5.0907092337693278</v>
      </c>
      <c r="AG34" s="58">
        <v>-5.0573555650246611</v>
      </c>
      <c r="AH34" s="58">
        <v>-3.5497604800320306</v>
      </c>
      <c r="AI34" s="58">
        <v>-2.4916397263077261</v>
      </c>
      <c r="AJ34" s="58">
        <v>-1.7267523405113083</v>
      </c>
      <c r="AK34" s="58">
        <v>-0.67509207643333091</v>
      </c>
      <c r="AL34" s="58">
        <v>-0.91103835089527441</v>
      </c>
      <c r="AM34" s="58">
        <v>-0.75012406273475374</v>
      </c>
      <c r="AN34" s="58">
        <v>-1.3670294470833129</v>
      </c>
      <c r="AO34" s="58">
        <v>-1.3923438762147256</v>
      </c>
      <c r="AP34" s="58">
        <v>-2.3733841248424454</v>
      </c>
      <c r="AQ34" s="58">
        <v>-5.946210530423353</v>
      </c>
      <c r="AR34" s="58">
        <v>-8.317245418117345</v>
      </c>
      <c r="AS34" s="58">
        <v>-4.4906002414153399</v>
      </c>
      <c r="AT34" s="58">
        <v>-4.6262953911331328</v>
      </c>
      <c r="AU34" s="58">
        <v>-3.6441200537988672</v>
      </c>
      <c r="AV34" s="58">
        <v>-2.5426441220864398</v>
      </c>
      <c r="AW34" s="58">
        <v>-2.0003292673605197</v>
      </c>
      <c r="AX34" s="58">
        <v>-2.6391051450242826</v>
      </c>
      <c r="AY34" s="58">
        <v>-4.8944907696400186</v>
      </c>
      <c r="AZ34" s="58">
        <v>-5.0531918809122311</v>
      </c>
      <c r="BA34" s="58">
        <v>-6.3455420168118719</v>
      </c>
      <c r="BB34" s="58">
        <v>-6.8121106916988996</v>
      </c>
    </row>
    <row r="35" spans="1:54" x14ac:dyDescent="0.25">
      <c r="P35" s="57" t="s">
        <v>180</v>
      </c>
      <c r="Q35" s="57" t="s">
        <v>377</v>
      </c>
      <c r="R35" s="57" t="s">
        <v>387</v>
      </c>
      <c r="S35" s="57" t="s">
        <v>379</v>
      </c>
      <c r="T35" s="57"/>
      <c r="U35" s="57" t="s">
        <v>381</v>
      </c>
      <c r="V35" s="58">
        <v>0.47898569712953609</v>
      </c>
      <c r="W35" s="58">
        <v>0.48301782703722457</v>
      </c>
      <c r="X35" s="58">
        <v>0.48446957380791966</v>
      </c>
      <c r="Y35" s="58">
        <v>0.48446871707076222</v>
      </c>
      <c r="Z35" s="58">
        <v>0.48276102805894744</v>
      </c>
      <c r="AA35" s="58">
        <v>0.47917345838420422</v>
      </c>
      <c r="AB35" s="58">
        <v>0.47588770544550302</v>
      </c>
      <c r="AC35" s="58">
        <v>0.46856573469288354</v>
      </c>
      <c r="AD35" s="58">
        <v>0.46097679476543596</v>
      </c>
      <c r="AE35" s="58">
        <v>0.44966411206337353</v>
      </c>
      <c r="AF35" s="58">
        <v>0.44185002874443313</v>
      </c>
      <c r="AG35" s="58">
        <v>0.42753340090481534</v>
      </c>
      <c r="AH35" s="58">
        <v>0.41510689158723174</v>
      </c>
      <c r="AI35" s="58">
        <v>0.40263781777426655</v>
      </c>
      <c r="AJ35" s="58">
        <v>0.38686177509059738</v>
      </c>
      <c r="AK35" s="58">
        <v>0.37067991777705284</v>
      </c>
      <c r="AL35" s="58">
        <v>0.35202430068879625</v>
      </c>
      <c r="AM35" s="58">
        <v>0.33852052212503292</v>
      </c>
      <c r="AN35" s="58">
        <v>0.31891751191500156</v>
      </c>
      <c r="AO35" s="58">
        <v>0.30241803587665012</v>
      </c>
      <c r="AP35" s="58">
        <v>0.28664868669115312</v>
      </c>
      <c r="AQ35" s="58">
        <v>0.27162281033109364</v>
      </c>
      <c r="AR35" s="58">
        <v>0.25785722402432326</v>
      </c>
      <c r="AS35" s="58">
        <v>0.24261081129507367</v>
      </c>
      <c r="AT35" s="58">
        <v>0.23302038042631035</v>
      </c>
      <c r="AU35" s="58">
        <v>0.21975360856748136</v>
      </c>
      <c r="AV35" s="58">
        <v>0.20944621825951898</v>
      </c>
      <c r="AW35" s="58">
        <v>0.20113169858287067</v>
      </c>
      <c r="AX35" s="58">
        <v>0.19026507937082426</v>
      </c>
      <c r="AY35" s="58">
        <v>0.18442971417915777</v>
      </c>
      <c r="AZ35" s="58">
        <v>0.1748872226571801</v>
      </c>
      <c r="BA35" s="58">
        <v>0.17036461784475498</v>
      </c>
      <c r="BB35" s="58">
        <v>0.16376531806951347</v>
      </c>
    </row>
    <row r="36" spans="1:54" x14ac:dyDescent="0.25">
      <c r="P36" s="57" t="s">
        <v>180</v>
      </c>
      <c r="Q36" s="57" t="s">
        <v>377</v>
      </c>
      <c r="R36" s="57" t="s">
        <v>378</v>
      </c>
      <c r="S36" s="57" t="s">
        <v>389</v>
      </c>
      <c r="T36" s="57"/>
      <c r="U36" s="57" t="s">
        <v>386</v>
      </c>
      <c r="V36" s="58">
        <v>-5.5962042482270616E-2</v>
      </c>
      <c r="W36" s="58">
        <v>-3.4222420425129851E-2</v>
      </c>
      <c r="X36" s="58">
        <v>-6.0456674775362915E-2</v>
      </c>
      <c r="Y36" s="58">
        <v>-0.12457327581259528</v>
      </c>
      <c r="Z36" s="58">
        <v>-0.16833125158006612</v>
      </c>
      <c r="AA36" s="58">
        <v>-0.16668253622464729</v>
      </c>
      <c r="AB36" s="58">
        <v>-0.21430701802786423</v>
      </c>
      <c r="AC36" s="58">
        <v>-0.14467085065202556</v>
      </c>
      <c r="AD36" s="58">
        <v>-0.11433667404658122</v>
      </c>
      <c r="AE36" s="58">
        <v>-9.0257224167867328E-2</v>
      </c>
      <c r="AF36" s="58">
        <v>-0.10291092230932627</v>
      </c>
      <c r="AG36" s="58">
        <v>-0.10075335496557057</v>
      </c>
      <c r="AH36" s="58">
        <v>-7.423745824349906E-2</v>
      </c>
      <c r="AI36" s="58">
        <v>-5.6861075029530736E-2</v>
      </c>
      <c r="AJ36" s="58">
        <v>-4.3170488718124789E-2</v>
      </c>
      <c r="AK36" s="58">
        <v>-2.4539495290130484E-2</v>
      </c>
      <c r="AL36" s="58">
        <v>-2.6440947810033848E-2</v>
      </c>
      <c r="AM36" s="58">
        <v>-2.3507238317545569E-2</v>
      </c>
      <c r="AN36" s="58">
        <v>-3.2691556526236752E-2</v>
      </c>
      <c r="AO36" s="58">
        <v>-3.3232733619052712E-2</v>
      </c>
      <c r="AP36" s="58">
        <v>-4.4675197422882153E-2</v>
      </c>
      <c r="AQ36" s="58">
        <v>-9.081365827262311E-2</v>
      </c>
      <c r="AR36" s="58">
        <v>-0.12439386543473117</v>
      </c>
      <c r="AS36" s="58">
        <v>-4.4864633024778763E-2</v>
      </c>
      <c r="AT36" s="58">
        <v>-3.9050153349320833E-2</v>
      </c>
      <c r="AU36" s="58">
        <v>-3.6911959589212603E-2</v>
      </c>
      <c r="AV36" s="58">
        <v>-2.9553400325232161E-2</v>
      </c>
      <c r="AW36" s="58">
        <v>-3.4414736390925987E-2</v>
      </c>
      <c r="AX36" s="58">
        <v>-3.9373612582531393E-2</v>
      </c>
      <c r="AY36" s="58">
        <v>-7.6498972752748293E-2</v>
      </c>
      <c r="AZ36" s="58">
        <v>-8.8258989286470024E-2</v>
      </c>
      <c r="BA36" s="58">
        <v>-0.12284737177752801</v>
      </c>
      <c r="BB36" s="58">
        <v>-0.12743576346588548</v>
      </c>
    </row>
    <row r="37" spans="1:54" x14ac:dyDescent="0.25">
      <c r="P37" s="57" t="s">
        <v>180</v>
      </c>
      <c r="Q37" s="57" t="s">
        <v>377</v>
      </c>
      <c r="R37" s="57" t="s">
        <v>391</v>
      </c>
      <c r="S37" s="57" t="s">
        <v>392</v>
      </c>
      <c r="T37" s="57"/>
      <c r="U37" s="57" t="s">
        <v>381</v>
      </c>
      <c r="V37" s="58">
        <v>0.20672659487536815</v>
      </c>
      <c r="W37" s="58">
        <v>0.23889708533646634</v>
      </c>
      <c r="X37" s="58">
        <v>0.19755121287837851</v>
      </c>
      <c r="Y37" s="58">
        <v>0.19241581139136954</v>
      </c>
      <c r="Z37" s="58">
        <v>0.18552460550673375</v>
      </c>
      <c r="AA37" s="58">
        <v>0.18052877871485656</v>
      </c>
      <c r="AB37" s="58">
        <v>0.17392840937741746</v>
      </c>
      <c r="AC37" s="58">
        <v>0.16379489596110039</v>
      </c>
      <c r="AD37" s="58">
        <v>0.15852980190009794</v>
      </c>
      <c r="AE37" s="58">
        <v>0.15181447438882043</v>
      </c>
      <c r="AF37" s="58">
        <v>0.14678807689519563</v>
      </c>
      <c r="AG37" s="58">
        <v>0.14039805715663833</v>
      </c>
      <c r="AH37" s="58">
        <v>0.13425252010589228</v>
      </c>
      <c r="AI37" s="58">
        <v>0.12893835800406606</v>
      </c>
      <c r="AJ37" s="58">
        <v>0.12421561301779596</v>
      </c>
      <c r="AK37" s="58">
        <v>0.11963057456575482</v>
      </c>
      <c r="AL37" s="58">
        <v>0.11393711992951806</v>
      </c>
      <c r="AM37" s="58">
        <v>0.11189271385959002</v>
      </c>
      <c r="AN37" s="58">
        <v>0.10682979220094882</v>
      </c>
      <c r="AO37" s="58">
        <v>0.10314294293827243</v>
      </c>
      <c r="AP37" s="58">
        <v>0.10106935758546741</v>
      </c>
      <c r="AQ37" s="58">
        <v>9.7568220778027598E-2</v>
      </c>
      <c r="AR37" s="58">
        <v>9.6602616252886686E-2</v>
      </c>
      <c r="AS37" s="58">
        <v>9.2598493528808168E-2</v>
      </c>
      <c r="AT37" s="58">
        <v>9.2170395935803978E-2</v>
      </c>
      <c r="AU37" s="58">
        <v>9.1374423624493967E-2</v>
      </c>
      <c r="AV37" s="58">
        <v>8.9129804871472762E-2</v>
      </c>
      <c r="AW37" s="58">
        <v>8.9013543118902388E-2</v>
      </c>
      <c r="AX37" s="58">
        <v>8.818393275882723E-2</v>
      </c>
      <c r="AY37" s="58">
        <v>8.7738340464396325E-2</v>
      </c>
      <c r="AZ37" s="58">
        <v>8.8284348033121907E-2</v>
      </c>
      <c r="BA37" s="58">
        <v>8.7393791487132749E-2</v>
      </c>
      <c r="BB37" s="58">
        <v>8.7320255066835342E-2</v>
      </c>
    </row>
    <row r="38" spans="1:54" x14ac:dyDescent="0.25">
      <c r="P38" s="51" t="s">
        <v>344</v>
      </c>
      <c r="Q38" s="51" t="s">
        <v>377</v>
      </c>
      <c r="R38" s="51" t="s">
        <v>378</v>
      </c>
      <c r="S38" s="51" t="s">
        <v>379</v>
      </c>
      <c r="T38" s="51" t="s">
        <v>380</v>
      </c>
      <c r="U38" s="51" t="s">
        <v>381</v>
      </c>
      <c r="V38" s="23">
        <f t="shared" ref="V38:X39" si="18">V20</f>
        <v>2.8504986194775599</v>
      </c>
      <c r="W38" s="23">
        <f t="shared" si="18"/>
        <v>2.8649916659672883</v>
      </c>
      <c r="X38" s="23">
        <f t="shared" si="18"/>
        <v>2.864147021333328</v>
      </c>
      <c r="Y38" s="23">
        <f t="shared" ref="X38:BB43" si="19">Y20</f>
        <v>2.8651798261509125</v>
      </c>
      <c r="Z38" s="23">
        <f t="shared" si="19"/>
        <v>2.8851326363332239</v>
      </c>
      <c r="AA38" s="23">
        <f t="shared" si="19"/>
        <v>2.9265526058708597</v>
      </c>
      <c r="AB38" s="23">
        <f>AB20</f>
        <v>2.9767692120690583</v>
      </c>
      <c r="AC38" s="23">
        <f>AC20</f>
        <v>3.0117024591509769</v>
      </c>
      <c r="AD38" s="23">
        <f t="shared" si="19"/>
        <v>3.0211761908604391</v>
      </c>
      <c r="AE38" s="23">
        <f t="shared" si="19"/>
        <v>3.0027297060094962</v>
      </c>
      <c r="AF38" s="23">
        <f t="shared" si="19"/>
        <v>2.9635974140066281</v>
      </c>
      <c r="AG38" s="23">
        <f t="shared" si="19"/>
        <v>2.9125309059110704</v>
      </c>
      <c r="AH38" s="23">
        <f t="shared" si="19"/>
        <v>2.8682906079830439</v>
      </c>
      <c r="AI38" s="23">
        <f t="shared" si="19"/>
        <v>2.831292384393818</v>
      </c>
      <c r="AJ38" s="23">
        <f t="shared" si="19"/>
        <v>2.8035874988364209</v>
      </c>
      <c r="AK38" s="23">
        <f t="shared" si="19"/>
        <v>2.7769267358954113</v>
      </c>
      <c r="AL38" s="23">
        <f t="shared" si="19"/>
        <v>2.7518465215163452</v>
      </c>
      <c r="AM38" s="23">
        <f t="shared" si="19"/>
        <v>2.7218278596227785</v>
      </c>
      <c r="AN38" s="23">
        <f t="shared" si="19"/>
        <v>2.6871503214742565</v>
      </c>
      <c r="AO38" s="23">
        <f t="shared" si="19"/>
        <v>2.6503275839266309</v>
      </c>
      <c r="AP38" s="23">
        <f t="shared" si="19"/>
        <v>2.6098395422885803</v>
      </c>
      <c r="AQ38" s="23">
        <f t="shared" si="19"/>
        <v>2.5686939042188524</v>
      </c>
      <c r="AR38" s="23">
        <f t="shared" si="19"/>
        <v>2.5273255861518913</v>
      </c>
      <c r="AS38" s="23">
        <f t="shared" si="19"/>
        <v>2.4868118289461574</v>
      </c>
      <c r="AT38" s="23">
        <f t="shared" si="19"/>
        <v>2.4469764271047687</v>
      </c>
      <c r="AU38" s="23">
        <f t="shared" si="19"/>
        <v>2.4084479551030706</v>
      </c>
      <c r="AV38" s="23">
        <f t="shared" si="19"/>
        <v>2.3727087222404797</v>
      </c>
      <c r="AW38" s="23">
        <f t="shared" si="19"/>
        <v>2.3383105847800461</v>
      </c>
      <c r="AX38" s="23">
        <f t="shared" si="19"/>
        <v>2.3123668042305248</v>
      </c>
      <c r="AY38" s="23">
        <f t="shared" si="19"/>
        <v>2.288135080855437</v>
      </c>
      <c r="AZ38" s="23">
        <f t="shared" si="19"/>
        <v>2.2682145408073557</v>
      </c>
      <c r="BA38" s="23">
        <f t="shared" si="19"/>
        <v>2.2495659548065796</v>
      </c>
      <c r="BB38" s="23">
        <f t="shared" si="19"/>
        <v>2.2331066153043309</v>
      </c>
    </row>
    <row r="39" spans="1:54" x14ac:dyDescent="0.25">
      <c r="P39" t="str">
        <f>P38</f>
        <v>Manley Model</v>
      </c>
      <c r="Q39" s="51" t="s">
        <v>377</v>
      </c>
      <c r="R39" s="51" t="s">
        <v>378</v>
      </c>
      <c r="S39" s="51" t="s">
        <v>382</v>
      </c>
      <c r="T39" s="51" t="s">
        <v>383</v>
      </c>
      <c r="U39" s="51" t="s">
        <v>381</v>
      </c>
      <c r="V39" s="23">
        <f t="shared" si="18"/>
        <v>8.4220683673060002</v>
      </c>
      <c r="W39" s="23">
        <f t="shared" si="18"/>
        <v>8.3109429715469556</v>
      </c>
      <c r="X39" s="23">
        <f t="shared" si="18"/>
        <v>7.9963015393850583</v>
      </c>
      <c r="Y39" s="23">
        <f>Y21</f>
        <v>7.5585566855436257</v>
      </c>
      <c r="Z39" s="23">
        <f t="shared" ref="Z39:AK39" si="20">Z21</f>
        <v>6.8991949995693211</v>
      </c>
      <c r="AA39" s="23">
        <f t="shared" si="20"/>
        <v>6.2522055070772984</v>
      </c>
      <c r="AB39" s="23">
        <f t="shared" si="20"/>
        <v>5.5317668061692098</v>
      </c>
      <c r="AC39" s="23">
        <f t="shared" si="20"/>
        <v>5.1964550120394488</v>
      </c>
      <c r="AD39" s="23">
        <f t="shared" si="20"/>
        <v>4.9690682249806786</v>
      </c>
      <c r="AE39" s="23">
        <f t="shared" si="20"/>
        <v>4.8065288125560421</v>
      </c>
      <c r="AF39" s="23">
        <f>AF21</f>
        <v>4.6760415211923991</v>
      </c>
      <c r="AG39" s="23">
        <f t="shared" si="20"/>
        <v>4.5850640377802705</v>
      </c>
      <c r="AH39" s="23">
        <f t="shared" si="20"/>
        <v>4.7662829849720358</v>
      </c>
      <c r="AI39" s="23">
        <f t="shared" si="20"/>
        <v>5.0673769836627649</v>
      </c>
      <c r="AJ39" s="23">
        <f t="shared" si="20"/>
        <v>5.5732071972629829</v>
      </c>
      <c r="AK39" s="23">
        <f t="shared" si="20"/>
        <v>6.153758348940201</v>
      </c>
      <c r="AL39" s="23">
        <f t="shared" si="19"/>
        <v>6.8793023814401266</v>
      </c>
      <c r="AM39" s="23">
        <f t="shared" si="19"/>
        <v>7.3134707551292921</v>
      </c>
      <c r="AN39" s="23">
        <f t="shared" si="19"/>
        <v>7.6554463640580712</v>
      </c>
      <c r="AO39" s="23">
        <f t="shared" si="19"/>
        <v>7.9033857131870198</v>
      </c>
      <c r="AP39" s="23">
        <f t="shared" si="19"/>
        <v>8.1041522949765543</v>
      </c>
      <c r="AQ39" s="23">
        <f t="shared" si="19"/>
        <v>8.0825196790513907</v>
      </c>
      <c r="AR39" s="23">
        <f t="shared" si="19"/>
        <v>7.8346159763625565</v>
      </c>
      <c r="AS39" s="23">
        <f t="shared" si="19"/>
        <v>7.7874285804629082</v>
      </c>
      <c r="AT39" s="23">
        <f t="shared" si="19"/>
        <v>7.7084833631410028</v>
      </c>
      <c r="AU39" s="23">
        <f t="shared" si="19"/>
        <v>7.6104418614154516</v>
      </c>
      <c r="AV39" s="23">
        <f t="shared" si="19"/>
        <v>7.5715408472250481</v>
      </c>
      <c r="AW39" s="23">
        <f t="shared" si="19"/>
        <v>7.5560131157239256</v>
      </c>
      <c r="AX39" s="23">
        <f t="shared" si="19"/>
        <v>7.5610976185075636</v>
      </c>
      <c r="AY39" s="23">
        <f t="shared" si="19"/>
        <v>7.2869599039431625</v>
      </c>
      <c r="AZ39" s="23">
        <f t="shared" si="19"/>
        <v>6.9990266782100807</v>
      </c>
      <c r="BA39" s="23">
        <f t="shared" si="19"/>
        <v>6.6034741983414609</v>
      </c>
      <c r="BB39" s="23">
        <f t="shared" si="19"/>
        <v>6.3557423602063654</v>
      </c>
    </row>
    <row r="40" spans="1:54" x14ac:dyDescent="0.25">
      <c r="P40" t="str">
        <f>P39</f>
        <v>Manley Model</v>
      </c>
      <c r="Q40" s="51" t="s">
        <v>377</v>
      </c>
      <c r="R40" s="51" t="s">
        <v>378</v>
      </c>
      <c r="S40" s="51" t="s">
        <v>384</v>
      </c>
      <c r="T40" s="51" t="s">
        <v>385</v>
      </c>
      <c r="U40" s="51" t="s">
        <v>386</v>
      </c>
      <c r="V40" s="23">
        <f t="shared" ref="V40:W42" si="21">V22</f>
        <v>-0.62323209037416771</v>
      </c>
      <c r="W40" s="23">
        <f t="shared" si="21"/>
        <v>-1.0986200726298805</v>
      </c>
      <c r="X40" s="23">
        <f>X22</f>
        <v>-2.264416992551963</v>
      </c>
      <c r="Y40" s="23">
        <f t="shared" si="19"/>
        <v>-3.4280706602912034</v>
      </c>
      <c r="Z40" s="23">
        <f t="shared" si="19"/>
        <v>-6.9348231812418666</v>
      </c>
      <c r="AA40" s="23">
        <f t="shared" si="19"/>
        <v>-8.4841803865887222</v>
      </c>
      <c r="AB40" s="23">
        <f t="shared" si="19"/>
        <v>-11.162739071814798</v>
      </c>
      <c r="AC40" s="23">
        <f t="shared" si="19"/>
        <v>-7.2052771097290194</v>
      </c>
      <c r="AD40" s="23">
        <f t="shared" si="19"/>
        <v>-5.6234563090434726</v>
      </c>
      <c r="AE40" s="23">
        <f t="shared" si="19"/>
        <v>-4.3068753169076288</v>
      </c>
      <c r="AF40" s="23">
        <f t="shared" si="19"/>
        <v>-5.0907092337693278</v>
      </c>
      <c r="AG40" s="23">
        <f t="shared" si="19"/>
        <v>-5.0573555650246611</v>
      </c>
      <c r="AH40" s="23">
        <f t="shared" si="19"/>
        <v>-3.5497604800320306</v>
      </c>
      <c r="AI40" s="23">
        <f t="shared" si="19"/>
        <v>-2.4916397263077261</v>
      </c>
      <c r="AJ40" s="23">
        <f t="shared" si="19"/>
        <v>-1.7267523405113083</v>
      </c>
      <c r="AK40" s="23">
        <f t="shared" si="19"/>
        <v>-0.67509207643333091</v>
      </c>
      <c r="AL40" s="23">
        <f t="shared" si="19"/>
        <v>-0.91103835089527441</v>
      </c>
      <c r="AM40" s="23">
        <f t="shared" si="19"/>
        <v>-0.75012406273475374</v>
      </c>
      <c r="AN40" s="23">
        <f t="shared" si="19"/>
        <v>-1.3670294470833129</v>
      </c>
      <c r="AO40" s="23">
        <f t="shared" si="19"/>
        <v>-1.3923438762147256</v>
      </c>
      <c r="AP40" s="23">
        <f t="shared" si="19"/>
        <v>-2.3733841248424454</v>
      </c>
      <c r="AQ40" s="23">
        <f t="shared" si="19"/>
        <v>-5.946210530423353</v>
      </c>
      <c r="AR40" s="23">
        <f t="shared" si="19"/>
        <v>-8.317245418117345</v>
      </c>
      <c r="AS40" s="23">
        <f t="shared" si="19"/>
        <v>-4.4906002414153399</v>
      </c>
      <c r="AT40" s="23">
        <f t="shared" si="19"/>
        <v>-4.6262953911331328</v>
      </c>
      <c r="AU40" s="23">
        <f t="shared" si="19"/>
        <v>-3.6441200537988672</v>
      </c>
      <c r="AV40" s="23">
        <f t="shared" si="19"/>
        <v>-2.5426441220864398</v>
      </c>
      <c r="AW40" s="23">
        <f t="shared" si="19"/>
        <v>-2.0003292673605197</v>
      </c>
      <c r="AX40" s="23">
        <f t="shared" si="19"/>
        <v>-2.6391051450242826</v>
      </c>
      <c r="AY40" s="23">
        <f t="shared" si="19"/>
        <v>-4.8944907696400186</v>
      </c>
      <c r="AZ40" s="23">
        <f t="shared" si="19"/>
        <v>-5.0531918809122311</v>
      </c>
      <c r="BA40" s="23">
        <f t="shared" si="19"/>
        <v>-6.3455420168118719</v>
      </c>
      <c r="BB40" s="23">
        <f t="shared" si="19"/>
        <v>-6.8121106916988996</v>
      </c>
    </row>
    <row r="41" spans="1:54" x14ac:dyDescent="0.25">
      <c r="P41" t="str">
        <f>P40</f>
        <v>Manley Model</v>
      </c>
      <c r="Q41" s="51" t="s">
        <v>377</v>
      </c>
      <c r="R41" s="51" t="s">
        <v>387</v>
      </c>
      <c r="S41" s="51" t="s">
        <v>379</v>
      </c>
      <c r="T41" s="51" t="s">
        <v>388</v>
      </c>
      <c r="U41" s="51" t="s">
        <v>381</v>
      </c>
      <c r="V41" s="23">
        <f>V23</f>
        <v>0.47898569712953609</v>
      </c>
      <c r="W41" s="23">
        <f>W23</f>
        <v>0.48301782703722457</v>
      </c>
      <c r="X41" s="23">
        <f>X23</f>
        <v>0.48446957380791966</v>
      </c>
      <c r="Y41" s="23">
        <f t="shared" si="19"/>
        <v>0.48446871707076222</v>
      </c>
      <c r="Z41" s="23">
        <f t="shared" si="19"/>
        <v>0.48276102805894744</v>
      </c>
      <c r="AA41" s="23">
        <f t="shared" si="19"/>
        <v>0.47917345838420422</v>
      </c>
      <c r="AB41" s="23">
        <f t="shared" si="19"/>
        <v>0.47588770544550302</v>
      </c>
      <c r="AC41" s="23">
        <f t="shared" si="19"/>
        <v>0.46856573469288354</v>
      </c>
      <c r="AD41" s="23">
        <f t="shared" si="19"/>
        <v>0.46097679476543596</v>
      </c>
      <c r="AE41" s="23">
        <f t="shared" si="19"/>
        <v>0.44966411206337353</v>
      </c>
      <c r="AF41" s="23">
        <f t="shared" si="19"/>
        <v>0.44185002874443313</v>
      </c>
      <c r="AG41" s="23">
        <f t="shared" si="19"/>
        <v>0.42753340090481534</v>
      </c>
      <c r="AH41" s="23">
        <f t="shared" si="19"/>
        <v>0.41510689158723174</v>
      </c>
      <c r="AI41" s="23">
        <f t="shared" si="19"/>
        <v>0.40263781777426655</v>
      </c>
      <c r="AJ41" s="23">
        <f t="shared" si="19"/>
        <v>0.38686177509059738</v>
      </c>
      <c r="AK41" s="23">
        <f t="shared" si="19"/>
        <v>0.37067991777705284</v>
      </c>
      <c r="AL41" s="23">
        <f t="shared" si="19"/>
        <v>0.35202430068879625</v>
      </c>
      <c r="AM41" s="23">
        <f t="shared" si="19"/>
        <v>0.33852052212503292</v>
      </c>
      <c r="AN41" s="23">
        <f t="shared" si="19"/>
        <v>0.31891751191500156</v>
      </c>
      <c r="AO41" s="23">
        <f t="shared" si="19"/>
        <v>0.30241803587665012</v>
      </c>
      <c r="AP41" s="23">
        <f t="shared" si="19"/>
        <v>0.28664868669115312</v>
      </c>
      <c r="AQ41" s="23">
        <f t="shared" si="19"/>
        <v>0.27162281033109364</v>
      </c>
      <c r="AR41" s="23">
        <f t="shared" si="19"/>
        <v>0.25785722402432326</v>
      </c>
      <c r="AS41" s="23">
        <f t="shared" si="19"/>
        <v>0.24261081129507367</v>
      </c>
      <c r="AT41" s="23">
        <f t="shared" si="19"/>
        <v>0.23302038042631035</v>
      </c>
      <c r="AU41" s="23">
        <f t="shared" si="19"/>
        <v>0.21975360856748136</v>
      </c>
      <c r="AV41" s="23">
        <f t="shared" si="19"/>
        <v>0.20944621825951898</v>
      </c>
      <c r="AW41" s="23">
        <f t="shared" si="19"/>
        <v>0.20113169858287067</v>
      </c>
      <c r="AX41" s="23">
        <f t="shared" si="19"/>
        <v>0.19026507937082426</v>
      </c>
      <c r="AY41" s="23">
        <f t="shared" si="19"/>
        <v>0.18442971417915777</v>
      </c>
      <c r="AZ41" s="23">
        <f t="shared" si="19"/>
        <v>0.1748872226571801</v>
      </c>
      <c r="BA41" s="23">
        <f t="shared" si="19"/>
        <v>0.17036461784475498</v>
      </c>
      <c r="BB41" s="23">
        <f t="shared" si="19"/>
        <v>0.16376531806951347</v>
      </c>
    </row>
    <row r="42" spans="1:54" x14ac:dyDescent="0.25">
      <c r="P42" t="str">
        <f>P41</f>
        <v>Manley Model</v>
      </c>
      <c r="Q42" s="51" t="s">
        <v>377</v>
      </c>
      <c r="R42" s="51" t="s">
        <v>378</v>
      </c>
      <c r="S42" s="51" t="s">
        <v>389</v>
      </c>
      <c r="T42" s="51" t="s">
        <v>390</v>
      </c>
      <c r="U42" s="51" t="s">
        <v>386</v>
      </c>
      <c r="V42" s="23">
        <f t="shared" si="21"/>
        <v>-5.5962042482270616E-2</v>
      </c>
      <c r="W42" s="23">
        <f t="shared" si="21"/>
        <v>-3.4222420425129851E-2</v>
      </c>
      <c r="X42" s="23">
        <f>X24</f>
        <v>-6.0456674775362915E-2</v>
      </c>
      <c r="Y42" s="23">
        <f t="shared" si="19"/>
        <v>-0.12457327581259528</v>
      </c>
      <c r="Z42" s="23">
        <f t="shared" si="19"/>
        <v>-0.16833125158006612</v>
      </c>
      <c r="AA42" s="23">
        <f t="shared" si="19"/>
        <v>-0.16668253622464729</v>
      </c>
      <c r="AB42" s="23">
        <f t="shared" si="19"/>
        <v>-0.21430701802786423</v>
      </c>
      <c r="AC42" s="23">
        <f t="shared" si="19"/>
        <v>-0.14467085065202556</v>
      </c>
      <c r="AD42" s="23">
        <f t="shared" si="19"/>
        <v>-0.11433667404658122</v>
      </c>
      <c r="AE42" s="23">
        <f t="shared" si="19"/>
        <v>-9.0257224167867328E-2</v>
      </c>
      <c r="AF42" s="23">
        <f t="shared" si="19"/>
        <v>-0.10291092230932627</v>
      </c>
      <c r="AG42" s="23">
        <f t="shared" si="19"/>
        <v>-0.10075335496557057</v>
      </c>
      <c r="AH42" s="23">
        <f t="shared" si="19"/>
        <v>-7.423745824349906E-2</v>
      </c>
      <c r="AI42" s="23">
        <f t="shared" si="19"/>
        <v>-5.6861075029530736E-2</v>
      </c>
      <c r="AJ42" s="23">
        <f t="shared" si="19"/>
        <v>-4.3170488718124789E-2</v>
      </c>
      <c r="AK42" s="23">
        <f t="shared" si="19"/>
        <v>-2.4539495290130484E-2</v>
      </c>
      <c r="AL42" s="23">
        <f t="shared" si="19"/>
        <v>-2.6440947810033848E-2</v>
      </c>
      <c r="AM42" s="23">
        <f t="shared" si="19"/>
        <v>-2.3507238317545569E-2</v>
      </c>
      <c r="AN42" s="23">
        <f t="shared" si="19"/>
        <v>-3.2691556526236752E-2</v>
      </c>
      <c r="AO42" s="23">
        <f t="shared" si="19"/>
        <v>-3.3232733619052712E-2</v>
      </c>
      <c r="AP42" s="23">
        <f t="shared" si="19"/>
        <v>-4.4675197422882153E-2</v>
      </c>
      <c r="AQ42" s="23">
        <f t="shared" si="19"/>
        <v>-9.081365827262311E-2</v>
      </c>
      <c r="AR42" s="23">
        <f t="shared" si="19"/>
        <v>-0.12439386543473117</v>
      </c>
      <c r="AS42" s="23">
        <f t="shared" si="19"/>
        <v>-4.4864633024778763E-2</v>
      </c>
      <c r="AT42" s="23">
        <f t="shared" si="19"/>
        <v>-3.9050153349320833E-2</v>
      </c>
      <c r="AU42" s="23">
        <f t="shared" si="19"/>
        <v>-3.6911959589212603E-2</v>
      </c>
      <c r="AV42" s="23">
        <f t="shared" si="19"/>
        <v>-2.9553400325232161E-2</v>
      </c>
      <c r="AW42" s="23">
        <f t="shared" si="19"/>
        <v>-3.4414736390925987E-2</v>
      </c>
      <c r="AX42" s="23">
        <f t="shared" si="19"/>
        <v>-3.9373612582531393E-2</v>
      </c>
      <c r="AY42" s="23">
        <f t="shared" si="19"/>
        <v>-7.6498972752748293E-2</v>
      </c>
      <c r="AZ42" s="23">
        <f t="shared" si="19"/>
        <v>-8.8258989286470024E-2</v>
      </c>
      <c r="BA42" s="23">
        <f t="shared" si="19"/>
        <v>-0.12284737177752801</v>
      </c>
      <c r="BB42" s="23">
        <f t="shared" si="19"/>
        <v>-0.12743576346588548</v>
      </c>
    </row>
    <row r="43" spans="1:54" x14ac:dyDescent="0.25">
      <c r="P43" t="str">
        <f>P42</f>
        <v>Manley Model</v>
      </c>
      <c r="Q43" s="51" t="s">
        <v>377</v>
      </c>
      <c r="R43" s="51" t="s">
        <v>391</v>
      </c>
      <c r="S43" s="51" t="s">
        <v>392</v>
      </c>
      <c r="T43" s="51" t="s">
        <v>393</v>
      </c>
      <c r="U43" s="51" t="s">
        <v>381</v>
      </c>
      <c r="V43" s="23">
        <f>V25</f>
        <v>0.20672659487536815</v>
      </c>
      <c r="W43" s="23">
        <f>W25</f>
        <v>0.23889708533646634</v>
      </c>
      <c r="X43" s="23">
        <f t="shared" si="19"/>
        <v>0.19755121287837851</v>
      </c>
      <c r="Y43" s="23">
        <f t="shared" si="19"/>
        <v>0.19241581139136954</v>
      </c>
      <c r="Z43" s="23">
        <f t="shared" si="19"/>
        <v>0.18552460550673375</v>
      </c>
      <c r="AA43" s="23">
        <f t="shared" si="19"/>
        <v>0.18052877871485656</v>
      </c>
      <c r="AB43" s="23">
        <f t="shared" si="19"/>
        <v>0.17392840937741746</v>
      </c>
      <c r="AC43" s="23">
        <f t="shared" si="19"/>
        <v>0.16379489596110039</v>
      </c>
      <c r="AD43" s="23">
        <f t="shared" si="19"/>
        <v>0.15852980190009794</v>
      </c>
      <c r="AE43" s="23">
        <f t="shared" si="19"/>
        <v>0.15181447438882043</v>
      </c>
      <c r="AF43" s="23">
        <f t="shared" si="19"/>
        <v>0.14678807689519563</v>
      </c>
      <c r="AG43" s="23">
        <f t="shared" si="19"/>
        <v>0.14039805715663833</v>
      </c>
      <c r="AH43" s="23">
        <f t="shared" si="19"/>
        <v>0.13425252010589228</v>
      </c>
      <c r="AI43" s="23">
        <f t="shared" si="19"/>
        <v>0.12893835800406606</v>
      </c>
      <c r="AJ43" s="23">
        <f t="shared" si="19"/>
        <v>0.12421561301779596</v>
      </c>
      <c r="AK43" s="23">
        <f t="shared" si="19"/>
        <v>0.11963057456575482</v>
      </c>
      <c r="AL43" s="23">
        <f t="shared" si="19"/>
        <v>0.11393711992951806</v>
      </c>
      <c r="AM43" s="23">
        <f t="shared" si="19"/>
        <v>0.11189271385959002</v>
      </c>
      <c r="AN43" s="23">
        <f t="shared" si="19"/>
        <v>0.10682979220094882</v>
      </c>
      <c r="AO43" s="23">
        <f t="shared" si="19"/>
        <v>0.10314294293827243</v>
      </c>
      <c r="AP43" s="23">
        <f t="shared" si="19"/>
        <v>0.10106935758546741</v>
      </c>
      <c r="AQ43" s="23">
        <f t="shared" si="19"/>
        <v>9.7568220778027598E-2</v>
      </c>
      <c r="AR43" s="23">
        <f t="shared" si="19"/>
        <v>9.6602616252886686E-2</v>
      </c>
      <c r="AS43" s="23">
        <f t="shared" si="19"/>
        <v>9.2598493528808168E-2</v>
      </c>
      <c r="AT43" s="23">
        <f t="shared" si="19"/>
        <v>9.2170395935803978E-2</v>
      </c>
      <c r="AU43" s="23">
        <f t="shared" si="19"/>
        <v>9.1374423624493967E-2</v>
      </c>
      <c r="AV43" s="23">
        <f t="shared" si="19"/>
        <v>8.9129804871472762E-2</v>
      </c>
      <c r="AW43" s="23">
        <f t="shared" si="19"/>
        <v>8.9013543118902388E-2</v>
      </c>
      <c r="AX43" s="23">
        <f t="shared" si="19"/>
        <v>8.818393275882723E-2</v>
      </c>
      <c r="AY43" s="23">
        <f t="shared" si="19"/>
        <v>8.7738340464396325E-2</v>
      </c>
      <c r="AZ43" s="23">
        <f t="shared" si="19"/>
        <v>8.8284348033121907E-2</v>
      </c>
      <c r="BA43" s="23">
        <f t="shared" si="19"/>
        <v>8.7393791487132749E-2</v>
      </c>
      <c r="BB43" s="23">
        <f t="shared" si="19"/>
        <v>8.7320255066835342E-2</v>
      </c>
    </row>
    <row r="44" spans="1:54" x14ac:dyDescent="0.25">
      <c r="P44" t="s">
        <v>135</v>
      </c>
      <c r="Q44" t="s">
        <v>396</v>
      </c>
      <c r="R44" t="s">
        <v>121</v>
      </c>
      <c r="S44" t="s">
        <v>397</v>
      </c>
      <c r="U44" t="s">
        <v>381</v>
      </c>
      <c r="V44" s="357">
        <v>3.7419474376906861</v>
      </c>
      <c r="W44" s="357">
        <v>3.7830837432534805</v>
      </c>
      <c r="X44" s="357">
        <v>3.8497408439486671</v>
      </c>
      <c r="Y44" s="357">
        <v>4.0055967121192673</v>
      </c>
      <c r="Z44" s="357">
        <v>4.3734773485979597</v>
      </c>
      <c r="AA44" s="357">
        <v>5.5215918458227504</v>
      </c>
      <c r="AB44" s="357">
        <v>6.6446509993934484</v>
      </c>
      <c r="AC44" s="357">
        <v>8.3190243126254551</v>
      </c>
      <c r="AD44" s="357">
        <v>10.401914506577755</v>
      </c>
      <c r="AE44" s="357">
        <v>12.485742842104759</v>
      </c>
      <c r="AF44" s="357">
        <v>14.152025165406336</v>
      </c>
      <c r="AG44" s="357">
        <v>15.168876003833965</v>
      </c>
      <c r="AH44" s="357">
        <v>15.563621038300418</v>
      </c>
      <c r="AI44" s="357">
        <v>15.728732200626675</v>
      </c>
      <c r="AJ44" s="357">
        <v>15.98729921126731</v>
      </c>
      <c r="AK44" s="357">
        <v>16.579736936540396</v>
      </c>
      <c r="AL44" s="357">
        <v>17.36498017290781</v>
      </c>
      <c r="AM44" s="357">
        <v>17.764058933452201</v>
      </c>
      <c r="AN44" s="357">
        <v>17.947466854155575</v>
      </c>
      <c r="AO44" s="357">
        <v>18.192567325487644</v>
      </c>
      <c r="AP44" s="357">
        <v>17.122154476992677</v>
      </c>
      <c r="AQ44" s="357">
        <v>15.941385738360241</v>
      </c>
      <c r="AR44" s="357">
        <v>15.236528255876934</v>
      </c>
      <c r="AS44" s="357">
        <v>15.347520321596416</v>
      </c>
      <c r="AT44" s="357">
        <v>15.514687464231649</v>
      </c>
      <c r="AU44" s="357">
        <v>15.660715826959915</v>
      </c>
      <c r="AV44" s="357">
        <v>15.759155189935722</v>
      </c>
      <c r="AW44" s="357">
        <v>15.881829730245666</v>
      </c>
      <c r="AX44" s="357">
        <v>16.01528205822212</v>
      </c>
      <c r="AY44" s="357">
        <v>16.161700778430387</v>
      </c>
      <c r="AZ44" s="357">
        <v>16.294325733612549</v>
      </c>
      <c r="BA44" s="357">
        <v>16.437615463454009</v>
      </c>
      <c r="BB44" s="357">
        <v>16.584731147867849</v>
      </c>
    </row>
    <row r="45" spans="1:54" x14ac:dyDescent="0.25">
      <c r="V45" s="357"/>
      <c r="W45" s="357"/>
      <c r="X45" s="357"/>
      <c r="Y45" s="357"/>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row>
    <row r="46" spans="1:54" x14ac:dyDescent="0.25">
      <c r="V46" s="357"/>
      <c r="W46" s="357"/>
      <c r="X46" s="357"/>
      <c r="Y46" s="357"/>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row>
    <row r="50" spans="1:17" ht="38.25" x14ac:dyDescent="0.25">
      <c r="A50" s="29" t="s">
        <v>361</v>
      </c>
      <c r="B50" s="29"/>
      <c r="C50" s="29" t="s">
        <v>184</v>
      </c>
      <c r="D50" s="29" t="s">
        <v>185</v>
      </c>
      <c r="E50" s="29" t="s">
        <v>363</v>
      </c>
      <c r="F50" s="29" t="s">
        <v>364</v>
      </c>
      <c r="G50" s="29" t="s">
        <v>365</v>
      </c>
      <c r="H50" s="29" t="s">
        <v>186</v>
      </c>
      <c r="I50" s="29" t="s">
        <v>366</v>
      </c>
      <c r="J50" s="29" t="s">
        <v>367</v>
      </c>
      <c r="K50" s="29" t="s">
        <v>368</v>
      </c>
      <c r="L50" s="29" t="s">
        <v>369</v>
      </c>
      <c r="M50" s="29" t="s">
        <v>370</v>
      </c>
      <c r="N50" s="29" t="s">
        <v>371</v>
      </c>
    </row>
    <row r="51" spans="1:17" x14ac:dyDescent="0.25">
      <c r="A51" s="19">
        <v>2020</v>
      </c>
      <c r="B51" s="19"/>
      <c r="C51" s="2">
        <v>2.2338729397454111</v>
      </c>
      <c r="D51" s="2">
        <v>11.661177666088689</v>
      </c>
      <c r="E51" s="13">
        <v>0</v>
      </c>
      <c r="F51" s="2">
        <v>0</v>
      </c>
      <c r="G51" s="2">
        <v>2.2338729397454098</v>
      </c>
      <c r="H51" s="2">
        <v>-3.44506620335242</v>
      </c>
      <c r="I51" s="2">
        <v>-1.211193263607012</v>
      </c>
      <c r="J51" s="2">
        <v>10.449984402481677</v>
      </c>
      <c r="K51" s="2"/>
      <c r="L51" s="2"/>
      <c r="M51" s="20">
        <v>8216.1114627362658</v>
      </c>
      <c r="N51" s="20">
        <v>0</v>
      </c>
      <c r="P51" s="2"/>
      <c r="Q51" s="2"/>
    </row>
    <row r="52" spans="1:17" x14ac:dyDescent="0.25">
      <c r="A52" s="19">
        <v>2021</v>
      </c>
      <c r="B52" s="19"/>
      <c r="C52" s="2">
        <v>2.2500995235288501</v>
      </c>
      <c r="D52" s="2">
        <v>11.188898703277019</v>
      </c>
      <c r="E52" s="13">
        <v>0</v>
      </c>
      <c r="F52" s="2">
        <v>0</v>
      </c>
      <c r="G52" s="2">
        <v>2.2500995235288501</v>
      </c>
      <c r="H52" s="2">
        <v>-5.1861271094439134</v>
      </c>
      <c r="I52" s="2">
        <v>-2.9360275859150633</v>
      </c>
      <c r="J52" s="2">
        <v>8.2528711173619556</v>
      </c>
      <c r="K52" s="2"/>
      <c r="L52" s="2"/>
      <c r="M52" s="20">
        <v>6002.7715938331057</v>
      </c>
      <c r="N52" s="20">
        <v>0</v>
      </c>
      <c r="P52" s="2"/>
      <c r="Q52" s="2"/>
    </row>
    <row r="53" spans="1:17" x14ac:dyDescent="0.25">
      <c r="A53" s="27">
        <v>2022</v>
      </c>
      <c r="B53" s="27"/>
      <c r="C53" s="2">
        <v>2.2921468544666022</v>
      </c>
      <c r="D53" s="2">
        <v>10.580339665154668</v>
      </c>
      <c r="E53" s="13">
        <v>0</v>
      </c>
      <c r="F53" s="2">
        <v>0</v>
      </c>
      <c r="G53" s="2">
        <v>2.2921468544666022</v>
      </c>
      <c r="H53" s="2">
        <v>-10.667954015361371</v>
      </c>
      <c r="I53" s="2">
        <v>-8.3758071608947695</v>
      </c>
      <c r="J53" s="2">
        <v>2.2045325042598982</v>
      </c>
      <c r="K53" s="20">
        <v>101574.85464979331</v>
      </c>
      <c r="L53" s="20"/>
      <c r="M53" s="20">
        <v>0</v>
      </c>
      <c r="N53" s="20">
        <v>-87.614350206703051</v>
      </c>
      <c r="P53" s="2"/>
      <c r="Q53" s="2"/>
    </row>
    <row r="54" spans="1:17" x14ac:dyDescent="0.25">
      <c r="A54" s="19">
        <v>2023</v>
      </c>
      <c r="B54" s="19"/>
      <c r="C54" s="2">
        <v>2.3705179732706916</v>
      </c>
      <c r="D54" s="2">
        <v>10.065160618570271</v>
      </c>
      <c r="E54" s="13">
        <v>0</v>
      </c>
      <c r="F54" s="2">
        <v>0</v>
      </c>
      <c r="G54" s="2">
        <v>2.3705179732706916</v>
      </c>
      <c r="H54" s="2">
        <v>-13.001950957738176</v>
      </c>
      <c r="I54" s="2">
        <v>-10.631432984467484</v>
      </c>
      <c r="J54" s="2">
        <v>-0.56627236589721264</v>
      </c>
      <c r="K54" s="20">
        <v>98638.064310625414</v>
      </c>
      <c r="L54" s="20">
        <v>-2936.7903391678992</v>
      </c>
      <c r="M54" s="20">
        <v>0</v>
      </c>
      <c r="N54" s="20">
        <v>-2936.7903391679047</v>
      </c>
      <c r="P54" s="2"/>
      <c r="Q54" s="2"/>
    </row>
    <row r="55" spans="1:17" x14ac:dyDescent="0.25">
      <c r="A55" s="19">
        <v>2024</v>
      </c>
      <c r="B55" s="19"/>
      <c r="C55" s="2">
        <v>2.4839221444847155</v>
      </c>
      <c r="D55" s="2">
        <v>9.4937536419855739</v>
      </c>
      <c r="E55" s="13">
        <v>0</v>
      </c>
      <c r="F55" s="2">
        <v>0</v>
      </c>
      <c r="G55" s="2">
        <v>2.4839221444847155</v>
      </c>
      <c r="H55" s="2">
        <v>-16.360903503696424</v>
      </c>
      <c r="I55" s="2">
        <v>-13.876981359211708</v>
      </c>
      <c r="J55" s="2">
        <v>-4.3832277172261342</v>
      </c>
      <c r="K55" s="20">
        <v>91770.914448914569</v>
      </c>
      <c r="L55" s="20">
        <v>-6867.1498617108446</v>
      </c>
      <c r="M55" s="20">
        <v>0</v>
      </c>
      <c r="N55" s="20">
        <v>-6867.14986171085</v>
      </c>
      <c r="P55" s="2"/>
      <c r="Q55" s="2"/>
    </row>
    <row r="56" spans="1:17" x14ac:dyDescent="0.25">
      <c r="A56" s="19">
        <v>2025</v>
      </c>
      <c r="B56" s="19"/>
      <c r="C56" s="2">
        <v>2.6855522893835149</v>
      </c>
      <c r="D56" s="2">
        <v>9.2533166752408729</v>
      </c>
      <c r="E56" s="13">
        <v>0</v>
      </c>
      <c r="F56" s="2">
        <v>0</v>
      </c>
      <c r="G56" s="2">
        <v>2.6855522893835149</v>
      </c>
      <c r="H56" s="2">
        <v>-10.989187943540118</v>
      </c>
      <c r="I56" s="2">
        <v>-8.3036356541566043</v>
      </c>
      <c r="J56" s="2">
        <v>0.94968102108426855</v>
      </c>
      <c r="K56" s="20">
        <v>90035.043180615321</v>
      </c>
      <c r="L56" s="20">
        <v>-1735.8712682992482</v>
      </c>
      <c r="M56" s="20">
        <v>0</v>
      </c>
      <c r="N56" s="20">
        <v>-1735.8712682992455</v>
      </c>
      <c r="P56" s="2"/>
      <c r="Q56" s="2"/>
    </row>
    <row r="57" spans="1:17" x14ac:dyDescent="0.25">
      <c r="A57" s="19">
        <v>2026</v>
      </c>
      <c r="B57" s="19"/>
      <c r="C57" s="2">
        <v>3.0638415870475475</v>
      </c>
      <c r="D57" s="2">
        <v>8.9865475740941427</v>
      </c>
      <c r="E57" s="13">
        <v>0</v>
      </c>
      <c r="F57" s="2">
        <v>0</v>
      </c>
      <c r="G57" s="2">
        <v>3.0638415870475475</v>
      </c>
      <c r="H57" s="2">
        <v>-7.9749532131386367</v>
      </c>
      <c r="I57" s="2">
        <v>-4.9111116260910892</v>
      </c>
      <c r="J57" s="2">
        <v>4.0754359480030544</v>
      </c>
      <c r="K57" s="20">
        <v>91046.637541570832</v>
      </c>
      <c r="L57" s="20">
        <v>1011.5943609555106</v>
      </c>
      <c r="M57" s="20">
        <v>1011.5943609555061</v>
      </c>
      <c r="N57" s="20">
        <v>0</v>
      </c>
      <c r="P57" s="2"/>
      <c r="Q57" s="2"/>
    </row>
    <row r="58" spans="1:17" x14ac:dyDescent="0.25">
      <c r="A58" s="19">
        <v>2027</v>
      </c>
      <c r="B58" s="19"/>
      <c r="C58" s="2">
        <v>3.9386756412880697</v>
      </c>
      <c r="D58" s="2">
        <v>8.528104530498501</v>
      </c>
      <c r="E58" s="13">
        <v>0</v>
      </c>
      <c r="F58" s="2">
        <v>0</v>
      </c>
      <c r="G58" s="2">
        <v>3.9386756412880697</v>
      </c>
      <c r="H58" s="2">
        <v>-6.4078921577493571</v>
      </c>
      <c r="I58" s="2">
        <v>-2.4692165164612874</v>
      </c>
      <c r="J58" s="2">
        <v>6.0588880140372137</v>
      </c>
      <c r="K58" s="20">
        <v>93166.849914319973</v>
      </c>
      <c r="L58" s="20">
        <v>2120.2123727491417</v>
      </c>
      <c r="M58" s="20">
        <v>2120.2123727491439</v>
      </c>
      <c r="N58" s="20">
        <v>0</v>
      </c>
      <c r="P58" s="2"/>
      <c r="Q58" s="2"/>
    </row>
    <row r="59" spans="1:17" x14ac:dyDescent="0.25">
      <c r="A59" s="19">
        <v>2028</v>
      </c>
      <c r="B59" s="19"/>
      <c r="C59" s="2">
        <v>5.2352096433042172</v>
      </c>
      <c r="D59" s="2">
        <v>8.0862270647625589</v>
      </c>
      <c r="E59" s="13">
        <v>0</v>
      </c>
      <c r="F59" s="2">
        <v>0</v>
      </c>
      <c r="G59" s="2">
        <v>5.2352096433042172</v>
      </c>
      <c r="H59" s="2">
        <v>-7.4164372996530297</v>
      </c>
      <c r="I59" s="2">
        <v>-2.1812276563488124</v>
      </c>
      <c r="J59" s="2">
        <v>5.9049994084137474</v>
      </c>
      <c r="K59" s="20">
        <v>93836.6396794295</v>
      </c>
      <c r="L59" s="20">
        <v>669.78976510952634</v>
      </c>
      <c r="M59" s="20">
        <v>669.7897651095293</v>
      </c>
      <c r="N59" s="20">
        <v>0</v>
      </c>
      <c r="P59" s="2"/>
      <c r="Q59" s="2"/>
    </row>
    <row r="60" spans="1:17" x14ac:dyDescent="0.25">
      <c r="A60" s="19">
        <v>2029</v>
      </c>
      <c r="B60" s="19"/>
      <c r="C60" s="2">
        <v>6.7852783302604962</v>
      </c>
      <c r="D60" s="2">
        <v>7.8075156616752421</v>
      </c>
      <c r="E60" s="13">
        <v>0</v>
      </c>
      <c r="F60" s="2">
        <v>0</v>
      </c>
      <c r="G60" s="2">
        <v>6.7852783302604962</v>
      </c>
      <c r="H60" s="2">
        <v>-6.8299468874941498</v>
      </c>
      <c r="I60" s="2">
        <v>-4.4668557233653594E-2</v>
      </c>
      <c r="J60" s="2">
        <v>7.7628471044415894</v>
      </c>
      <c r="K60" s="20">
        <v>94814.208453610598</v>
      </c>
      <c r="L60" s="20">
        <v>977.56877418109798</v>
      </c>
      <c r="M60" s="20">
        <v>977.56877418109229</v>
      </c>
      <c r="N60" s="20">
        <v>0</v>
      </c>
      <c r="P60" s="2"/>
      <c r="Q60" s="2"/>
    </row>
    <row r="61" spans="1:17" x14ac:dyDescent="0.25">
      <c r="A61" s="19">
        <v>2030</v>
      </c>
      <c r="B61" s="19"/>
      <c r="C61" s="2">
        <v>8.3080351898176552</v>
      </c>
      <c r="D61" s="2">
        <v>7.9831543390771138</v>
      </c>
      <c r="E61" s="13">
        <v>0</v>
      </c>
      <c r="F61" s="2">
        <v>0</v>
      </c>
      <c r="G61" s="2">
        <v>8.3080351898176552</v>
      </c>
      <c r="H61" s="2">
        <v>-5.1488037470510726</v>
      </c>
      <c r="I61" s="2">
        <v>3.1592314427665826</v>
      </c>
      <c r="J61" s="2">
        <v>11.142385781843696</v>
      </c>
      <c r="K61" s="20">
        <v>97648.559045636634</v>
      </c>
      <c r="L61" s="20">
        <v>2834.3505920260359</v>
      </c>
      <c r="M61" s="20">
        <v>2834.3505920260413</v>
      </c>
      <c r="N61" s="20">
        <v>0</v>
      </c>
      <c r="P61" s="2"/>
      <c r="Q61" s="2"/>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2236-74F4-4B9E-A8C2-2AA02477C1B1}">
  <sheetPr codeName="Sheet6">
    <tabColor rgb="FF00B050"/>
  </sheetPr>
  <dimension ref="A1:AL54"/>
  <sheetViews>
    <sheetView zoomScale="130" zoomScaleNormal="130" workbookViewId="0"/>
  </sheetViews>
  <sheetFormatPr defaultRowHeight="15" x14ac:dyDescent="0.25"/>
  <cols>
    <col min="1" max="1" width="24" customWidth="1"/>
    <col min="2" max="2" width="16.85546875" customWidth="1"/>
    <col min="15" max="15" width="11.85546875" bestFit="1" customWidth="1"/>
    <col min="17" max="17" width="10.85546875" customWidth="1"/>
    <col min="18" max="18" width="10.42578125" customWidth="1"/>
    <col min="19" max="19" width="10.7109375" customWidth="1"/>
    <col min="21" max="21" width="10" customWidth="1"/>
    <col min="22" max="22" width="10.5703125" customWidth="1"/>
  </cols>
  <sheetData>
    <row r="1" spans="1:38" ht="30" x14ac:dyDescent="0.25">
      <c r="A1" t="s">
        <v>404</v>
      </c>
      <c r="O1" s="91"/>
      <c r="P1" s="92" t="s">
        <v>405</v>
      </c>
      <c r="Q1" s="92" t="s">
        <v>406</v>
      </c>
      <c r="R1" s="92" t="s">
        <v>407</v>
      </c>
      <c r="S1" s="92" t="s">
        <v>408</v>
      </c>
      <c r="T1" s="92" t="s">
        <v>409</v>
      </c>
      <c r="U1" s="92" t="s">
        <v>410</v>
      </c>
      <c r="V1" s="92" t="s">
        <v>411</v>
      </c>
    </row>
    <row r="2" spans="1:38" x14ac:dyDescent="0.25">
      <c r="O2" t="s">
        <v>412</v>
      </c>
      <c r="P2" s="20">
        <v>1466</v>
      </c>
      <c r="Q2" s="20">
        <v>4959</v>
      </c>
      <c r="R2" s="20">
        <f>SUM(P2:Q2)</f>
        <v>6425</v>
      </c>
      <c r="S2" s="20">
        <v>4965</v>
      </c>
      <c r="T2" s="89">
        <v>29.3</v>
      </c>
      <c r="U2" s="13">
        <v>0.14000000000000001</v>
      </c>
      <c r="V2" s="21">
        <v>0.03</v>
      </c>
      <c r="AA2" s="20"/>
      <c r="AB2" s="20"/>
      <c r="AC2" s="20"/>
      <c r="AD2" s="20"/>
      <c r="AE2" s="20"/>
      <c r="AF2" s="20"/>
      <c r="AG2" s="20"/>
      <c r="AH2" s="20"/>
      <c r="AI2" s="20"/>
      <c r="AJ2" s="20"/>
      <c r="AK2" s="20"/>
      <c r="AL2" s="20"/>
    </row>
    <row r="3" spans="1:38" x14ac:dyDescent="0.25">
      <c r="O3" t="s">
        <v>413</v>
      </c>
      <c r="P3" s="20">
        <v>1349</v>
      </c>
      <c r="Q3" s="20">
        <v>4437</v>
      </c>
      <c r="R3" s="20">
        <f t="shared" ref="R3:R14" si="0">SUM(P3:Q3)</f>
        <v>5786</v>
      </c>
      <c r="S3" s="20">
        <v>4404</v>
      </c>
      <c r="T3" s="89">
        <v>31.6</v>
      </c>
      <c r="U3" s="13">
        <v>0.12</v>
      </c>
      <c r="V3" s="21">
        <v>0.11</v>
      </c>
      <c r="AA3" s="20"/>
      <c r="AB3" s="20"/>
      <c r="AC3" s="20"/>
      <c r="AD3" s="20"/>
      <c r="AE3" s="20"/>
      <c r="AF3" s="20"/>
      <c r="AG3" s="20"/>
      <c r="AH3" s="20"/>
      <c r="AI3" s="20"/>
      <c r="AJ3" s="20"/>
      <c r="AK3" s="20"/>
      <c r="AL3" s="20"/>
    </row>
    <row r="4" spans="1:38" x14ac:dyDescent="0.25">
      <c r="O4" t="s">
        <v>414</v>
      </c>
      <c r="P4" s="20">
        <v>3376</v>
      </c>
      <c r="Q4" s="20">
        <v>5342</v>
      </c>
      <c r="R4" s="20">
        <f t="shared" si="0"/>
        <v>8718</v>
      </c>
      <c r="S4" s="20">
        <v>5329</v>
      </c>
      <c r="T4" s="89">
        <v>35.299999999999997</v>
      </c>
      <c r="U4" s="21">
        <v>7.0000000000000007E-2</v>
      </c>
      <c r="V4" s="21">
        <v>0.31</v>
      </c>
      <c r="AA4" s="20"/>
      <c r="AB4" s="20"/>
      <c r="AC4" s="20"/>
      <c r="AD4" s="20"/>
      <c r="AE4" s="20"/>
      <c r="AF4" s="20"/>
      <c r="AG4" s="20"/>
      <c r="AH4" s="20"/>
      <c r="AI4" s="20"/>
      <c r="AJ4" s="20"/>
      <c r="AK4" s="20"/>
      <c r="AL4" s="20"/>
    </row>
    <row r="5" spans="1:38" x14ac:dyDescent="0.25">
      <c r="O5" t="s">
        <v>415</v>
      </c>
      <c r="P5" s="20">
        <v>3287</v>
      </c>
      <c r="Q5" s="20">
        <v>5184</v>
      </c>
      <c r="R5" s="20">
        <f t="shared" si="0"/>
        <v>8471</v>
      </c>
      <c r="S5" s="20">
        <v>5172</v>
      </c>
      <c r="T5" s="89">
        <v>32.9</v>
      </c>
      <c r="U5" s="21">
        <v>0.2</v>
      </c>
      <c r="V5" s="21">
        <v>0.03</v>
      </c>
      <c r="AA5" s="20"/>
      <c r="AB5" s="20"/>
      <c r="AC5" s="20"/>
      <c r="AD5" s="20"/>
      <c r="AE5" s="20"/>
      <c r="AF5" s="20"/>
      <c r="AG5" s="20"/>
      <c r="AH5" s="20"/>
      <c r="AI5" s="20"/>
      <c r="AJ5" s="20"/>
      <c r="AK5" s="20"/>
      <c r="AL5" s="20"/>
    </row>
    <row r="6" spans="1:38" x14ac:dyDescent="0.25">
      <c r="O6" t="s">
        <v>416</v>
      </c>
      <c r="P6" s="20">
        <v>1426</v>
      </c>
      <c r="Q6" s="20">
        <v>5184</v>
      </c>
      <c r="R6" s="20">
        <f t="shared" si="0"/>
        <v>6610</v>
      </c>
      <c r="S6" s="20">
        <v>5172</v>
      </c>
      <c r="T6" s="89">
        <v>32.200000000000003</v>
      </c>
      <c r="U6" s="21">
        <v>0.12</v>
      </c>
      <c r="V6" s="21">
        <v>0.41</v>
      </c>
    </row>
    <row r="7" spans="1:38" x14ac:dyDescent="0.25">
      <c r="O7" t="s">
        <v>417</v>
      </c>
      <c r="P7" s="20">
        <v>1654</v>
      </c>
      <c r="Q7" s="20">
        <v>5184</v>
      </c>
      <c r="R7" s="20">
        <f t="shared" si="0"/>
        <v>6838</v>
      </c>
      <c r="S7" s="20">
        <v>5172</v>
      </c>
      <c r="T7" s="89">
        <v>32.200000000000003</v>
      </c>
      <c r="U7" s="21">
        <v>0.1</v>
      </c>
      <c r="V7" s="21">
        <v>0.06</v>
      </c>
    </row>
    <row r="8" spans="1:38" x14ac:dyDescent="0.25">
      <c r="B8" s="25"/>
      <c r="O8" t="s">
        <v>418</v>
      </c>
      <c r="P8" s="20">
        <v>1586</v>
      </c>
      <c r="Q8" s="20">
        <v>3348</v>
      </c>
      <c r="R8" s="20">
        <f t="shared" si="0"/>
        <v>4934</v>
      </c>
      <c r="S8" s="20">
        <v>3069</v>
      </c>
      <c r="T8" s="89">
        <v>27.2</v>
      </c>
      <c r="U8" s="21">
        <v>0.05</v>
      </c>
      <c r="V8" s="21">
        <v>0</v>
      </c>
    </row>
    <row r="9" spans="1:38" x14ac:dyDescent="0.25">
      <c r="O9" t="s">
        <v>419</v>
      </c>
      <c r="P9" s="20">
        <v>1658</v>
      </c>
      <c r="Q9" s="20">
        <v>3348</v>
      </c>
      <c r="R9" s="20">
        <f t="shared" si="0"/>
        <v>5006</v>
      </c>
      <c r="S9" s="20">
        <v>3069</v>
      </c>
      <c r="T9" s="89">
        <v>27.1</v>
      </c>
      <c r="U9" s="21">
        <v>0.01</v>
      </c>
      <c r="V9" s="21">
        <v>0.01</v>
      </c>
    </row>
    <row r="10" spans="1:38" x14ac:dyDescent="0.25">
      <c r="C10" t="s">
        <v>140</v>
      </c>
      <c r="D10" t="s">
        <v>420</v>
      </c>
      <c r="E10" t="s">
        <v>421</v>
      </c>
      <c r="O10" t="s">
        <v>422</v>
      </c>
      <c r="P10" s="20">
        <v>-1230</v>
      </c>
      <c r="Q10" s="20">
        <v>2700</v>
      </c>
      <c r="R10" s="20">
        <f t="shared" si="0"/>
        <v>1470</v>
      </c>
      <c r="S10" s="20">
        <v>2083</v>
      </c>
      <c r="T10" s="89">
        <v>25.2</v>
      </c>
      <c r="U10" s="21">
        <v>0.01</v>
      </c>
      <c r="V10" s="21">
        <v>0</v>
      </c>
    </row>
    <row r="11" spans="1:38" x14ac:dyDescent="0.25">
      <c r="A11" s="4" t="s">
        <v>423</v>
      </c>
      <c r="B11" s="22">
        <f>INDEX(C11:E11,MATCH(Model!$B$8,$C$10:$E$10,0))</f>
        <v>60</v>
      </c>
      <c r="C11" s="123">
        <v>60</v>
      </c>
      <c r="D11" s="123">
        <v>100</v>
      </c>
      <c r="E11" s="123">
        <v>120</v>
      </c>
      <c r="O11" t="s">
        <v>424</v>
      </c>
      <c r="P11" s="20">
        <v>1302</v>
      </c>
      <c r="Q11" s="20">
        <v>2700</v>
      </c>
      <c r="R11" s="20">
        <f t="shared" si="0"/>
        <v>4002</v>
      </c>
      <c r="S11" s="20">
        <v>2083</v>
      </c>
      <c r="T11" s="89">
        <v>24.1</v>
      </c>
      <c r="U11" s="21">
        <v>0.06</v>
      </c>
      <c r="V11" s="21">
        <v>0.04</v>
      </c>
    </row>
    <row r="12" spans="1:38" x14ac:dyDescent="0.25">
      <c r="A12" s="4" t="s">
        <v>425</v>
      </c>
      <c r="B12" s="123">
        <v>4844</v>
      </c>
      <c r="O12" t="s">
        <v>426</v>
      </c>
      <c r="P12" s="20">
        <v>1585</v>
      </c>
      <c r="Q12" s="20">
        <v>3218</v>
      </c>
      <c r="R12" s="20">
        <f t="shared" si="0"/>
        <v>4803</v>
      </c>
      <c r="S12" s="20">
        <v>2951</v>
      </c>
      <c r="T12" s="89">
        <v>26</v>
      </c>
      <c r="U12" s="21">
        <v>0.06</v>
      </c>
      <c r="V12" s="21">
        <v>0</v>
      </c>
    </row>
    <row r="13" spans="1:38" x14ac:dyDescent="0.25">
      <c r="A13" s="100" t="s">
        <v>427</v>
      </c>
      <c r="B13" s="123">
        <v>5.2919999999999996E-4</v>
      </c>
      <c r="O13" s="93" t="s">
        <v>428</v>
      </c>
      <c r="P13" s="94">
        <v>1881</v>
      </c>
      <c r="Q13" s="94">
        <v>3983</v>
      </c>
      <c r="R13" s="94">
        <f t="shared" si="0"/>
        <v>5864</v>
      </c>
      <c r="S13" s="94">
        <v>3903</v>
      </c>
      <c r="T13" s="96">
        <v>27</v>
      </c>
      <c r="U13" s="95">
        <v>0.08</v>
      </c>
      <c r="V13" s="95">
        <v>0</v>
      </c>
    </row>
    <row r="14" spans="1:38" x14ac:dyDescent="0.25">
      <c r="A14" s="4" t="s">
        <v>429</v>
      </c>
      <c r="B14" s="124">
        <f>P14</f>
        <v>1965.3333333333328</v>
      </c>
      <c r="O14" t="s">
        <v>430</v>
      </c>
      <c r="P14" s="20">
        <f>SUMPRODUCT(P2:P13,$U$2:$U$13)/$U$14</f>
        <v>1965.3333333333328</v>
      </c>
      <c r="Q14" s="20">
        <f>SUMPRODUCT(Q2:Q13,$U$2:$U$13)/$U$14</f>
        <v>4587.7647058823522</v>
      </c>
      <c r="R14" s="20">
        <f t="shared" si="0"/>
        <v>6553.0980392156853</v>
      </c>
      <c r="S14" s="20">
        <f>SUMPRODUCT(S2:S13,V2:V13)/V14</f>
        <v>4985.3899999999985</v>
      </c>
      <c r="T14" s="89">
        <f>SUMPRODUCT(T2:T13,$U$2:$U$13)/$U$14</f>
        <v>30.468627450980389</v>
      </c>
      <c r="U14" s="21">
        <f>SUM(U2:U13)</f>
        <v>1.0200000000000002</v>
      </c>
      <c r="V14" s="21">
        <f>SUM(V2:V13)</f>
        <v>1</v>
      </c>
    </row>
    <row r="15" spans="1:38" x14ac:dyDescent="0.25">
      <c r="A15" s="4" t="s">
        <v>431</v>
      </c>
      <c r="B15" s="88">
        <f>Q14</f>
        <v>4587.7647058823522</v>
      </c>
      <c r="C15" s="26"/>
    </row>
    <row r="16" spans="1:38" x14ac:dyDescent="0.25">
      <c r="A16" s="4" t="s">
        <v>432</v>
      </c>
      <c r="B16" s="125">
        <f>B15/26.1</f>
        <v>175.77642551273379</v>
      </c>
      <c r="C16" s="26"/>
    </row>
    <row r="17" spans="1:11" x14ac:dyDescent="0.25">
      <c r="A17" s="4" t="s">
        <v>433</v>
      </c>
      <c r="B17" s="22">
        <f>IF(Model!$B$8="Low",C17,E17)</f>
        <v>10000</v>
      </c>
      <c r="C17" s="123">
        <v>10000</v>
      </c>
      <c r="D17" s="123">
        <v>10000</v>
      </c>
      <c r="E17" s="123">
        <v>7500</v>
      </c>
    </row>
    <row r="18" spans="1:11" x14ac:dyDescent="0.25">
      <c r="A18" s="4" t="s">
        <v>434</v>
      </c>
      <c r="B18" s="123">
        <v>0.82620000000000005</v>
      </c>
    </row>
    <row r="19" spans="1:11" x14ac:dyDescent="0.25">
      <c r="A19" s="4" t="s">
        <v>435</v>
      </c>
      <c r="B19" s="123">
        <v>0.43290000000000001</v>
      </c>
    </row>
    <row r="20" spans="1:11" x14ac:dyDescent="0.25">
      <c r="A20" s="4" t="s">
        <v>249</v>
      </c>
      <c r="B20" s="101">
        <v>26.1</v>
      </c>
    </row>
    <row r="26" spans="1:11" x14ac:dyDescent="0.25">
      <c r="A26" t="s">
        <v>170</v>
      </c>
      <c r="B26" t="s">
        <v>406</v>
      </c>
      <c r="C26" t="s">
        <v>436</v>
      </c>
      <c r="D26" t="s">
        <v>437</v>
      </c>
    </row>
    <row r="27" spans="1:11" x14ac:dyDescent="0.25">
      <c r="A27" s="98">
        <v>0</v>
      </c>
      <c r="B27" s="41">
        <f>$B$15/$B$20*A27</f>
        <v>0</v>
      </c>
      <c r="C27" s="41">
        <f>$B$14+$B$18*B27-$B$19*$B$17</f>
        <v>-2363.666666666667</v>
      </c>
      <c r="D27" s="3">
        <f>$B$11/(1+EXP(-$B$13*(C27-$B$12)))</f>
        <v>1.2946414822910282</v>
      </c>
      <c r="E27" s="3">
        <v>2.15773580381838</v>
      </c>
      <c r="F27" s="3">
        <v>2.5892829645820563</v>
      </c>
    </row>
    <row r="28" spans="1:11" x14ac:dyDescent="0.25">
      <c r="A28" s="99">
        <f>A27+10</f>
        <v>10</v>
      </c>
      <c r="B28" s="41">
        <f t="shared" ref="B28:B47" si="1">$B$15/$B$20*A28</f>
        <v>1757.7642551273379</v>
      </c>
      <c r="C28" s="41">
        <f t="shared" ref="C28:C47" si="2">$B$14+$B$18*B28-$B$19*$B$17</f>
        <v>-911.40183908046038</v>
      </c>
      <c r="D28" s="3">
        <f t="shared" ref="D28:D47" si="3">$B$11/(1+EXP(-$B$13*(C28-$B$12)))</f>
        <v>2.7240562880419241</v>
      </c>
      <c r="E28" s="3">
        <v>4.5400938134032067</v>
      </c>
      <c r="F28" s="3">
        <v>5.4481125760838482</v>
      </c>
    </row>
    <row r="29" spans="1:11" x14ac:dyDescent="0.25">
      <c r="A29" s="99">
        <f>A28+10</f>
        <v>20</v>
      </c>
      <c r="B29" s="41">
        <f t="shared" si="1"/>
        <v>3515.5285102546759</v>
      </c>
      <c r="C29" s="41">
        <f t="shared" si="2"/>
        <v>540.86298850574622</v>
      </c>
      <c r="D29" s="3">
        <f t="shared" si="3"/>
        <v>5.5816341803632064</v>
      </c>
      <c r="E29" s="3">
        <v>9.3027236339386761</v>
      </c>
      <c r="F29" s="3">
        <v>11.163268360726413</v>
      </c>
    </row>
    <row r="30" spans="1:11" x14ac:dyDescent="0.25">
      <c r="A30" s="99">
        <f t="shared" ref="A30:A47" si="4">A29+10</f>
        <v>30</v>
      </c>
      <c r="B30" s="41">
        <f>$B$15/$B$20*A30</f>
        <v>5273.2927653820134</v>
      </c>
      <c r="C30" s="41">
        <f>$B$14+$B$18*B30-$B$19*$B$17</f>
        <v>1993.1278160919528</v>
      </c>
      <c r="D30" s="3">
        <f>$B$11/(1+EXP(-$B$13*(C30-$B$12)))</f>
        <v>10.868056087860476</v>
      </c>
      <c r="E30" s="3">
        <v>18.113426813100794</v>
      </c>
      <c r="F30" s="3">
        <v>21.736112175720951</v>
      </c>
      <c r="I30" s="97"/>
      <c r="J30" s="97"/>
      <c r="K30" s="97"/>
    </row>
    <row r="31" spans="1:11" x14ac:dyDescent="0.25">
      <c r="A31" s="99">
        <f t="shared" si="4"/>
        <v>40</v>
      </c>
      <c r="B31" s="41">
        <f t="shared" si="1"/>
        <v>7031.0570205093518</v>
      </c>
      <c r="C31" s="41">
        <f>$B$14+$B$18*B31-$B$19*$B$17</f>
        <v>3445.3926436781594</v>
      </c>
      <c r="D31" s="3">
        <f t="shared" si="3"/>
        <v>19.378372293308971</v>
      </c>
      <c r="E31" s="3">
        <v>32.297287155514951</v>
      </c>
      <c r="F31" s="3">
        <v>38.756744586617941</v>
      </c>
      <c r="I31" s="97"/>
      <c r="J31" s="97"/>
    </row>
    <row r="32" spans="1:11" x14ac:dyDescent="0.25">
      <c r="A32" s="99">
        <f t="shared" si="4"/>
        <v>50</v>
      </c>
      <c r="B32" s="41">
        <f t="shared" si="1"/>
        <v>8788.8212756366902</v>
      </c>
      <c r="C32" s="41">
        <f t="shared" si="2"/>
        <v>4897.6574712643669</v>
      </c>
      <c r="D32" s="3">
        <f t="shared" si="3"/>
        <v>30.425904389830318</v>
      </c>
      <c r="E32" s="3">
        <v>50.709840649717201</v>
      </c>
      <c r="F32" s="3">
        <v>60.851808779660637</v>
      </c>
    </row>
    <row r="33" spans="1:8" x14ac:dyDescent="0.25">
      <c r="A33" s="99">
        <f t="shared" si="4"/>
        <v>60</v>
      </c>
      <c r="B33" s="41">
        <f t="shared" si="1"/>
        <v>10546.585530764027</v>
      </c>
      <c r="C33" s="41">
        <f t="shared" si="2"/>
        <v>6349.9222988505717</v>
      </c>
      <c r="D33" s="3">
        <f t="shared" si="3"/>
        <v>41.359096172087014</v>
      </c>
      <c r="E33" s="3">
        <v>68.931826953478364</v>
      </c>
      <c r="F33" s="3">
        <v>82.718192344174028</v>
      </c>
      <c r="G33" s="2"/>
      <c r="H33" s="2"/>
    </row>
    <row r="34" spans="1:8" x14ac:dyDescent="0.25">
      <c r="A34" s="99">
        <f t="shared" si="4"/>
        <v>70</v>
      </c>
      <c r="B34" s="41">
        <f t="shared" si="1"/>
        <v>12304.349785891365</v>
      </c>
      <c r="C34" s="41">
        <f>$B$14+$B$18*B34-$B$19*$B$17</f>
        <v>7802.1871264367783</v>
      </c>
      <c r="D34" s="3">
        <f>$B$11/(1+EXP(-$B$13*(C34-$B$12)))</f>
        <v>49.628234243143325</v>
      </c>
      <c r="E34" s="3">
        <v>82.713723738572213</v>
      </c>
      <c r="F34" s="3">
        <v>99.25646848628665</v>
      </c>
      <c r="G34" s="2"/>
      <c r="H34" s="2"/>
    </row>
    <row r="35" spans="1:8" x14ac:dyDescent="0.25">
      <c r="A35" s="99">
        <f t="shared" si="4"/>
        <v>80</v>
      </c>
      <c r="B35" s="41">
        <f t="shared" si="1"/>
        <v>14062.114041018704</v>
      </c>
      <c r="C35" s="41">
        <f t="shared" si="2"/>
        <v>9254.4519540229849</v>
      </c>
      <c r="D35" s="3">
        <f t="shared" si="3"/>
        <v>54.699295888132312</v>
      </c>
      <c r="E35" s="3">
        <v>91.165493146887187</v>
      </c>
      <c r="F35" s="3">
        <v>109.39859177626462</v>
      </c>
      <c r="G35" s="2"/>
      <c r="H35" s="2"/>
    </row>
    <row r="36" spans="1:8" x14ac:dyDescent="0.25">
      <c r="A36" s="99">
        <f t="shared" si="4"/>
        <v>90</v>
      </c>
      <c r="B36" s="41">
        <f t="shared" si="1"/>
        <v>15819.878296146042</v>
      </c>
      <c r="C36" s="41">
        <f t="shared" si="2"/>
        <v>10706.716781609193</v>
      </c>
      <c r="D36" s="3">
        <f t="shared" si="3"/>
        <v>57.419867766423742</v>
      </c>
      <c r="E36" s="3">
        <v>95.69977961070623</v>
      </c>
      <c r="F36" s="3">
        <v>114.83973553284748</v>
      </c>
      <c r="G36" s="2"/>
      <c r="H36" s="2"/>
    </row>
    <row r="37" spans="1:8" x14ac:dyDescent="0.25">
      <c r="A37" s="99">
        <f t="shared" si="4"/>
        <v>100</v>
      </c>
      <c r="B37" s="41">
        <f t="shared" si="1"/>
        <v>17577.64255127338</v>
      </c>
      <c r="C37" s="41">
        <f t="shared" si="2"/>
        <v>12158.981609195402</v>
      </c>
      <c r="D37" s="3">
        <f t="shared" si="3"/>
        <v>58.775374961131241</v>
      </c>
      <c r="E37" s="3">
        <v>97.958958268552081</v>
      </c>
      <c r="F37" s="3">
        <v>117.55074992226248</v>
      </c>
      <c r="G37" s="2"/>
      <c r="H37" s="2"/>
    </row>
    <row r="38" spans="1:8" x14ac:dyDescent="0.25">
      <c r="A38" s="99">
        <f t="shared" si="4"/>
        <v>110</v>
      </c>
      <c r="B38" s="41">
        <f t="shared" si="1"/>
        <v>19335.406806400719</v>
      </c>
      <c r="C38" s="41">
        <f t="shared" si="2"/>
        <v>13611.246436781606</v>
      </c>
      <c r="D38" s="3">
        <f t="shared" si="3"/>
        <v>59.425868711146748</v>
      </c>
      <c r="E38" s="3">
        <v>99.043114518577923</v>
      </c>
      <c r="F38" s="3">
        <v>118.8517374222935</v>
      </c>
      <c r="G38" s="2"/>
      <c r="H38" s="2"/>
    </row>
    <row r="39" spans="1:8" x14ac:dyDescent="0.25">
      <c r="A39" s="99">
        <f t="shared" si="4"/>
        <v>120</v>
      </c>
      <c r="B39" s="41">
        <f t="shared" si="1"/>
        <v>21093.171061528054</v>
      </c>
      <c r="C39" s="41">
        <f t="shared" si="2"/>
        <v>15063.511264367811</v>
      </c>
      <c r="D39" s="3">
        <f t="shared" si="3"/>
        <v>59.732407678691416</v>
      </c>
      <c r="E39" s="3">
        <v>99.554012797819027</v>
      </c>
      <c r="F39" s="3">
        <v>119.46481535738283</v>
      </c>
      <c r="G39" s="2"/>
      <c r="H39" s="2"/>
    </row>
    <row r="40" spans="1:8" x14ac:dyDescent="0.25">
      <c r="A40" s="99">
        <f t="shared" si="4"/>
        <v>130</v>
      </c>
      <c r="B40" s="41">
        <f t="shared" si="1"/>
        <v>22850.935316655392</v>
      </c>
      <c r="C40" s="41">
        <f t="shared" si="2"/>
        <v>16515.77609195402</v>
      </c>
      <c r="D40" s="3">
        <f t="shared" si="3"/>
        <v>59.875622558624485</v>
      </c>
      <c r="E40" s="3">
        <v>99.792704264374152</v>
      </c>
      <c r="F40" s="3">
        <v>119.46481535738283</v>
      </c>
      <c r="G40" s="2"/>
      <c r="H40" s="2"/>
    </row>
    <row r="41" spans="1:8" x14ac:dyDescent="0.25">
      <c r="A41" s="99">
        <f t="shared" si="4"/>
        <v>140</v>
      </c>
      <c r="B41" s="41">
        <f t="shared" si="1"/>
        <v>24608.69957178273</v>
      </c>
      <c r="C41" s="41">
        <f t="shared" si="2"/>
        <v>17968.040919540224</v>
      </c>
      <c r="D41" s="3">
        <f t="shared" si="3"/>
        <v>59.942263206261408</v>
      </c>
      <c r="E41" s="3">
        <v>99.903772010435674</v>
      </c>
      <c r="F41" s="3">
        <v>119.46481535738283</v>
      </c>
      <c r="G41" s="2"/>
      <c r="H41" s="2"/>
    </row>
    <row r="42" spans="1:8" x14ac:dyDescent="0.25">
      <c r="A42" s="99">
        <f t="shared" si="4"/>
        <v>150</v>
      </c>
      <c r="B42" s="41">
        <f t="shared" si="1"/>
        <v>26366.463826910069</v>
      </c>
      <c r="C42" s="41">
        <f t="shared" si="2"/>
        <v>19420.305747126433</v>
      </c>
      <c r="D42" s="3">
        <f t="shared" si="3"/>
        <v>59.973214188921105</v>
      </c>
      <c r="E42" s="3">
        <v>99.955356981535175</v>
      </c>
      <c r="F42" s="3">
        <v>119.46481535738283</v>
      </c>
      <c r="G42" s="2"/>
      <c r="H42" s="2"/>
    </row>
    <row r="43" spans="1:8" x14ac:dyDescent="0.25">
      <c r="A43" s="99">
        <f t="shared" si="4"/>
        <v>160</v>
      </c>
      <c r="B43" s="41">
        <f t="shared" si="1"/>
        <v>28124.228082037407</v>
      </c>
      <c r="C43" s="41">
        <f t="shared" si="2"/>
        <v>20872.570574712638</v>
      </c>
      <c r="D43" s="3">
        <f t="shared" si="3"/>
        <v>59.987576706521736</v>
      </c>
      <c r="E43" s="3">
        <v>99.979294510869551</v>
      </c>
      <c r="F43" s="3">
        <v>119.46481535738283</v>
      </c>
      <c r="G43" s="2"/>
      <c r="H43" s="2"/>
    </row>
    <row r="44" spans="1:8" x14ac:dyDescent="0.25">
      <c r="A44" s="99">
        <f t="shared" si="4"/>
        <v>170</v>
      </c>
      <c r="B44" s="41">
        <f t="shared" si="1"/>
        <v>29881.992337164746</v>
      </c>
      <c r="C44" s="41">
        <f t="shared" si="2"/>
        <v>22324.835402298846</v>
      </c>
      <c r="D44" s="3">
        <f t="shared" si="3"/>
        <v>59.994238800372393</v>
      </c>
      <c r="E44" s="3">
        <v>99.990398000620658</v>
      </c>
      <c r="F44" s="3">
        <v>119.46481535738283</v>
      </c>
      <c r="G44" s="2"/>
      <c r="H44" s="2"/>
    </row>
    <row r="45" spans="1:8" x14ac:dyDescent="0.25">
      <c r="A45" s="99">
        <f t="shared" si="4"/>
        <v>180</v>
      </c>
      <c r="B45" s="41">
        <f t="shared" si="1"/>
        <v>31639.756592292084</v>
      </c>
      <c r="C45" s="41">
        <f t="shared" si="2"/>
        <v>23777.100229885054</v>
      </c>
      <c r="D45" s="3">
        <f t="shared" si="3"/>
        <v>59.997328450415651</v>
      </c>
      <c r="E45" s="3">
        <v>99.995547417359418</v>
      </c>
      <c r="F45" s="3">
        <v>119.46481535738283</v>
      </c>
      <c r="G45" s="2"/>
      <c r="H45" s="2"/>
    </row>
    <row r="46" spans="1:8" x14ac:dyDescent="0.25">
      <c r="A46" s="99">
        <f t="shared" si="4"/>
        <v>190</v>
      </c>
      <c r="B46" s="41">
        <f t="shared" si="1"/>
        <v>33397.520847419422</v>
      </c>
      <c r="C46" s="41">
        <f t="shared" si="2"/>
        <v>25229.365057471259</v>
      </c>
      <c r="D46" s="3">
        <f t="shared" si="3"/>
        <v>59.998761198963393</v>
      </c>
      <c r="E46" s="3">
        <v>99.99793533160566</v>
      </c>
      <c r="F46" s="3">
        <v>119.46481535738283</v>
      </c>
      <c r="G46" s="2"/>
      <c r="H46" s="2"/>
    </row>
    <row r="47" spans="1:8" x14ac:dyDescent="0.25">
      <c r="A47" s="99">
        <f t="shared" si="4"/>
        <v>200</v>
      </c>
      <c r="B47" s="41">
        <f t="shared" si="1"/>
        <v>35155.285102546761</v>
      </c>
      <c r="C47" s="41">
        <f t="shared" si="2"/>
        <v>26681.629885057468</v>
      </c>
      <c r="D47" s="3">
        <f t="shared" si="3"/>
        <v>59.999425573695632</v>
      </c>
      <c r="E47" s="3">
        <v>99.999042622826053</v>
      </c>
      <c r="F47" s="3">
        <v>119.46481535738283</v>
      </c>
      <c r="G47" s="2"/>
      <c r="H47" s="2"/>
    </row>
    <row r="48" spans="1:8" x14ac:dyDescent="0.25">
      <c r="A48" s="99"/>
      <c r="B48" s="41"/>
      <c r="C48" s="41"/>
      <c r="D48" s="3"/>
    </row>
    <row r="49" spans="1:4" x14ac:dyDescent="0.25">
      <c r="A49" s="99"/>
      <c r="B49" s="41"/>
      <c r="C49" s="41"/>
      <c r="D49" s="3"/>
    </row>
    <row r="50" spans="1:4" x14ac:dyDescent="0.25">
      <c r="A50" s="99"/>
      <c r="B50" s="41"/>
      <c r="C50" s="41"/>
      <c r="D50" s="3"/>
    </row>
    <row r="51" spans="1:4" x14ac:dyDescent="0.25">
      <c r="A51" s="99"/>
      <c r="B51" s="41"/>
      <c r="C51" s="41"/>
      <c r="D51" s="3"/>
    </row>
    <row r="52" spans="1:4" x14ac:dyDescent="0.25">
      <c r="A52" s="99"/>
      <c r="B52" s="41"/>
      <c r="C52" s="41"/>
      <c r="D52" s="3"/>
    </row>
    <row r="53" spans="1:4" x14ac:dyDescent="0.25">
      <c r="A53" s="99"/>
      <c r="B53" s="41"/>
      <c r="C53" s="41"/>
      <c r="D53" s="3"/>
    </row>
    <row r="54" spans="1:4" x14ac:dyDescent="0.25">
      <c r="A54" s="99"/>
      <c r="B54" s="41"/>
      <c r="C54" s="41"/>
      <c r="D54" s="3"/>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00EA5-B6EC-44C5-9913-D42B7DD7E3B7}">
  <sheetPr codeName="Sheet18">
    <tabColor rgb="FF00B050"/>
  </sheetPr>
  <dimension ref="A2:R196"/>
  <sheetViews>
    <sheetView zoomScale="70" zoomScaleNormal="70" workbookViewId="0">
      <selection activeCell="AA38" sqref="AA38"/>
    </sheetView>
  </sheetViews>
  <sheetFormatPr defaultRowHeight="15" x14ac:dyDescent="0.25"/>
  <cols>
    <col min="1" max="1" width="4.5703125" customWidth="1"/>
    <col min="2" max="2" width="12.5703125" bestFit="1" customWidth="1"/>
    <col min="3" max="3" width="14" bestFit="1" customWidth="1"/>
    <col min="4" max="4" width="13.85546875" bestFit="1" customWidth="1"/>
    <col min="5" max="5" width="4.85546875" customWidth="1"/>
    <col min="6" max="6" width="3.85546875" bestFit="1" customWidth="1"/>
    <col min="7" max="7" width="12.5703125" style="19" bestFit="1" customWidth="1"/>
    <col min="8" max="8" width="14" style="19" bestFit="1" customWidth="1"/>
    <col min="9" max="9" width="13.85546875" style="19" bestFit="1" customWidth="1"/>
    <col min="10" max="10" width="5.5703125" customWidth="1"/>
    <col min="11" max="11" width="11.5703125" bestFit="1" customWidth="1"/>
    <col min="12" max="12" width="14" bestFit="1" customWidth="1"/>
    <col min="13" max="13" width="13.85546875" bestFit="1" customWidth="1"/>
    <col min="14" max="14" width="4.85546875" customWidth="1"/>
    <col min="15" max="15" width="5.140625" customWidth="1"/>
    <col min="16" max="19" width="11.42578125" customWidth="1"/>
  </cols>
  <sheetData>
    <row r="2" spans="1:18" x14ac:dyDescent="0.25">
      <c r="B2" s="378" t="s">
        <v>438</v>
      </c>
      <c r="C2" s="379"/>
      <c r="D2" s="380"/>
      <c r="E2" s="80"/>
      <c r="G2" s="378" t="s">
        <v>438</v>
      </c>
      <c r="H2" s="379"/>
      <c r="I2" s="380"/>
      <c r="K2" s="378" t="s">
        <v>438</v>
      </c>
      <c r="L2" s="379"/>
      <c r="M2" s="380"/>
      <c r="N2" s="40"/>
      <c r="P2" s="378" t="s">
        <v>438</v>
      </c>
      <c r="Q2" s="379"/>
      <c r="R2" s="380"/>
    </row>
    <row r="3" spans="1:18" x14ac:dyDescent="0.25">
      <c r="A3" s="80"/>
      <c r="B3" s="378" t="s">
        <v>439</v>
      </c>
      <c r="C3" s="379"/>
      <c r="D3" s="380"/>
      <c r="E3" s="80"/>
      <c r="F3" s="80"/>
      <c r="G3" s="378" t="s">
        <v>440</v>
      </c>
      <c r="H3" s="379"/>
      <c r="I3" s="380"/>
      <c r="J3" s="80"/>
      <c r="K3" s="378" t="s">
        <v>441</v>
      </c>
      <c r="L3" s="379"/>
      <c r="M3" s="380"/>
      <c r="N3" s="19"/>
      <c r="O3" s="80"/>
      <c r="P3" s="378" t="s">
        <v>440</v>
      </c>
      <c r="Q3" s="379"/>
      <c r="R3" s="380"/>
    </row>
    <row r="4" spans="1:18" x14ac:dyDescent="0.25">
      <c r="B4" s="4" t="s">
        <v>442</v>
      </c>
      <c r="C4" s="4" t="s">
        <v>443</v>
      </c>
      <c r="D4" s="4" t="s">
        <v>369</v>
      </c>
      <c r="G4" s="61" t="s">
        <v>444</v>
      </c>
      <c r="H4" s="61" t="s">
        <v>443</v>
      </c>
      <c r="I4" s="61" t="s">
        <v>369</v>
      </c>
      <c r="K4" s="77" t="s">
        <v>442</v>
      </c>
      <c r="L4" s="77" t="s">
        <v>443</v>
      </c>
      <c r="M4" s="77" t="s">
        <v>369</v>
      </c>
      <c r="N4" s="42"/>
      <c r="P4" s="61" t="s">
        <v>444</v>
      </c>
      <c r="Q4" s="61" t="s">
        <v>443</v>
      </c>
      <c r="R4" s="61" t="s">
        <v>369</v>
      </c>
    </row>
    <row r="5" spans="1:18" x14ac:dyDescent="0.25">
      <c r="A5">
        <v>1</v>
      </c>
      <c r="B5" s="4">
        <v>0.30776289972882848</v>
      </c>
      <c r="C5" s="4">
        <f t="shared" ref="C5:C30" si="0">-B5/1000000</f>
        <v>-3.0776289972882847E-7</v>
      </c>
      <c r="D5" s="4">
        <f>C5</f>
        <v>-3.0776289972882847E-7</v>
      </c>
      <c r="F5">
        <v>1</v>
      </c>
      <c r="G5" s="77">
        <v>0.48668871955146825</v>
      </c>
      <c r="H5" s="77">
        <f t="shared" ref="H5:H20" si="1">-G5/1000000</f>
        <v>-4.866887195514683E-7</v>
      </c>
      <c r="I5" s="77">
        <f>H5</f>
        <v>-4.866887195514683E-7</v>
      </c>
      <c r="K5" s="77">
        <v>0.69095443440379734</v>
      </c>
      <c r="L5" s="77">
        <f t="shared" ref="L5:L36" si="2">-K5/1000000</f>
        <v>-6.9095443440379736E-7</v>
      </c>
      <c r="M5" s="77">
        <f>L5</f>
        <v>-6.9095443440379736E-7</v>
      </c>
      <c r="N5" s="19"/>
      <c r="O5">
        <v>1</v>
      </c>
      <c r="P5" s="77">
        <v>0.49976749482683819</v>
      </c>
      <c r="Q5" s="77">
        <f t="shared" ref="Q5:Q36" si="3">-P5/1000000</f>
        <v>-4.997674948268382E-7</v>
      </c>
      <c r="R5" s="77">
        <f>Q5</f>
        <v>-4.997674948268382E-7</v>
      </c>
    </row>
    <row r="6" spans="1:18" x14ac:dyDescent="0.25">
      <c r="A6">
        <v>2</v>
      </c>
      <c r="B6" s="4">
        <v>1.6265197144765158</v>
      </c>
      <c r="C6" s="4">
        <f t="shared" si="0"/>
        <v>-1.6265197144765157E-6</v>
      </c>
      <c r="D6" s="4">
        <f>C6-C5</f>
        <v>-1.3187568147476872E-6</v>
      </c>
      <c r="F6">
        <v>2</v>
      </c>
      <c r="G6" s="77">
        <v>2.5602100958917515</v>
      </c>
      <c r="H6" s="77">
        <f t="shared" si="1"/>
        <v>-2.5602100958917516E-6</v>
      </c>
      <c r="I6" s="77">
        <f>H6-H5</f>
        <v>-2.0735213763402834E-6</v>
      </c>
      <c r="K6" s="77">
        <v>1.5134948057824764</v>
      </c>
      <c r="L6" s="77">
        <f t="shared" si="2"/>
        <v>-1.5134948057824764E-6</v>
      </c>
      <c r="M6" s="77">
        <f>L6-L5</f>
        <v>-8.2254037137867908E-7</v>
      </c>
      <c r="N6" s="19"/>
      <c r="O6">
        <v>2</v>
      </c>
      <c r="P6" s="77">
        <v>2.5692940265063822</v>
      </c>
      <c r="Q6" s="77">
        <f t="shared" si="3"/>
        <v>-2.569294026506382E-6</v>
      </c>
      <c r="R6" s="77">
        <f>Q6-Q5</f>
        <v>-2.0695265316795437E-6</v>
      </c>
    </row>
    <row r="7" spans="1:18" x14ac:dyDescent="0.25">
      <c r="A7">
        <v>3</v>
      </c>
      <c r="B7" s="4">
        <v>4.4995353768330748</v>
      </c>
      <c r="C7" s="4">
        <f t="shared" si="0"/>
        <v>-4.499535376833075E-6</v>
      </c>
      <c r="D7" s="4">
        <f t="shared" ref="D7:D30" si="4">C7-C6</f>
        <v>-2.8730156623565591E-6</v>
      </c>
      <c r="F7">
        <v>3</v>
      </c>
      <c r="G7" s="77">
        <v>7.7415702117703677</v>
      </c>
      <c r="H7" s="77">
        <f t="shared" si="1"/>
        <v>-7.7415702117703682E-6</v>
      </c>
      <c r="I7" s="77">
        <f>H7-H6</f>
        <v>-5.1813601158786166E-6</v>
      </c>
      <c r="K7" s="77">
        <v>3.0048445611957471</v>
      </c>
      <c r="L7" s="77">
        <f t="shared" si="2"/>
        <v>-3.004844561195747E-6</v>
      </c>
      <c r="M7" s="77">
        <f t="shared" ref="M7:M37" si="5">L7-L6</f>
        <v>-1.4913497554132705E-6</v>
      </c>
      <c r="N7" s="19"/>
      <c r="O7">
        <v>3</v>
      </c>
      <c r="P7" s="77">
        <v>7.8836254326738882</v>
      </c>
      <c r="Q7" s="77">
        <f t="shared" si="3"/>
        <v>-7.8836254326738877E-6</v>
      </c>
      <c r="R7" s="77">
        <f t="shared" ref="R7:R37" si="6">Q7-Q6</f>
        <v>-5.3143314061675057E-6</v>
      </c>
    </row>
    <row r="8" spans="1:18" x14ac:dyDescent="0.25">
      <c r="A8">
        <v>4</v>
      </c>
      <c r="B8" s="4">
        <v>9.1378752363882416</v>
      </c>
      <c r="C8" s="4">
        <f t="shared" si="0"/>
        <v>-9.1378752363882415E-6</v>
      </c>
      <c r="D8" s="4">
        <f>C8-C7</f>
        <v>-4.6383398595551665E-6</v>
      </c>
      <c r="F8">
        <v>4</v>
      </c>
      <c r="G8" s="77">
        <v>25.863680060638387</v>
      </c>
      <c r="H8" s="77">
        <f t="shared" si="1"/>
        <v>-2.5863680060638387E-5</v>
      </c>
      <c r="I8" s="77">
        <f t="shared" ref="I8:I20" si="7">H8-H7</f>
        <v>-1.8122109848868019E-5</v>
      </c>
      <c r="K8" s="77">
        <v>5.2900914505963632</v>
      </c>
      <c r="L8" s="77">
        <f t="shared" si="2"/>
        <v>-5.2900914505963634E-6</v>
      </c>
      <c r="M8" s="77">
        <f t="shared" si="5"/>
        <v>-2.2852468894006164E-6</v>
      </c>
      <c r="O8">
        <v>4</v>
      </c>
      <c r="P8" s="77">
        <v>26.039245117825352</v>
      </c>
      <c r="Q8" s="77">
        <f t="shared" si="3"/>
        <v>-2.6039245117825352E-5</v>
      </c>
      <c r="R8" s="77">
        <f t="shared" si="6"/>
        <v>-1.8155619685151464E-5</v>
      </c>
    </row>
    <row r="9" spans="1:18" x14ac:dyDescent="0.25">
      <c r="A9">
        <v>5</v>
      </c>
      <c r="B9" s="4">
        <v>15.449602451534176</v>
      </c>
      <c r="C9" s="4">
        <f t="shared" si="0"/>
        <v>-1.5449602451534176E-5</v>
      </c>
      <c r="D9" s="4">
        <f t="shared" si="4"/>
        <v>-6.3117272151459347E-6</v>
      </c>
      <c r="F9">
        <v>5</v>
      </c>
      <c r="G9" s="77">
        <v>56.561352324138248</v>
      </c>
      <c r="H9" s="77">
        <f t="shared" si="1"/>
        <v>-5.6561352324138251E-5</v>
      </c>
      <c r="I9" s="77">
        <f t="shared" si="7"/>
        <v>-3.0697672263499867E-5</v>
      </c>
      <c r="K9" s="77">
        <v>8.5090866770000151</v>
      </c>
      <c r="L9" s="77">
        <f t="shared" si="2"/>
        <v>-8.5090866770000155E-6</v>
      </c>
      <c r="M9" s="77">
        <f t="shared" si="5"/>
        <v>-3.2189952264036521E-6</v>
      </c>
      <c r="O9">
        <v>5</v>
      </c>
      <c r="P9" s="77">
        <v>57.098655527655588</v>
      </c>
      <c r="Q9" s="77">
        <f t="shared" si="3"/>
        <v>-5.7098655527655589E-5</v>
      </c>
      <c r="R9" s="77">
        <f t="shared" si="6"/>
        <v>-3.1059410409830241E-5</v>
      </c>
    </row>
    <row r="10" spans="1:18" x14ac:dyDescent="0.25">
      <c r="A10">
        <v>6</v>
      </c>
      <c r="B10" s="4">
        <v>23.272714909927387</v>
      </c>
      <c r="C10" s="4">
        <f t="shared" si="0"/>
        <v>-2.3272714909927386E-5</v>
      </c>
      <c r="D10" s="4">
        <f t="shared" si="4"/>
        <v>-7.8231124583932103E-6</v>
      </c>
      <c r="F10">
        <v>6</v>
      </c>
      <c r="G10" s="77">
        <v>97.915785046739401</v>
      </c>
      <c r="H10" s="77">
        <f t="shared" si="1"/>
        <v>-9.7915785046739408E-5</v>
      </c>
      <c r="I10" s="77">
        <f t="shared" si="7"/>
        <v>-4.1354432722601157E-5</v>
      </c>
      <c r="K10" s="77">
        <v>12.677666876153804</v>
      </c>
      <c r="L10" s="77">
        <f t="shared" si="2"/>
        <v>-1.2677666876153804E-5</v>
      </c>
      <c r="M10" s="77">
        <f t="shared" si="5"/>
        <v>-4.1685801991537882E-6</v>
      </c>
      <c r="N10" s="63"/>
      <c r="O10">
        <v>6</v>
      </c>
      <c r="P10" s="77">
        <v>99.547568545041358</v>
      </c>
      <c r="Q10" s="77">
        <f t="shared" si="3"/>
        <v>-9.9547568545041356E-5</v>
      </c>
      <c r="R10" s="77">
        <f t="shared" si="6"/>
        <v>-4.2448913017385766E-5</v>
      </c>
    </row>
    <row r="11" spans="1:18" x14ac:dyDescent="0.25">
      <c r="A11">
        <v>7</v>
      </c>
      <c r="B11" s="4">
        <v>32.150514993374046</v>
      </c>
      <c r="C11" s="4">
        <f t="shared" si="0"/>
        <v>-3.2150514993374045E-5</v>
      </c>
      <c r="D11" s="4">
        <f t="shared" si="4"/>
        <v>-8.8778000834466586E-6</v>
      </c>
      <c r="F11" s="1">
        <v>7</v>
      </c>
      <c r="G11" s="79">
        <v>144.26890356211197</v>
      </c>
      <c r="H11" s="79">
        <f t="shared" si="1"/>
        <v>-1.4426890356211198E-4</v>
      </c>
      <c r="I11" s="79">
        <f t="shared" si="7"/>
        <v>-4.6353118515372573E-5</v>
      </c>
      <c r="K11" s="77">
        <v>17.791104888484718</v>
      </c>
      <c r="L11" s="77">
        <f t="shared" si="2"/>
        <v>-1.7791104888484718E-5</v>
      </c>
      <c r="M11" s="77">
        <f t="shared" si="5"/>
        <v>-5.113438012330914E-6</v>
      </c>
      <c r="O11">
        <v>7</v>
      </c>
      <c r="P11" s="79">
        <v>147.74932185758482</v>
      </c>
      <c r="Q11" s="79">
        <f t="shared" si="3"/>
        <v>-1.4774932185758483E-4</v>
      </c>
      <c r="R11" s="79">
        <f t="shared" si="6"/>
        <v>-4.820175331254347E-5</v>
      </c>
    </row>
    <row r="12" spans="1:18" x14ac:dyDescent="0.25">
      <c r="A12">
        <v>8</v>
      </c>
      <c r="B12" s="4">
        <v>43.144214590138226</v>
      </c>
      <c r="C12" s="4">
        <f t="shared" si="0"/>
        <v>-4.3144214590138226E-5</v>
      </c>
      <c r="D12" s="4">
        <f t="shared" si="4"/>
        <v>-1.0993699596764181E-5</v>
      </c>
      <c r="F12">
        <v>8</v>
      </c>
      <c r="G12" s="77">
        <v>188.77812162652776</v>
      </c>
      <c r="H12" s="77">
        <f t="shared" si="1"/>
        <v>-1.8877812162652777E-4</v>
      </c>
      <c r="I12" s="77">
        <f t="shared" si="7"/>
        <v>-4.4509218064415785E-5</v>
      </c>
      <c r="K12" s="77">
        <v>23.837044238376684</v>
      </c>
      <c r="L12" s="77">
        <f t="shared" si="2"/>
        <v>-2.3837044238376684E-5</v>
      </c>
      <c r="M12" s="77">
        <f t="shared" si="5"/>
        <v>-6.0459393498919658E-6</v>
      </c>
      <c r="O12">
        <v>8</v>
      </c>
      <c r="P12" s="77">
        <v>194.91525243351418</v>
      </c>
      <c r="Q12" s="77">
        <f t="shared" si="3"/>
        <v>-1.9491525243351418E-4</v>
      </c>
      <c r="R12" s="77">
        <f t="shared" si="6"/>
        <v>-4.7165930575929357E-5</v>
      </c>
    </row>
    <row r="13" spans="1:18" x14ac:dyDescent="0.25">
      <c r="A13">
        <v>9</v>
      </c>
      <c r="B13" s="4">
        <v>55.107109067669924</v>
      </c>
      <c r="C13" s="4">
        <f t="shared" si="0"/>
        <v>-5.5107109067669927E-5</v>
      </c>
      <c r="D13" s="4">
        <f t="shared" si="4"/>
        <v>-1.1962894477531701E-5</v>
      </c>
      <c r="F13">
        <v>9</v>
      </c>
      <c r="G13" s="77">
        <v>227.10892229939586</v>
      </c>
      <c r="H13" s="77">
        <f t="shared" si="1"/>
        <v>-2.2710892229939585E-4</v>
      </c>
      <c r="I13" s="77">
        <f t="shared" si="7"/>
        <v>-3.8330800672868088E-5</v>
      </c>
      <c r="K13" s="77">
        <v>30.78744980325941</v>
      </c>
      <c r="L13" s="77">
        <f t="shared" si="2"/>
        <v>-3.0787449803259413E-5</v>
      </c>
      <c r="M13" s="77">
        <f t="shared" si="5"/>
        <v>-6.9504055648827293E-6</v>
      </c>
      <c r="O13">
        <v>9</v>
      </c>
      <c r="P13" s="77">
        <v>236.63020046448096</v>
      </c>
      <c r="Q13" s="77">
        <f t="shared" si="3"/>
        <v>-2.3663020046448097E-4</v>
      </c>
      <c r="R13" s="77">
        <f t="shared" si="6"/>
        <v>-4.1714948030966787E-5</v>
      </c>
    </row>
    <row r="14" spans="1:18" x14ac:dyDescent="0.25">
      <c r="A14">
        <v>10</v>
      </c>
      <c r="B14" s="4">
        <v>69.128466293140889</v>
      </c>
      <c r="C14" s="4">
        <f t="shared" si="0"/>
        <v>-6.9128466293140892E-5</v>
      </c>
      <c r="D14" s="4">
        <f t="shared" si="4"/>
        <v>-1.4021357225470965E-5</v>
      </c>
      <c r="F14">
        <v>10</v>
      </c>
      <c r="G14" s="77">
        <v>262.29663669137256</v>
      </c>
      <c r="H14" s="77">
        <f t="shared" si="1"/>
        <v>-2.6229663669137255E-4</v>
      </c>
      <c r="I14" s="77">
        <f t="shared" si="7"/>
        <v>-3.5187714391976701E-5</v>
      </c>
      <c r="K14" s="77">
        <v>38.647249915824567</v>
      </c>
      <c r="L14" s="77">
        <f t="shared" si="2"/>
        <v>-3.8647249915824564E-5</v>
      </c>
      <c r="M14" s="77">
        <f t="shared" si="5"/>
        <v>-7.8598001125651515E-6</v>
      </c>
      <c r="O14">
        <v>10</v>
      </c>
      <c r="P14" s="77">
        <v>274.6524277635794</v>
      </c>
      <c r="Q14" s="77">
        <f t="shared" si="3"/>
        <v>-2.746524277635794E-4</v>
      </c>
      <c r="R14" s="77">
        <f t="shared" si="6"/>
        <v>-3.802222729909843E-5</v>
      </c>
    </row>
    <row r="15" spans="1:18" x14ac:dyDescent="0.25">
      <c r="A15">
        <v>11</v>
      </c>
      <c r="B15" s="4">
        <v>88.578082517192527</v>
      </c>
      <c r="C15" s="4">
        <f t="shared" si="0"/>
        <v>-8.8578082517192533E-5</v>
      </c>
      <c r="D15" s="4">
        <f t="shared" si="4"/>
        <v>-1.9449616224051641E-5</v>
      </c>
      <c r="F15">
        <v>11</v>
      </c>
      <c r="G15" s="77">
        <v>294.40014514249503</v>
      </c>
      <c r="H15" s="77">
        <f t="shared" si="1"/>
        <v>-2.9440014514249503E-4</v>
      </c>
      <c r="I15" s="77">
        <f t="shared" si="7"/>
        <v>-3.2103508451122474E-5</v>
      </c>
      <c r="K15" s="77">
        <v>47.218031497478691</v>
      </c>
      <c r="L15" s="77">
        <f t="shared" si="2"/>
        <v>-4.7218031497478692E-5</v>
      </c>
      <c r="M15" s="77">
        <f t="shared" si="5"/>
        <v>-8.5707815816541273E-6</v>
      </c>
      <c r="O15">
        <v>11</v>
      </c>
      <c r="P15" s="77">
        <v>308.73286981388139</v>
      </c>
      <c r="Q15" s="77">
        <f t="shared" si="3"/>
        <v>-3.0873286981388139E-4</v>
      </c>
      <c r="R15" s="77">
        <f t="shared" si="6"/>
        <v>-3.4080442050301988E-5</v>
      </c>
    </row>
    <row r="16" spans="1:18" x14ac:dyDescent="0.25">
      <c r="A16">
        <v>12</v>
      </c>
      <c r="B16" s="4">
        <v>109.80640268610692</v>
      </c>
      <c r="C16" s="4">
        <f t="shared" si="0"/>
        <v>-1.0980640268610692E-4</v>
      </c>
      <c r="D16" s="4">
        <f t="shared" si="4"/>
        <v>-2.1228320168914392E-5</v>
      </c>
      <c r="F16">
        <v>12</v>
      </c>
      <c r="G16" s="77">
        <v>328.15648531326849</v>
      </c>
      <c r="H16" s="77">
        <f t="shared" si="1"/>
        <v>-3.2815648531326849E-4</v>
      </c>
      <c r="I16" s="77">
        <f t="shared" si="7"/>
        <v>-3.375634017077346E-5</v>
      </c>
      <c r="K16" s="77">
        <v>56.163860146047071</v>
      </c>
      <c r="L16" s="77">
        <f t="shared" si="2"/>
        <v>-5.6163860146047071E-5</v>
      </c>
      <c r="M16" s="77">
        <f t="shared" si="5"/>
        <v>-8.9458286485683791E-6</v>
      </c>
      <c r="O16">
        <v>12</v>
      </c>
      <c r="P16" s="77">
        <v>344.09693794594619</v>
      </c>
      <c r="Q16" s="77">
        <f t="shared" si="3"/>
        <v>-3.4409693794594618E-4</v>
      </c>
      <c r="R16" s="77">
        <f t="shared" si="6"/>
        <v>-3.5364068132064791E-5</v>
      </c>
    </row>
    <row r="17" spans="1:18" x14ac:dyDescent="0.25">
      <c r="A17">
        <v>13</v>
      </c>
      <c r="B17" s="4">
        <v>135.10598180600755</v>
      </c>
      <c r="C17" s="4">
        <f t="shared" si="0"/>
        <v>-1.3510598180600756E-4</v>
      </c>
      <c r="D17" s="4">
        <f t="shared" si="4"/>
        <v>-2.5299579119900638E-5</v>
      </c>
      <c r="F17">
        <v>13</v>
      </c>
      <c r="G17" s="77">
        <v>363.71464818717971</v>
      </c>
      <c r="H17" s="77">
        <f t="shared" si="1"/>
        <v>-3.6371464818717972E-4</v>
      </c>
      <c r="I17" s="77">
        <f t="shared" si="7"/>
        <v>-3.5558162873911231E-5</v>
      </c>
      <c r="K17" s="77">
        <v>66.325045249412412</v>
      </c>
      <c r="L17" s="77">
        <f t="shared" si="2"/>
        <v>-6.6325045249412411E-5</v>
      </c>
      <c r="M17" s="77">
        <f t="shared" si="5"/>
        <v>-1.0161185103365341E-5</v>
      </c>
      <c r="O17">
        <v>13</v>
      </c>
      <c r="P17" s="77">
        <v>381.03679794011549</v>
      </c>
      <c r="Q17" s="77">
        <f>-P17/1000000</f>
        <v>-3.8103679794011547E-4</v>
      </c>
      <c r="R17" s="77">
        <f t="shared" si="6"/>
        <v>-3.6939859994169295E-5</v>
      </c>
    </row>
    <row r="18" spans="1:18" x14ac:dyDescent="0.25">
      <c r="A18">
        <v>14</v>
      </c>
      <c r="B18" s="4">
        <v>162.87945084119795</v>
      </c>
      <c r="C18" s="4">
        <f t="shared" si="0"/>
        <v>-1.6287945084119795E-4</v>
      </c>
      <c r="D18" s="4">
        <f t="shared" si="4"/>
        <v>-2.7773469035190386E-5</v>
      </c>
      <c r="F18">
        <v>14</v>
      </c>
      <c r="G18" s="77">
        <v>401.25813750357997</v>
      </c>
      <c r="H18" s="77">
        <f t="shared" si="1"/>
        <v>-4.0125813750357996E-4</v>
      </c>
      <c r="I18" s="77">
        <f t="shared" si="7"/>
        <v>-3.754348931640024E-5</v>
      </c>
      <c r="K18" s="77">
        <v>76.909567441465853</v>
      </c>
      <c r="L18" s="77">
        <f t="shared" si="2"/>
        <v>-7.690956744146585E-5</v>
      </c>
      <c r="M18" s="77">
        <f t="shared" si="5"/>
        <v>-1.0584522192053439E-5</v>
      </c>
      <c r="O18">
        <v>14</v>
      </c>
      <c r="P18" s="77">
        <v>419.7938129579374</v>
      </c>
      <c r="Q18" s="77">
        <f t="shared" si="3"/>
        <v>-4.1979381295793742E-4</v>
      </c>
      <c r="R18" s="77">
        <f t="shared" si="6"/>
        <v>-3.8757015017821942E-5</v>
      </c>
    </row>
    <row r="19" spans="1:18" x14ac:dyDescent="0.25">
      <c r="A19">
        <v>15</v>
      </c>
      <c r="B19" s="4">
        <v>192.61303110779281</v>
      </c>
      <c r="C19" s="4">
        <f t="shared" si="0"/>
        <v>-1.9261303110779281E-4</v>
      </c>
      <c r="D19" s="4">
        <f t="shared" si="4"/>
        <v>-2.973358026659486E-5</v>
      </c>
      <c r="F19">
        <v>15</v>
      </c>
      <c r="G19" s="77">
        <v>440.21293666188757</v>
      </c>
      <c r="H19" s="77">
        <f t="shared" si="1"/>
        <v>-4.4021293666188758E-4</v>
      </c>
      <c r="I19" s="77">
        <f t="shared" si="7"/>
        <v>-3.8954799158307624E-5</v>
      </c>
      <c r="K19" s="77">
        <v>87.989545922767675</v>
      </c>
      <c r="L19" s="77">
        <f t="shared" si="2"/>
        <v>-8.7989545922767672E-5</v>
      </c>
      <c r="M19" s="77">
        <f t="shared" si="5"/>
        <v>-1.1079978481301822E-5</v>
      </c>
      <c r="O19">
        <v>15</v>
      </c>
      <c r="P19" s="77">
        <v>459.88840886204184</v>
      </c>
      <c r="Q19" s="77">
        <f t="shared" si="3"/>
        <v>-4.5988840886204186E-4</v>
      </c>
      <c r="R19" s="77">
        <f t="shared" si="6"/>
        <v>-4.0094595904104449E-5</v>
      </c>
    </row>
    <row r="20" spans="1:18" x14ac:dyDescent="0.25">
      <c r="A20">
        <v>16</v>
      </c>
      <c r="B20" s="4">
        <v>224.15054621341025</v>
      </c>
      <c r="C20" s="4">
        <f t="shared" si="0"/>
        <v>-2.2415054621341025E-4</v>
      </c>
      <c r="D20" s="4">
        <f t="shared" si="4"/>
        <v>-3.1537515105617441E-5</v>
      </c>
      <c r="F20">
        <v>16</v>
      </c>
      <c r="G20" s="77">
        <v>480.36476408694273</v>
      </c>
      <c r="H20" s="77">
        <f t="shared" si="1"/>
        <v>-4.8036476408694275E-4</v>
      </c>
      <c r="I20" s="77">
        <f t="shared" si="7"/>
        <v>-4.0151827425055164E-5</v>
      </c>
      <c r="K20" s="77">
        <v>99.412004807600539</v>
      </c>
      <c r="L20" s="77">
        <f t="shared" si="2"/>
        <v>-9.9412004807600542E-5</v>
      </c>
      <c r="M20" s="77">
        <f t="shared" si="5"/>
        <v>-1.142245888483287E-5</v>
      </c>
      <c r="O20">
        <v>16</v>
      </c>
      <c r="P20" s="77">
        <v>501.07397529698869</v>
      </c>
      <c r="Q20" s="77">
        <f t="shared" si="3"/>
        <v>-5.0107397529698867E-4</v>
      </c>
      <c r="R20" s="77">
        <f t="shared" si="6"/>
        <v>-4.1185566434946805E-5</v>
      </c>
    </row>
    <row r="21" spans="1:18" x14ac:dyDescent="0.25">
      <c r="A21">
        <v>17</v>
      </c>
      <c r="B21" s="4">
        <v>257.15473153818283</v>
      </c>
      <c r="C21" s="4">
        <f t="shared" si="0"/>
        <v>-2.5715473153818284E-4</v>
      </c>
      <c r="D21" s="4">
        <f t="shared" si="4"/>
        <v>-3.3004185324772588E-5</v>
      </c>
      <c r="F21">
        <v>17</v>
      </c>
      <c r="G21" s="77"/>
      <c r="H21" s="77"/>
      <c r="I21" s="77"/>
      <c r="K21" s="77">
        <v>110.99916672103107</v>
      </c>
      <c r="L21" s="77">
        <f t="shared" si="2"/>
        <v>-1.1099916672103108E-4</v>
      </c>
      <c r="M21" s="77">
        <f t="shared" si="5"/>
        <v>-1.1587161913430535E-5</v>
      </c>
      <c r="O21">
        <v>17</v>
      </c>
      <c r="P21" s="77">
        <v>543.07540445577979</v>
      </c>
      <c r="Q21" s="77">
        <f t="shared" si="3"/>
        <v>-5.4307540445577981E-4</v>
      </c>
      <c r="R21" s="77">
        <f t="shared" si="6"/>
        <v>-4.2001429158791139E-5</v>
      </c>
    </row>
    <row r="22" spans="1:18" x14ac:dyDescent="0.25">
      <c r="A22">
        <v>18</v>
      </c>
      <c r="B22" s="4">
        <v>291.6106443008174</v>
      </c>
      <c r="C22" s="4">
        <f t="shared" si="0"/>
        <v>-2.9161064430081738E-4</v>
      </c>
      <c r="D22" s="4">
        <f t="shared" si="4"/>
        <v>-3.445591276263454E-5</v>
      </c>
      <c r="F22">
        <v>18</v>
      </c>
      <c r="G22" s="77"/>
      <c r="H22" s="77"/>
      <c r="I22" s="77"/>
      <c r="K22" s="77">
        <v>122.81460109769517</v>
      </c>
      <c r="L22" s="77">
        <f t="shared" si="2"/>
        <v>-1.2281460109769517E-4</v>
      </c>
      <c r="M22" s="77">
        <f t="shared" si="5"/>
        <v>-1.1815434376664095E-5</v>
      </c>
      <c r="O22">
        <v>18</v>
      </c>
      <c r="P22" s="77">
        <v>585.39775676890258</v>
      </c>
      <c r="Q22" s="77">
        <f t="shared" si="3"/>
        <v>-5.8539775676890262E-4</v>
      </c>
      <c r="R22" s="77">
        <f t="shared" si="6"/>
        <v>-4.2322352313122814E-5</v>
      </c>
    </row>
    <row r="23" spans="1:18" x14ac:dyDescent="0.25">
      <c r="A23">
        <v>19</v>
      </c>
      <c r="B23" s="4">
        <v>326.01504762290989</v>
      </c>
      <c r="C23" s="4">
        <f t="shared" si="0"/>
        <v>-3.2601504762290988E-4</v>
      </c>
      <c r="D23" s="4">
        <f t="shared" si="4"/>
        <v>-3.4404403322092498E-5</v>
      </c>
      <c r="F23">
        <v>19</v>
      </c>
      <c r="G23" s="77"/>
      <c r="H23" s="77"/>
      <c r="I23" s="77"/>
      <c r="K23" s="77">
        <v>134.63045584029925</v>
      </c>
      <c r="L23" s="77">
        <f t="shared" si="2"/>
        <v>-1.3463045584029924E-4</v>
      </c>
      <c r="M23" s="77">
        <f t="shared" si="5"/>
        <v>-1.1815854742604068E-5</v>
      </c>
      <c r="O23">
        <v>19</v>
      </c>
      <c r="P23" s="77">
        <v>627.76497076167914</v>
      </c>
      <c r="Q23" s="77">
        <f t="shared" si="3"/>
        <v>-6.2776497076167911E-4</v>
      </c>
      <c r="R23" s="77">
        <f t="shared" si="6"/>
        <v>-4.2367213992776484E-5</v>
      </c>
    </row>
    <row r="24" spans="1:18" x14ac:dyDescent="0.25">
      <c r="A24">
        <v>20</v>
      </c>
      <c r="B24" s="4">
        <v>361.82511650329786</v>
      </c>
      <c r="C24" s="4">
        <f t="shared" si="0"/>
        <v>-3.6182511650329787E-4</v>
      </c>
      <c r="D24" s="4">
        <f t="shared" si="4"/>
        <v>-3.581006888038799E-5</v>
      </c>
      <c r="F24">
        <v>20</v>
      </c>
      <c r="G24" s="77"/>
      <c r="H24" s="77"/>
      <c r="I24" s="77"/>
      <c r="K24" s="77">
        <v>146.17048252769146</v>
      </c>
      <c r="L24" s="77">
        <f t="shared" si="2"/>
        <v>-1.4617048252769146E-4</v>
      </c>
      <c r="M24" s="77">
        <f t="shared" si="5"/>
        <v>-1.154002668739222E-5</v>
      </c>
      <c r="O24">
        <v>20</v>
      </c>
      <c r="P24" s="77">
        <v>669.78871133108748</v>
      </c>
      <c r="Q24" s="77">
        <f t="shared" si="3"/>
        <v>-6.697887113310875E-4</v>
      </c>
      <c r="R24" s="77">
        <f t="shared" si="6"/>
        <v>-4.2023740569408397E-5</v>
      </c>
    </row>
    <row r="25" spans="1:18" x14ac:dyDescent="0.25">
      <c r="A25">
        <v>21</v>
      </c>
      <c r="B25" s="4">
        <v>398.92013032941134</v>
      </c>
      <c r="C25" s="4">
        <f t="shared" si="0"/>
        <v>-3.9892013032941136E-4</v>
      </c>
      <c r="D25" s="4">
        <f t="shared" si="4"/>
        <v>-3.7095013826113495E-5</v>
      </c>
      <c r="F25">
        <v>21</v>
      </c>
      <c r="G25" s="77"/>
      <c r="H25" s="77"/>
      <c r="I25" s="77"/>
      <c r="K25" s="77">
        <v>156.97026184464178</v>
      </c>
      <c r="L25" s="77">
        <f t="shared" si="2"/>
        <v>-1.5697026184464179E-4</v>
      </c>
      <c r="M25" s="77">
        <f t="shared" si="5"/>
        <v>-1.0799779316950331E-5</v>
      </c>
      <c r="O25">
        <v>21</v>
      </c>
      <c r="P25" s="77">
        <v>711.51991984253004</v>
      </c>
      <c r="Q25" s="77">
        <f t="shared" si="3"/>
        <v>-7.1151991984253003E-4</v>
      </c>
      <c r="R25" s="77">
        <f t="shared" si="6"/>
        <v>-4.1731208511442525E-5</v>
      </c>
    </row>
    <row r="26" spans="1:18" x14ac:dyDescent="0.25">
      <c r="A26">
        <v>22</v>
      </c>
      <c r="B26" s="4">
        <v>437.4431488884573</v>
      </c>
      <c r="C26" s="4">
        <f t="shared" si="0"/>
        <v>-4.3744314888845731E-4</v>
      </c>
      <c r="D26" s="4">
        <f t="shared" si="4"/>
        <v>-3.8523018559045953E-5</v>
      </c>
      <c r="F26">
        <v>22</v>
      </c>
      <c r="G26" s="77"/>
      <c r="H26" s="77"/>
      <c r="I26" s="77"/>
      <c r="K26" s="77">
        <v>167.32507165299336</v>
      </c>
      <c r="L26" s="77">
        <f t="shared" si="2"/>
        <v>-1.6732507165299337E-4</v>
      </c>
      <c r="M26" s="77">
        <f t="shared" si="5"/>
        <v>-1.0354809808351577E-5</v>
      </c>
      <c r="O26">
        <v>22</v>
      </c>
      <c r="P26" s="77">
        <v>753.13794363308739</v>
      </c>
      <c r="Q26" s="77">
        <f t="shared" si="3"/>
        <v>-7.5313794363308744E-4</v>
      </c>
      <c r="R26" s="77">
        <f t="shared" si="6"/>
        <v>-4.1618023790557408E-5</v>
      </c>
    </row>
    <row r="27" spans="1:18" x14ac:dyDescent="0.25">
      <c r="A27">
        <v>23</v>
      </c>
      <c r="B27" s="4">
        <v>476.9906730685438</v>
      </c>
      <c r="C27" s="4">
        <f t="shared" si="0"/>
        <v>-4.7699067306854382E-4</v>
      </c>
      <c r="D27" s="4">
        <f t="shared" si="4"/>
        <v>-3.9547524180086509E-5</v>
      </c>
      <c r="F27">
        <v>23</v>
      </c>
      <c r="G27" s="77"/>
      <c r="H27" s="77"/>
      <c r="I27" s="77"/>
      <c r="K27" s="77">
        <v>177.56929049991169</v>
      </c>
      <c r="L27" s="77">
        <f t="shared" si="2"/>
        <v>-1.7756929049991168E-4</v>
      </c>
      <c r="M27" s="77">
        <f t="shared" si="5"/>
        <v>-1.0244218846918308E-5</v>
      </c>
      <c r="O27">
        <v>23</v>
      </c>
      <c r="P27" s="77">
        <v>794.75606721140537</v>
      </c>
      <c r="Q27" s="77">
        <f t="shared" si="3"/>
        <v>-7.9475606721140536E-4</v>
      </c>
      <c r="R27" s="77">
        <f t="shared" si="6"/>
        <v>-4.1618123578317928E-5</v>
      </c>
    </row>
    <row r="28" spans="1:18" x14ac:dyDescent="0.25">
      <c r="A28">
        <v>24</v>
      </c>
      <c r="B28" s="4">
        <v>517.14277538583588</v>
      </c>
      <c r="C28" s="4">
        <f t="shared" si="0"/>
        <v>-5.1714277538583589E-4</v>
      </c>
      <c r="D28" s="4">
        <f t="shared" si="4"/>
        <v>-4.0152102317292067E-5</v>
      </c>
      <c r="F28">
        <v>24</v>
      </c>
      <c r="G28" s="77"/>
      <c r="H28" s="77"/>
      <c r="I28" s="77"/>
      <c r="K28" s="77">
        <v>187.46439798520791</v>
      </c>
      <c r="L28" s="77">
        <f t="shared" si="2"/>
        <v>-1.8746439798520792E-4</v>
      </c>
      <c r="M28" s="77">
        <f t="shared" si="5"/>
        <v>-9.8951074852962433E-6</v>
      </c>
      <c r="O28">
        <v>24</v>
      </c>
      <c r="P28" s="77">
        <v>836.15101730669289</v>
      </c>
      <c r="Q28" s="77">
        <f t="shared" si="3"/>
        <v>-8.361510173066929E-4</v>
      </c>
      <c r="R28" s="77">
        <f t="shared" si="6"/>
        <v>-4.1394950095287536E-5</v>
      </c>
    </row>
    <row r="29" spans="1:18" x14ac:dyDescent="0.25">
      <c r="A29">
        <v>25</v>
      </c>
      <c r="B29" s="4">
        <v>558.07097031206126</v>
      </c>
      <c r="C29" s="4">
        <f t="shared" si="0"/>
        <v>-5.5807097031206131E-4</v>
      </c>
      <c r="D29" s="4">
        <f t="shared" si="4"/>
        <v>-4.0928194926225414E-5</v>
      </c>
      <c r="F29">
        <v>25</v>
      </c>
      <c r="G29" s="77"/>
      <c r="H29" s="77"/>
      <c r="I29" s="77"/>
      <c r="K29" s="77">
        <v>196.73593466778189</v>
      </c>
      <c r="L29" s="77">
        <f t="shared" si="2"/>
        <v>-1.9673593466778188E-4</v>
      </c>
      <c r="M29" s="77">
        <f t="shared" si="5"/>
        <v>-9.2715366825739647E-6</v>
      </c>
      <c r="O29">
        <v>25</v>
      </c>
      <c r="P29" s="77">
        <v>877.16503508611549</v>
      </c>
      <c r="Q29" s="77">
        <f t="shared" si="3"/>
        <v>-8.771650350861155E-4</v>
      </c>
      <c r="R29" s="77">
        <f t="shared" si="6"/>
        <v>-4.1014017779422598E-5</v>
      </c>
    </row>
    <row r="30" spans="1:18" x14ac:dyDescent="0.25">
      <c r="A30">
        <v>26</v>
      </c>
      <c r="B30" s="4">
        <v>599.99915366687844</v>
      </c>
      <c r="C30" s="4">
        <f t="shared" si="0"/>
        <v>-5.9999915366687842E-4</v>
      </c>
      <c r="D30" s="4">
        <f t="shared" si="4"/>
        <v>-4.1928183354817111E-5</v>
      </c>
      <c r="F30">
        <v>26</v>
      </c>
      <c r="G30" s="77"/>
      <c r="H30" s="77"/>
      <c r="I30" s="77"/>
      <c r="K30" s="77">
        <v>205.72530644249736</v>
      </c>
      <c r="L30" s="77">
        <f t="shared" si="2"/>
        <v>-2.0572530644249735E-4</v>
      </c>
      <c r="M30" s="77">
        <f t="shared" si="5"/>
        <v>-8.9893717747154694E-6</v>
      </c>
      <c r="O30">
        <v>26</v>
      </c>
      <c r="P30" s="77">
        <v>917.79837853380479</v>
      </c>
      <c r="Q30" s="77">
        <f t="shared" si="3"/>
        <v>-9.1779837853380483E-4</v>
      </c>
      <c r="R30" s="77">
        <f t="shared" si="6"/>
        <v>-4.0633343447689331E-5</v>
      </c>
    </row>
    <row r="31" spans="1:18" x14ac:dyDescent="0.25">
      <c r="A31">
        <v>27</v>
      </c>
      <c r="B31" s="4"/>
      <c r="C31" s="4"/>
      <c r="D31" s="4"/>
      <c r="F31">
        <v>27</v>
      </c>
      <c r="G31" s="77"/>
      <c r="H31" s="77"/>
      <c r="I31" s="77"/>
      <c r="K31" s="77">
        <v>214.53657370683533</v>
      </c>
      <c r="L31" s="77">
        <f t="shared" si="2"/>
        <v>-2.1453657370683533E-4</v>
      </c>
      <c r="M31" s="77">
        <f t="shared" si="5"/>
        <v>-8.8112672643379743E-6</v>
      </c>
      <c r="O31">
        <v>27</v>
      </c>
      <c r="P31" s="77">
        <v>958.01649462132229</v>
      </c>
      <c r="Q31" s="77">
        <f t="shared" si="3"/>
        <v>-9.5801649462132232E-4</v>
      </c>
      <c r="R31" s="77">
        <f t="shared" si="6"/>
        <v>-4.0218116087517488E-5</v>
      </c>
    </row>
    <row r="32" spans="1:18" x14ac:dyDescent="0.25">
      <c r="A32">
        <v>28</v>
      </c>
      <c r="B32" s="4"/>
      <c r="C32" s="4"/>
      <c r="D32" s="4"/>
      <c r="F32">
        <v>28</v>
      </c>
      <c r="G32" s="79"/>
      <c r="H32" s="77"/>
      <c r="I32" s="77"/>
      <c r="K32" s="77">
        <v>222.58868628739762</v>
      </c>
      <c r="L32" s="77">
        <f t="shared" si="2"/>
        <v>-2.2258868628739762E-4</v>
      </c>
      <c r="M32" s="77">
        <f t="shared" si="5"/>
        <v>-8.0521125805622874E-6</v>
      </c>
      <c r="O32">
        <v>28</v>
      </c>
      <c r="P32" s="79">
        <v>997.80199622551481</v>
      </c>
      <c r="Q32" s="79">
        <f t="shared" si="3"/>
        <v>-9.9780199622551483E-4</v>
      </c>
      <c r="R32" s="77">
        <f t="shared" si="6"/>
        <v>-3.9785501604192508E-5</v>
      </c>
    </row>
    <row r="33" spans="1:18" x14ac:dyDescent="0.25">
      <c r="A33">
        <v>29</v>
      </c>
      <c r="B33" s="4"/>
      <c r="C33" s="4"/>
      <c r="D33" s="4"/>
      <c r="F33">
        <v>29</v>
      </c>
      <c r="G33" s="77"/>
      <c r="H33" s="77"/>
      <c r="I33" s="77"/>
      <c r="K33" s="77">
        <v>230.39428341149912</v>
      </c>
      <c r="L33" s="77">
        <f t="shared" si="2"/>
        <v>-2.3039428341149911E-4</v>
      </c>
      <c r="M33" s="77">
        <f t="shared" si="5"/>
        <v>-7.8055971241014911E-6</v>
      </c>
      <c r="O33">
        <v>29</v>
      </c>
      <c r="P33" s="77">
        <v>1037.1377189626764</v>
      </c>
      <c r="Q33" s="77">
        <f t="shared" si="3"/>
        <v>-1.0371377189626765E-3</v>
      </c>
      <c r="R33" s="77">
        <f t="shared" si="6"/>
        <v>-3.9335722737161719E-5</v>
      </c>
    </row>
    <row r="34" spans="1:18" x14ac:dyDescent="0.25">
      <c r="A34">
        <v>30</v>
      </c>
      <c r="B34" s="4"/>
      <c r="C34" s="4"/>
      <c r="D34" s="4"/>
      <c r="F34">
        <v>30</v>
      </c>
      <c r="G34" s="79"/>
      <c r="H34" s="79"/>
      <c r="I34" s="77"/>
      <c r="K34" s="77">
        <v>237.70270703235124</v>
      </c>
      <c r="L34" s="77">
        <f t="shared" si="2"/>
        <v>-2.3770270703235124E-4</v>
      </c>
      <c r="M34" s="77">
        <f t="shared" si="5"/>
        <v>-7.3084236208521337E-6</v>
      </c>
      <c r="O34">
        <v>30</v>
      </c>
      <c r="P34" s="79">
        <v>1075.9357788804753</v>
      </c>
      <c r="Q34" s="79">
        <f t="shared" si="3"/>
        <v>-1.0759357788804752E-3</v>
      </c>
      <c r="R34" s="77">
        <f t="shared" si="6"/>
        <v>-3.8798059917798632E-5</v>
      </c>
    </row>
    <row r="35" spans="1:18" x14ac:dyDescent="0.25">
      <c r="A35">
        <v>31</v>
      </c>
      <c r="B35" s="4"/>
      <c r="C35" s="4"/>
      <c r="D35" s="4"/>
      <c r="F35">
        <v>31</v>
      </c>
      <c r="G35" s="77"/>
      <c r="H35" s="77"/>
      <c r="I35" s="77"/>
      <c r="K35" s="77">
        <v>244.46518741865486</v>
      </c>
      <c r="L35" s="77">
        <f t="shared" si="2"/>
        <v>-2.4446518741865484E-4</v>
      </c>
      <c r="M35" s="77">
        <f t="shared" si="5"/>
        <v>-6.7624803863035993E-6</v>
      </c>
      <c r="O35">
        <v>31</v>
      </c>
      <c r="P35" s="77">
        <v>1113.8789694475354</v>
      </c>
      <c r="Q35" s="77">
        <f t="shared" si="3"/>
        <v>-1.1138789694475355E-3</v>
      </c>
      <c r="R35" s="77">
        <f t="shared" si="6"/>
        <v>-3.7943190567060314E-5</v>
      </c>
    </row>
    <row r="36" spans="1:18" x14ac:dyDescent="0.25">
      <c r="A36">
        <v>32</v>
      </c>
      <c r="B36" s="4"/>
      <c r="C36" s="4"/>
      <c r="D36" s="4"/>
      <c r="F36">
        <v>32</v>
      </c>
      <c r="G36" s="79"/>
      <c r="H36" s="79"/>
      <c r="I36" s="77"/>
      <c r="K36" s="77">
        <v>251.03998209338204</v>
      </c>
      <c r="L36" s="77">
        <f t="shared" si="2"/>
        <v>-2.5103998209338203E-4</v>
      </c>
      <c r="M36" s="77">
        <f t="shared" si="5"/>
        <v>-6.5747946747271948E-6</v>
      </c>
      <c r="O36">
        <v>32</v>
      </c>
      <c r="P36" s="79">
        <v>1151.1308674327861</v>
      </c>
      <c r="Q36" s="79">
        <f t="shared" si="3"/>
        <v>-1.1511308674327862E-3</v>
      </c>
      <c r="R36" s="77">
        <f t="shared" si="6"/>
        <v>-3.7251897985250693E-5</v>
      </c>
    </row>
    <row r="37" spans="1:18" x14ac:dyDescent="0.25">
      <c r="A37">
        <v>33</v>
      </c>
      <c r="B37" s="4"/>
      <c r="C37" s="4"/>
      <c r="D37" s="4"/>
      <c r="F37">
        <v>33</v>
      </c>
      <c r="G37" s="77"/>
      <c r="H37" s="77"/>
      <c r="I37" s="77"/>
      <c r="K37" s="77">
        <v>256.72543644307717</v>
      </c>
      <c r="L37" s="77">
        <f t="shared" ref="L37:L68" si="8">-K37/1000000</f>
        <v>-2.5672543644307717E-4</v>
      </c>
      <c r="M37" s="77">
        <f t="shared" si="5"/>
        <v>-5.6854543496951391E-6</v>
      </c>
      <c r="O37">
        <v>33</v>
      </c>
      <c r="P37" s="77">
        <v>1187.7270313920894</v>
      </c>
      <c r="Q37" s="77">
        <f t="shared" ref="Q37:Q68" si="9">-P37/1000000</f>
        <v>-1.1877270313920894E-3</v>
      </c>
      <c r="R37" s="77">
        <f t="shared" si="6"/>
        <v>-3.6596163959303233E-5</v>
      </c>
    </row>
    <row r="38" spans="1:18" x14ac:dyDescent="0.25">
      <c r="A38">
        <v>34</v>
      </c>
      <c r="B38" s="4"/>
      <c r="C38" s="4"/>
      <c r="D38" s="4"/>
      <c r="F38">
        <v>34</v>
      </c>
      <c r="G38" s="77"/>
      <c r="H38" s="77"/>
      <c r="I38" s="77"/>
      <c r="K38" s="77">
        <v>262.65837842611319</v>
      </c>
      <c r="L38" s="77">
        <f t="shared" si="8"/>
        <v>-2.6265837842611318E-4</v>
      </c>
      <c r="M38" s="77">
        <f t="shared" ref="M38:M69" si="10">L38-L37</f>
        <v>-5.9329419830360039E-6</v>
      </c>
      <c r="O38">
        <v>34</v>
      </c>
      <c r="P38" s="77">
        <v>1223.4616826718668</v>
      </c>
      <c r="Q38" s="77">
        <f t="shared" si="9"/>
        <v>-1.2234616826718669E-3</v>
      </c>
      <c r="R38" s="77">
        <f t="shared" ref="R38:R69" si="11">Q38-Q37</f>
        <v>-3.5734651279777443E-5</v>
      </c>
    </row>
    <row r="39" spans="1:18" x14ac:dyDescent="0.25">
      <c r="A39">
        <v>35</v>
      </c>
      <c r="B39" s="4"/>
      <c r="C39" s="4"/>
      <c r="D39" s="4"/>
      <c r="F39">
        <v>35</v>
      </c>
      <c r="G39" s="77"/>
      <c r="H39" s="77"/>
      <c r="I39" s="77"/>
      <c r="K39" s="77">
        <v>267.77963247033313</v>
      </c>
      <c r="L39" s="77">
        <f t="shared" si="8"/>
        <v>-2.677796324703331E-4</v>
      </c>
      <c r="M39" s="77">
        <f t="shared" si="10"/>
        <v>-5.1212540442199263E-6</v>
      </c>
      <c r="O39">
        <v>35</v>
      </c>
      <c r="P39" s="77">
        <v>1258.5270375608911</v>
      </c>
      <c r="Q39" s="77">
        <f t="shared" si="9"/>
        <v>-1.2585270375608912E-3</v>
      </c>
      <c r="R39" s="77">
        <f t="shared" si="11"/>
        <v>-3.506535488902434E-5</v>
      </c>
    </row>
    <row r="40" spans="1:18" x14ac:dyDescent="0.25">
      <c r="A40">
        <v>36</v>
      </c>
      <c r="B40" s="4"/>
      <c r="C40" s="4"/>
      <c r="D40" s="4"/>
      <c r="F40">
        <v>36</v>
      </c>
      <c r="G40" s="77"/>
      <c r="H40" s="77"/>
      <c r="I40" s="77"/>
      <c r="K40" s="77">
        <v>272.81998513170544</v>
      </c>
      <c r="L40" s="77">
        <f t="shared" si="8"/>
        <v>-2.7281998513170542E-4</v>
      </c>
      <c r="M40" s="77">
        <f t="shared" si="10"/>
        <v>-5.0403526613723194E-6</v>
      </c>
      <c r="O40">
        <v>36</v>
      </c>
      <c r="P40" s="77">
        <v>1292.8955204729846</v>
      </c>
      <c r="Q40" s="77">
        <f t="shared" si="9"/>
        <v>-1.2928955204729847E-3</v>
      </c>
      <c r="R40" s="77">
        <f t="shared" si="11"/>
        <v>-3.4368482912093459E-5</v>
      </c>
    </row>
    <row r="41" spans="1:18" x14ac:dyDescent="0.25">
      <c r="A41">
        <v>37</v>
      </c>
      <c r="B41" s="4"/>
      <c r="C41" s="4"/>
      <c r="D41" s="4"/>
      <c r="F41">
        <v>37</v>
      </c>
      <c r="G41" s="77"/>
      <c r="H41" s="77"/>
      <c r="I41" s="77"/>
      <c r="K41" s="77">
        <v>277.06900295023115</v>
      </c>
      <c r="L41" s="77">
        <f t="shared" si="8"/>
        <v>-2.7706900295023116E-4</v>
      </c>
      <c r="M41" s="77">
        <f t="shared" si="10"/>
        <v>-4.249017818525741E-6</v>
      </c>
      <c r="O41">
        <v>37</v>
      </c>
      <c r="P41" s="77">
        <v>1326.6011913189377</v>
      </c>
      <c r="Q41" s="77">
        <f t="shared" si="9"/>
        <v>-1.3266011913189376E-3</v>
      </c>
      <c r="R41" s="77">
        <f t="shared" si="11"/>
        <v>-3.3705670845952983E-5</v>
      </c>
    </row>
    <row r="42" spans="1:18" x14ac:dyDescent="0.25">
      <c r="A42">
        <v>38</v>
      </c>
      <c r="B42" s="4"/>
      <c r="C42" s="4"/>
      <c r="D42" s="4"/>
      <c r="F42">
        <v>38</v>
      </c>
      <c r="G42" s="77"/>
      <c r="H42" s="77"/>
      <c r="I42" s="77"/>
      <c r="K42" s="77">
        <v>281.73694236958681</v>
      </c>
      <c r="L42" s="77">
        <f t="shared" si="8"/>
        <v>-2.8173694236958681E-4</v>
      </c>
      <c r="M42" s="77">
        <f t="shared" si="10"/>
        <v>-4.6679394193556477E-6</v>
      </c>
      <c r="O42">
        <v>38</v>
      </c>
      <c r="P42" s="77">
        <v>1359.7171728357596</v>
      </c>
      <c r="Q42" s="77">
        <f t="shared" si="9"/>
        <v>-1.3597171728357597E-3</v>
      </c>
      <c r="R42" s="77">
        <f t="shared" si="11"/>
        <v>-3.3115981516822039E-5</v>
      </c>
    </row>
    <row r="43" spans="1:18" x14ac:dyDescent="0.25">
      <c r="A43">
        <v>39</v>
      </c>
      <c r="B43" s="4"/>
      <c r="C43" s="4"/>
      <c r="D43" s="4"/>
      <c r="F43">
        <v>39</v>
      </c>
      <c r="G43" s="77"/>
      <c r="H43" s="77"/>
      <c r="I43" s="77"/>
      <c r="K43" s="77">
        <v>285.59348090150803</v>
      </c>
      <c r="L43" s="77">
        <f t="shared" si="8"/>
        <v>-2.8559348090150802E-4</v>
      </c>
      <c r="M43" s="77">
        <f t="shared" si="10"/>
        <v>-3.8565385319212038E-6</v>
      </c>
      <c r="O43">
        <v>39</v>
      </c>
      <c r="P43" s="77">
        <v>1392.3007453816597</v>
      </c>
      <c r="Q43" s="77">
        <f t="shared" si="9"/>
        <v>-1.3923007453816598E-3</v>
      </c>
      <c r="R43" s="77">
        <f t="shared" si="11"/>
        <v>-3.2583572545900105E-5</v>
      </c>
    </row>
    <row r="44" spans="1:18" x14ac:dyDescent="0.25">
      <c r="A44">
        <v>40</v>
      </c>
      <c r="B44" s="4"/>
      <c r="C44" s="4"/>
      <c r="D44" s="4"/>
      <c r="F44">
        <v>40</v>
      </c>
      <c r="G44" s="77"/>
      <c r="H44" s="77"/>
      <c r="I44" s="77"/>
      <c r="K44" s="77">
        <v>289.13184631566708</v>
      </c>
      <c r="L44" s="77">
        <f t="shared" si="8"/>
        <v>-2.8913184631566705E-4</v>
      </c>
      <c r="M44" s="77">
        <f t="shared" si="10"/>
        <v>-3.5383654141590338E-6</v>
      </c>
      <c r="O44">
        <v>40</v>
      </c>
      <c r="P44" s="77">
        <v>1424.4877152613901</v>
      </c>
      <c r="Q44" s="77">
        <f t="shared" si="9"/>
        <v>-1.4244877152613902E-3</v>
      </c>
      <c r="R44" s="77">
        <f t="shared" si="11"/>
        <v>-3.2186969879730368E-5</v>
      </c>
    </row>
    <row r="45" spans="1:18" x14ac:dyDescent="0.25">
      <c r="A45">
        <v>41</v>
      </c>
      <c r="B45" s="4"/>
      <c r="C45" s="4"/>
      <c r="D45" s="4"/>
      <c r="F45">
        <v>41</v>
      </c>
      <c r="G45" s="77"/>
      <c r="H45" s="77"/>
      <c r="I45" s="77"/>
      <c r="K45" s="77">
        <v>292.74759723015779</v>
      </c>
      <c r="L45" s="77">
        <f t="shared" si="8"/>
        <v>-2.9274759723015779E-4</v>
      </c>
      <c r="M45" s="77">
        <f t="shared" si="10"/>
        <v>-3.6157509144907427E-6</v>
      </c>
      <c r="O45">
        <v>41</v>
      </c>
      <c r="P45" s="77">
        <v>1456.3578452687179</v>
      </c>
      <c r="Q45" s="77">
        <f t="shared" si="9"/>
        <v>-1.456357845268718E-3</v>
      </c>
      <c r="R45" s="77">
        <f t="shared" si="11"/>
        <v>-3.1870130007327852E-5</v>
      </c>
    </row>
    <row r="46" spans="1:18" x14ac:dyDescent="0.25">
      <c r="A46">
        <v>42</v>
      </c>
      <c r="B46" s="4"/>
      <c r="C46" s="4"/>
      <c r="D46" s="4"/>
      <c r="F46">
        <v>42</v>
      </c>
      <c r="G46" s="77"/>
      <c r="H46" s="77"/>
      <c r="I46" s="77"/>
      <c r="K46" s="77">
        <v>296.11395472747068</v>
      </c>
      <c r="L46" s="77">
        <f t="shared" si="8"/>
        <v>-2.9611395472747067E-4</v>
      </c>
      <c r="M46" s="77">
        <f t="shared" si="10"/>
        <v>-3.3663574973128753E-6</v>
      </c>
      <c r="O46">
        <v>42</v>
      </c>
      <c r="P46" s="77">
        <v>1487.4086416891967</v>
      </c>
      <c r="Q46" s="77">
        <f t="shared" si="9"/>
        <v>-1.4874086416891967E-3</v>
      </c>
      <c r="R46" s="77">
        <f t="shared" si="11"/>
        <v>-3.1050796420478742E-5</v>
      </c>
    </row>
    <row r="47" spans="1:18" x14ac:dyDescent="0.25">
      <c r="A47">
        <v>43</v>
      </c>
      <c r="B47" s="4"/>
      <c r="C47" s="4"/>
      <c r="D47" s="4"/>
      <c r="F47">
        <v>43</v>
      </c>
      <c r="G47" s="77"/>
      <c r="H47" s="77"/>
      <c r="I47" s="77"/>
      <c r="K47" s="77">
        <v>299.13442572409878</v>
      </c>
      <c r="L47" s="77">
        <f t="shared" si="8"/>
        <v>-2.9913442572409877E-4</v>
      </c>
      <c r="M47" s="77">
        <f t="shared" si="10"/>
        <v>-3.0204709966281007E-6</v>
      </c>
      <c r="O47">
        <v>43</v>
      </c>
      <c r="P47" s="77">
        <v>1517.8894148928853</v>
      </c>
      <c r="Q47" s="77">
        <f t="shared" si="9"/>
        <v>-1.5178894148928854E-3</v>
      </c>
      <c r="R47" s="77">
        <f t="shared" si="11"/>
        <v>-3.0480773203688622E-5</v>
      </c>
    </row>
    <row r="48" spans="1:18" x14ac:dyDescent="0.25">
      <c r="A48">
        <v>44</v>
      </c>
      <c r="B48" s="4"/>
      <c r="C48" s="4"/>
      <c r="D48" s="4"/>
      <c r="F48">
        <v>44</v>
      </c>
      <c r="G48" s="77"/>
      <c r="H48" s="77"/>
      <c r="I48" s="77"/>
      <c r="K48" s="77">
        <v>301.91804088531273</v>
      </c>
      <c r="L48" s="77">
        <f t="shared" si="8"/>
        <v>-3.0191804088531275E-4</v>
      </c>
      <c r="M48" s="77">
        <f t="shared" si="10"/>
        <v>-2.7836151612139776E-6</v>
      </c>
      <c r="O48">
        <v>44</v>
      </c>
      <c r="P48" s="77">
        <v>1547.6963749982053</v>
      </c>
      <c r="Q48" s="77">
        <f t="shared" si="9"/>
        <v>-1.5476963749982053E-3</v>
      </c>
      <c r="R48" s="77">
        <f t="shared" si="11"/>
        <v>-2.980696010531996E-5</v>
      </c>
    </row>
    <row r="49" spans="1:18" x14ac:dyDescent="0.25">
      <c r="A49">
        <v>45</v>
      </c>
      <c r="B49" s="4"/>
      <c r="C49" s="4"/>
      <c r="D49" s="4"/>
      <c r="F49">
        <v>45</v>
      </c>
      <c r="G49" s="77"/>
      <c r="H49" s="77"/>
      <c r="I49" s="77"/>
      <c r="K49" s="77">
        <v>304.39957653541785</v>
      </c>
      <c r="L49" s="77">
        <f t="shared" si="8"/>
        <v>-3.0439957653541783E-4</v>
      </c>
      <c r="M49" s="77">
        <f t="shared" si="10"/>
        <v>-2.4815356501050874E-6</v>
      </c>
      <c r="O49">
        <v>45</v>
      </c>
      <c r="P49" s="77">
        <v>1576.9398285942329</v>
      </c>
      <c r="Q49" s="77">
        <f t="shared" si="9"/>
        <v>-1.576939828594233E-3</v>
      </c>
      <c r="R49" s="77">
        <f t="shared" si="11"/>
        <v>-2.9243453596027686E-5</v>
      </c>
    </row>
    <row r="50" spans="1:18" x14ac:dyDescent="0.25">
      <c r="A50">
        <v>46</v>
      </c>
      <c r="B50" s="4"/>
      <c r="C50" s="4"/>
      <c r="D50" s="4"/>
      <c r="F50">
        <v>46</v>
      </c>
      <c r="G50" s="77"/>
      <c r="H50" s="77"/>
      <c r="I50" s="77"/>
      <c r="K50" s="77">
        <v>307.17200581982036</v>
      </c>
      <c r="L50" s="77">
        <f t="shared" si="8"/>
        <v>-3.0717200581982035E-4</v>
      </c>
      <c r="M50" s="77">
        <f t="shared" si="10"/>
        <v>-2.7724292844025201E-6</v>
      </c>
      <c r="O50">
        <v>46</v>
      </c>
      <c r="P50" s="77">
        <v>1605.5517646037624</v>
      </c>
      <c r="Q50" s="77">
        <f t="shared" si="9"/>
        <v>-1.6055517646037624E-3</v>
      </c>
      <c r="R50" s="77">
        <f t="shared" si="11"/>
        <v>-2.8611936009529434E-5</v>
      </c>
    </row>
    <row r="51" spans="1:18" x14ac:dyDescent="0.25">
      <c r="A51">
        <v>47</v>
      </c>
      <c r="B51" s="4"/>
      <c r="C51" s="4">
        <f t="shared" ref="C51:C68" si="12">-B51/1000000</f>
        <v>0</v>
      </c>
      <c r="D51" s="4">
        <f t="shared" ref="D51:D63" si="13">C51-C50</f>
        <v>0</v>
      </c>
      <c r="F51">
        <v>47</v>
      </c>
      <c r="G51" s="77"/>
      <c r="H51" s="77"/>
      <c r="I51" s="77"/>
      <c r="K51" s="77">
        <v>309.18784886714764</v>
      </c>
      <c r="L51" s="77">
        <f t="shared" si="8"/>
        <v>-3.0918784886714763E-4</v>
      </c>
      <c r="M51" s="77">
        <f t="shared" si="10"/>
        <v>-2.0158430473272743E-6</v>
      </c>
      <c r="O51">
        <v>47</v>
      </c>
      <c r="P51" s="77">
        <v>1633.6280910516707</v>
      </c>
      <c r="Q51" s="77">
        <f t="shared" si="9"/>
        <v>-1.6336280910516708E-3</v>
      </c>
      <c r="R51" s="77">
        <f t="shared" si="11"/>
        <v>-2.8076326447908345E-5</v>
      </c>
    </row>
    <row r="52" spans="1:18" x14ac:dyDescent="0.25">
      <c r="A52">
        <v>48</v>
      </c>
      <c r="B52" s="4"/>
      <c r="C52" s="4">
        <f t="shared" si="12"/>
        <v>0</v>
      </c>
      <c r="D52" s="4">
        <f t="shared" si="13"/>
        <v>0</v>
      </c>
      <c r="F52">
        <v>48</v>
      </c>
      <c r="G52" s="77"/>
      <c r="H52" s="77"/>
      <c r="I52" s="77"/>
      <c r="K52" s="77">
        <v>311.52387474160975</v>
      </c>
      <c r="L52" s="77">
        <f t="shared" si="8"/>
        <v>-3.1152387474160973E-4</v>
      </c>
      <c r="M52" s="77">
        <f t="shared" si="10"/>
        <v>-2.3360258744621045E-6</v>
      </c>
      <c r="O52">
        <v>48</v>
      </c>
      <c r="P52" s="77">
        <v>1661.1786067919772</v>
      </c>
      <c r="Q52" s="77">
        <f t="shared" si="9"/>
        <v>-1.6611786067919773E-3</v>
      </c>
      <c r="R52" s="77">
        <f t="shared" si="11"/>
        <v>-2.7550515740306465E-5</v>
      </c>
    </row>
    <row r="53" spans="1:18" x14ac:dyDescent="0.25">
      <c r="A53">
        <v>49</v>
      </c>
      <c r="B53" s="4"/>
      <c r="C53" s="4">
        <f t="shared" si="12"/>
        <v>0</v>
      </c>
      <c r="D53" s="4">
        <f t="shared" si="13"/>
        <v>0</v>
      </c>
      <c r="F53">
        <v>49</v>
      </c>
      <c r="G53" s="77"/>
      <c r="H53" s="77"/>
      <c r="I53" s="77"/>
      <c r="K53" s="77">
        <v>313.63296032941957</v>
      </c>
      <c r="L53" s="77">
        <f t="shared" si="8"/>
        <v>-3.1363296032941955E-4</v>
      </c>
      <c r="M53" s="77">
        <f t="shared" si="10"/>
        <v>-2.1090855878098187E-6</v>
      </c>
      <c r="O53">
        <v>49</v>
      </c>
      <c r="P53" s="77">
        <v>1688.3650303652498</v>
      </c>
      <c r="Q53" s="77">
        <f t="shared" si="9"/>
        <v>-1.6883650303652499E-3</v>
      </c>
      <c r="R53" s="77">
        <f t="shared" si="11"/>
        <v>-2.7186423573272601E-5</v>
      </c>
    </row>
    <row r="54" spans="1:18" x14ac:dyDescent="0.25">
      <c r="A54">
        <v>50</v>
      </c>
      <c r="B54" s="4"/>
      <c r="C54" s="4">
        <f t="shared" si="12"/>
        <v>0</v>
      </c>
      <c r="D54" s="4">
        <f t="shared" si="13"/>
        <v>0</v>
      </c>
      <c r="F54">
        <v>50</v>
      </c>
      <c r="G54" s="77"/>
      <c r="H54" s="77"/>
      <c r="I54" s="77"/>
      <c r="K54" s="77">
        <v>315.55992184484245</v>
      </c>
      <c r="L54" s="77">
        <f t="shared" si="8"/>
        <v>-3.1555992184484246E-4</v>
      </c>
      <c r="M54" s="77">
        <f t="shared" si="10"/>
        <v>-1.9269615154229132E-6</v>
      </c>
      <c r="O54">
        <v>50</v>
      </c>
      <c r="P54" s="77">
        <v>1714.9945735838241</v>
      </c>
      <c r="Q54" s="77">
        <f t="shared" si="9"/>
        <v>-1.7149945735838242E-3</v>
      </c>
      <c r="R54" s="77">
        <f t="shared" si="11"/>
        <v>-2.6629543218574308E-5</v>
      </c>
    </row>
    <row r="55" spans="1:18" x14ac:dyDescent="0.25">
      <c r="A55">
        <v>51</v>
      </c>
      <c r="B55" s="78"/>
      <c r="C55" s="78">
        <f t="shared" si="12"/>
        <v>0</v>
      </c>
      <c r="D55" s="4">
        <f t="shared" si="13"/>
        <v>0</v>
      </c>
      <c r="F55">
        <v>51</v>
      </c>
      <c r="H55" s="77"/>
      <c r="I55" s="77"/>
      <c r="K55" s="77">
        <v>317.79077341787757</v>
      </c>
      <c r="L55" s="77">
        <f t="shared" si="8"/>
        <v>-3.1779077341787757E-4</v>
      </c>
      <c r="M55" s="77">
        <f t="shared" si="10"/>
        <v>-2.2308515730351075E-6</v>
      </c>
      <c r="O55">
        <v>51</v>
      </c>
      <c r="P55" s="19">
        <v>1741.6241168023985</v>
      </c>
      <c r="Q55" s="77">
        <f t="shared" si="9"/>
        <v>-1.7416241168023985E-3</v>
      </c>
      <c r="R55" s="77">
        <f t="shared" si="11"/>
        <v>-2.6629543218574308E-5</v>
      </c>
    </row>
    <row r="56" spans="1:18" x14ac:dyDescent="0.25">
      <c r="A56">
        <v>52</v>
      </c>
      <c r="B56" s="78"/>
      <c r="C56" s="78">
        <f t="shared" si="12"/>
        <v>0</v>
      </c>
      <c r="D56" s="4">
        <f t="shared" si="13"/>
        <v>0</v>
      </c>
      <c r="F56">
        <v>52</v>
      </c>
      <c r="H56" s="77"/>
      <c r="I56" s="77"/>
      <c r="K56" s="77">
        <v>320.02162499091276</v>
      </c>
      <c r="L56" s="77">
        <f t="shared" si="8"/>
        <v>-3.2002162499091273E-4</v>
      </c>
      <c r="M56" s="77">
        <f t="shared" si="10"/>
        <v>-2.2308515730351617E-6</v>
      </c>
      <c r="O56">
        <v>52</v>
      </c>
      <c r="P56" s="19">
        <v>1768.2536600209723</v>
      </c>
      <c r="Q56" s="77">
        <f t="shared" si="9"/>
        <v>-1.7682536600209724E-3</v>
      </c>
      <c r="R56" s="77">
        <f t="shared" si="11"/>
        <v>-2.6629543218573875E-5</v>
      </c>
    </row>
    <row r="57" spans="1:18" x14ac:dyDescent="0.25">
      <c r="A57">
        <v>53</v>
      </c>
      <c r="B57" s="78"/>
      <c r="C57" s="78">
        <f t="shared" si="12"/>
        <v>0</v>
      </c>
      <c r="D57" s="4">
        <f t="shared" si="13"/>
        <v>0</v>
      </c>
      <c r="F57">
        <v>53</v>
      </c>
      <c r="H57" s="77"/>
      <c r="I57" s="77"/>
      <c r="K57" s="77">
        <v>322.25247656394788</v>
      </c>
      <c r="L57" s="77">
        <f t="shared" si="8"/>
        <v>-3.2225247656394789E-4</v>
      </c>
      <c r="M57" s="77">
        <f t="shared" si="10"/>
        <v>-2.2308515730351617E-6</v>
      </c>
      <c r="O57">
        <v>53</v>
      </c>
      <c r="P57" s="19">
        <v>1794.8832032395467</v>
      </c>
      <c r="Q57" s="77">
        <f t="shared" si="9"/>
        <v>-1.7948832032395467E-3</v>
      </c>
      <c r="R57" s="77">
        <f t="shared" si="11"/>
        <v>-2.6629543218574308E-5</v>
      </c>
    </row>
    <row r="58" spans="1:18" x14ac:dyDescent="0.25">
      <c r="A58">
        <v>54</v>
      </c>
      <c r="B58" s="78"/>
      <c r="C58" s="78">
        <f t="shared" si="12"/>
        <v>0</v>
      </c>
      <c r="D58" s="4">
        <f t="shared" si="13"/>
        <v>0</v>
      </c>
      <c r="F58">
        <v>54</v>
      </c>
      <c r="H58" s="77"/>
      <c r="I58" s="77"/>
      <c r="K58" s="77">
        <v>324.48332813698306</v>
      </c>
      <c r="L58" s="77">
        <f t="shared" si="8"/>
        <v>-3.2448332813698306E-4</v>
      </c>
      <c r="M58" s="77">
        <f t="shared" si="10"/>
        <v>-2.2308515730351617E-6</v>
      </c>
      <c r="O58">
        <v>54</v>
      </c>
      <c r="P58" s="19">
        <v>1821.512746458121</v>
      </c>
      <c r="Q58" s="77">
        <f t="shared" si="9"/>
        <v>-1.821512746458121E-3</v>
      </c>
      <c r="R58" s="77">
        <f t="shared" si="11"/>
        <v>-2.6629543218574308E-5</v>
      </c>
    </row>
    <row r="59" spans="1:18" x14ac:dyDescent="0.25">
      <c r="A59">
        <v>55</v>
      </c>
      <c r="B59" s="78"/>
      <c r="C59" s="78">
        <f t="shared" si="12"/>
        <v>0</v>
      </c>
      <c r="D59" s="4">
        <f t="shared" si="13"/>
        <v>0</v>
      </c>
      <c r="F59">
        <v>55</v>
      </c>
      <c r="H59" s="77"/>
      <c r="I59" s="77"/>
      <c r="K59" s="77">
        <v>326.71417971001824</v>
      </c>
      <c r="L59" s="77">
        <f t="shared" si="8"/>
        <v>-3.2671417971001822E-4</v>
      </c>
      <c r="M59" s="77">
        <f t="shared" si="10"/>
        <v>-2.2308515730351617E-6</v>
      </c>
      <c r="O59">
        <v>55</v>
      </c>
      <c r="P59" s="19">
        <v>1848.1422896766949</v>
      </c>
      <c r="Q59" s="77">
        <f t="shared" si="9"/>
        <v>-1.8481422896766948E-3</v>
      </c>
      <c r="R59" s="77">
        <f t="shared" si="11"/>
        <v>-2.6629543218573875E-5</v>
      </c>
    </row>
    <row r="60" spans="1:18" x14ac:dyDescent="0.25">
      <c r="A60">
        <v>56</v>
      </c>
      <c r="B60" s="78"/>
      <c r="C60" s="78">
        <f t="shared" si="12"/>
        <v>0</v>
      </c>
      <c r="D60" s="4">
        <f t="shared" si="13"/>
        <v>0</v>
      </c>
      <c r="F60">
        <v>56</v>
      </c>
      <c r="H60" s="77"/>
      <c r="I60" s="77"/>
      <c r="K60" s="77">
        <v>328.94503128305337</v>
      </c>
      <c r="L60" s="77">
        <f t="shared" si="8"/>
        <v>-3.2894503128305338E-4</v>
      </c>
      <c r="M60" s="77">
        <f t="shared" si="10"/>
        <v>-2.2308515730351617E-6</v>
      </c>
      <c r="O60">
        <v>56</v>
      </c>
      <c r="P60" s="19">
        <v>1874.7718328952692</v>
      </c>
      <c r="Q60" s="77">
        <f t="shared" si="9"/>
        <v>-1.8747718328952691E-3</v>
      </c>
      <c r="R60" s="77">
        <f t="shared" si="11"/>
        <v>-2.6629543218574308E-5</v>
      </c>
    </row>
    <row r="61" spans="1:18" x14ac:dyDescent="0.25">
      <c r="A61">
        <v>57</v>
      </c>
      <c r="B61" s="78"/>
      <c r="C61" s="78">
        <f t="shared" si="12"/>
        <v>0</v>
      </c>
      <c r="D61" s="4">
        <f t="shared" si="13"/>
        <v>0</v>
      </c>
      <c r="F61">
        <v>57</v>
      </c>
      <c r="H61" s="77"/>
      <c r="I61" s="77"/>
      <c r="K61" s="77">
        <v>331.17588285608849</v>
      </c>
      <c r="L61" s="77">
        <f t="shared" si="8"/>
        <v>-3.3117588285608849E-4</v>
      </c>
      <c r="M61" s="77">
        <f t="shared" si="10"/>
        <v>-2.2308515730351075E-6</v>
      </c>
      <c r="O61">
        <v>57</v>
      </c>
      <c r="P61" s="19">
        <v>1901.4013761138435</v>
      </c>
      <c r="Q61" s="77">
        <f t="shared" si="9"/>
        <v>-1.9014013761138435E-3</v>
      </c>
      <c r="R61" s="77">
        <f t="shared" si="11"/>
        <v>-2.6629543218574308E-5</v>
      </c>
    </row>
    <row r="62" spans="1:18" x14ac:dyDescent="0.25">
      <c r="A62">
        <v>58</v>
      </c>
      <c r="B62" s="78"/>
      <c r="C62" s="78">
        <f t="shared" si="12"/>
        <v>0</v>
      </c>
      <c r="D62" s="4">
        <f t="shared" si="13"/>
        <v>0</v>
      </c>
      <c r="F62">
        <v>58</v>
      </c>
      <c r="H62" s="77"/>
      <c r="I62" s="77"/>
      <c r="K62" s="77">
        <v>333.40673442912367</v>
      </c>
      <c r="L62" s="77">
        <f t="shared" si="8"/>
        <v>-3.3340673442912365E-4</v>
      </c>
      <c r="M62" s="77">
        <f t="shared" si="10"/>
        <v>-2.2308515730351617E-6</v>
      </c>
      <c r="O62">
        <v>58</v>
      </c>
      <c r="P62" s="19">
        <v>1928.0309193324179</v>
      </c>
      <c r="Q62" s="77">
        <f t="shared" si="9"/>
        <v>-1.9280309193324178E-3</v>
      </c>
      <c r="R62" s="77">
        <f t="shared" si="11"/>
        <v>-2.6629543218574308E-5</v>
      </c>
    </row>
    <row r="63" spans="1:18" x14ac:dyDescent="0.25">
      <c r="A63">
        <v>59</v>
      </c>
      <c r="B63" s="78"/>
      <c r="C63" s="78">
        <f t="shared" si="12"/>
        <v>0</v>
      </c>
      <c r="D63" s="4">
        <f t="shared" si="13"/>
        <v>0</v>
      </c>
      <c r="F63">
        <v>59</v>
      </c>
      <c r="H63" s="77"/>
      <c r="I63" s="77"/>
      <c r="K63" s="77">
        <v>335.6375860021588</v>
      </c>
      <c r="L63" s="77">
        <f t="shared" si="8"/>
        <v>-3.3563758600215881E-4</v>
      </c>
      <c r="M63" s="77">
        <f t="shared" si="10"/>
        <v>-2.2308515730351617E-6</v>
      </c>
      <c r="O63">
        <v>59</v>
      </c>
      <c r="P63" s="19">
        <v>1954.6604625509917</v>
      </c>
      <c r="Q63" s="77">
        <f t="shared" si="9"/>
        <v>-1.9546604625509919E-3</v>
      </c>
      <c r="R63" s="77">
        <f t="shared" si="11"/>
        <v>-2.6629543218574091E-5</v>
      </c>
    </row>
    <row r="64" spans="1:18" x14ac:dyDescent="0.25">
      <c r="A64">
        <v>60</v>
      </c>
      <c r="B64" s="78"/>
      <c r="C64" s="78">
        <f t="shared" si="12"/>
        <v>0</v>
      </c>
      <c r="D64" s="4">
        <f t="shared" ref="D64:D95" si="14">C64-C63</f>
        <v>0</v>
      </c>
      <c r="F64">
        <v>60</v>
      </c>
      <c r="H64" s="77"/>
      <c r="I64" s="77"/>
      <c r="K64" s="77">
        <v>337.86843757519398</v>
      </c>
      <c r="L64" s="77">
        <f t="shared" si="8"/>
        <v>-3.3786843757519397E-4</v>
      </c>
      <c r="M64" s="77">
        <f t="shared" si="10"/>
        <v>-2.2308515730351617E-6</v>
      </c>
      <c r="O64">
        <v>60</v>
      </c>
      <c r="P64" s="19">
        <v>1981.2900057695661</v>
      </c>
      <c r="Q64" s="77">
        <f t="shared" si="9"/>
        <v>-1.9812900057695659E-3</v>
      </c>
      <c r="R64" s="77">
        <f t="shared" si="11"/>
        <v>-2.6629543218574091E-5</v>
      </c>
    </row>
    <row r="65" spans="1:18" x14ac:dyDescent="0.25">
      <c r="A65">
        <v>61</v>
      </c>
      <c r="B65" s="78"/>
      <c r="C65" s="78">
        <f t="shared" si="12"/>
        <v>0</v>
      </c>
      <c r="D65" s="4">
        <f t="shared" si="14"/>
        <v>0</v>
      </c>
      <c r="F65">
        <v>61</v>
      </c>
      <c r="H65" s="77"/>
      <c r="I65" s="77"/>
      <c r="K65" s="77">
        <v>340.0992891482291</v>
      </c>
      <c r="L65" s="77">
        <f t="shared" si="8"/>
        <v>-3.4009928914822908E-4</v>
      </c>
      <c r="M65" s="77">
        <f t="shared" si="10"/>
        <v>-2.2308515730351075E-6</v>
      </c>
      <c r="O65">
        <v>61</v>
      </c>
      <c r="P65" s="19">
        <v>2007.9195489881399</v>
      </c>
      <c r="Q65" s="77">
        <f t="shared" si="9"/>
        <v>-2.00791954898814E-3</v>
      </c>
      <c r="R65" s="77">
        <f t="shared" si="11"/>
        <v>-2.6629543218574091E-5</v>
      </c>
    </row>
    <row r="66" spans="1:18" x14ac:dyDescent="0.25">
      <c r="A66">
        <v>62</v>
      </c>
      <c r="B66" s="78"/>
      <c r="C66" s="78">
        <f t="shared" si="12"/>
        <v>0</v>
      </c>
      <c r="D66" s="4">
        <f t="shared" si="14"/>
        <v>0</v>
      </c>
      <c r="F66">
        <v>62</v>
      </c>
      <c r="H66" s="77"/>
      <c r="I66" s="77"/>
      <c r="K66" s="77">
        <v>342.33014072126423</v>
      </c>
      <c r="L66" s="77">
        <f t="shared" si="8"/>
        <v>-3.4233014072126424E-4</v>
      </c>
      <c r="M66" s="77">
        <f t="shared" si="10"/>
        <v>-2.2308515730351617E-6</v>
      </c>
      <c r="O66">
        <v>62</v>
      </c>
      <c r="P66" s="19">
        <v>2034.5490922067142</v>
      </c>
      <c r="Q66" s="77">
        <f t="shared" si="9"/>
        <v>-2.0345490922067141E-3</v>
      </c>
      <c r="R66" s="77">
        <f t="shared" si="11"/>
        <v>-2.6629543218574091E-5</v>
      </c>
    </row>
    <row r="67" spans="1:18" x14ac:dyDescent="0.25">
      <c r="A67">
        <v>63</v>
      </c>
      <c r="B67" s="78"/>
      <c r="C67" s="78">
        <f t="shared" si="12"/>
        <v>0</v>
      </c>
      <c r="D67" s="4">
        <f t="shared" si="14"/>
        <v>0</v>
      </c>
      <c r="F67">
        <v>63</v>
      </c>
      <c r="H67" s="77"/>
      <c r="I67" s="77"/>
      <c r="K67" s="77">
        <v>344.56099229429941</v>
      </c>
      <c r="L67" s="77">
        <f t="shared" si="8"/>
        <v>-3.445609922942994E-4</v>
      </c>
      <c r="M67" s="77">
        <f t="shared" si="10"/>
        <v>-2.2308515730351617E-6</v>
      </c>
      <c r="O67">
        <v>63</v>
      </c>
      <c r="P67" s="19">
        <v>2061.1786354252881</v>
      </c>
      <c r="Q67" s="77">
        <f t="shared" si="9"/>
        <v>-2.0611786354252882E-3</v>
      </c>
      <c r="R67" s="77">
        <f t="shared" si="11"/>
        <v>-2.6629543218574091E-5</v>
      </c>
    </row>
    <row r="68" spans="1:18" x14ac:dyDescent="0.25">
      <c r="A68">
        <v>64</v>
      </c>
      <c r="B68" s="78"/>
      <c r="C68" s="78">
        <f t="shared" si="12"/>
        <v>0</v>
      </c>
      <c r="D68" s="4">
        <f t="shared" si="14"/>
        <v>0</v>
      </c>
      <c r="F68">
        <v>64</v>
      </c>
      <c r="H68" s="77"/>
      <c r="I68" s="77"/>
      <c r="K68" s="77">
        <v>346.79184386733459</v>
      </c>
      <c r="L68" s="77">
        <f t="shared" si="8"/>
        <v>-3.4679184386733457E-4</v>
      </c>
      <c r="M68" s="77">
        <f t="shared" si="10"/>
        <v>-2.2308515730351617E-6</v>
      </c>
      <c r="O68">
        <v>64</v>
      </c>
      <c r="P68" s="19">
        <v>2087.808178643862</v>
      </c>
      <c r="Q68" s="77">
        <f t="shared" si="9"/>
        <v>-2.0878081786438619E-3</v>
      </c>
      <c r="R68" s="77">
        <f t="shared" si="11"/>
        <v>-2.6629543218573658E-5</v>
      </c>
    </row>
    <row r="69" spans="1:18" x14ac:dyDescent="0.25">
      <c r="A69">
        <v>65</v>
      </c>
      <c r="B69" s="78"/>
      <c r="C69" s="78">
        <f t="shared" ref="C69:C100" si="15">-B69/1000000</f>
        <v>0</v>
      </c>
      <c r="D69" s="4">
        <f t="shared" si="14"/>
        <v>0</v>
      </c>
      <c r="F69">
        <v>65</v>
      </c>
      <c r="H69" s="77"/>
      <c r="I69" s="77"/>
      <c r="K69" s="77">
        <v>349.02269544036972</v>
      </c>
      <c r="L69" s="77">
        <f t="shared" ref="L69:L100" si="16">-K69/1000000</f>
        <v>-3.4902269544036973E-4</v>
      </c>
      <c r="M69" s="77">
        <f t="shared" si="10"/>
        <v>-2.2308515730351617E-6</v>
      </c>
      <c r="O69">
        <v>65</v>
      </c>
      <c r="P69" s="19">
        <v>2114.4377218624359</v>
      </c>
      <c r="Q69" s="77">
        <f t="shared" ref="Q69:Q100" si="17">-P69/1000000</f>
        <v>-2.114437721862436E-3</v>
      </c>
      <c r="R69" s="77">
        <f t="shared" si="11"/>
        <v>-2.6629543218574091E-5</v>
      </c>
    </row>
    <row r="70" spans="1:18" x14ac:dyDescent="0.25">
      <c r="A70">
        <v>66</v>
      </c>
      <c r="B70" s="78"/>
      <c r="C70" s="78">
        <f t="shared" si="15"/>
        <v>0</v>
      </c>
      <c r="D70" s="4">
        <f t="shared" si="14"/>
        <v>0</v>
      </c>
      <c r="F70">
        <v>66</v>
      </c>
      <c r="H70" s="77"/>
      <c r="I70" s="77"/>
      <c r="K70" s="77">
        <v>351.25354701340484</v>
      </c>
      <c r="L70" s="77">
        <f t="shared" si="16"/>
        <v>-3.5125354701340483E-4</v>
      </c>
      <c r="M70" s="77">
        <f t="shared" ref="M70:M101" si="18">L70-L69</f>
        <v>-2.2308515730351075E-6</v>
      </c>
      <c r="O70">
        <v>66</v>
      </c>
      <c r="P70" s="19">
        <v>2141.0672650810102</v>
      </c>
      <c r="Q70" s="77">
        <f t="shared" si="17"/>
        <v>-2.1410672650810101E-3</v>
      </c>
      <c r="R70" s="77">
        <f t="shared" ref="R70:R101" si="19">Q70-Q69</f>
        <v>-2.6629543218574091E-5</v>
      </c>
    </row>
    <row r="71" spans="1:18" x14ac:dyDescent="0.25">
      <c r="A71">
        <v>67</v>
      </c>
      <c r="B71" s="78"/>
      <c r="C71" s="78">
        <f t="shared" si="15"/>
        <v>0</v>
      </c>
      <c r="D71" s="4">
        <f t="shared" si="14"/>
        <v>0</v>
      </c>
      <c r="F71">
        <v>67</v>
      </c>
      <c r="H71" s="77"/>
      <c r="I71" s="77"/>
      <c r="K71" s="77">
        <v>353.48439858644002</v>
      </c>
      <c r="L71" s="77">
        <f t="shared" si="16"/>
        <v>-3.5348439858644E-4</v>
      </c>
      <c r="M71" s="77">
        <f t="shared" si="18"/>
        <v>-2.2308515730351617E-6</v>
      </c>
      <c r="O71">
        <v>67</v>
      </c>
      <c r="P71" s="19">
        <v>2167.6968082995841</v>
      </c>
      <c r="Q71" s="77">
        <f t="shared" si="17"/>
        <v>-2.1676968082995842E-3</v>
      </c>
      <c r="R71" s="77">
        <f t="shared" si="19"/>
        <v>-2.6629543218574091E-5</v>
      </c>
    </row>
    <row r="72" spans="1:18" x14ac:dyDescent="0.25">
      <c r="A72">
        <v>68</v>
      </c>
      <c r="B72" s="78"/>
      <c r="C72" s="78">
        <f t="shared" si="15"/>
        <v>0</v>
      </c>
      <c r="D72" s="4">
        <f t="shared" si="14"/>
        <v>0</v>
      </c>
      <c r="F72">
        <v>68</v>
      </c>
      <c r="H72" s="77"/>
      <c r="I72" s="77"/>
      <c r="K72" s="77">
        <v>355.7152501594752</v>
      </c>
      <c r="L72" s="77">
        <f t="shared" si="16"/>
        <v>-3.5571525015947521E-4</v>
      </c>
      <c r="M72" s="77">
        <f t="shared" si="18"/>
        <v>-2.2308515730352159E-6</v>
      </c>
      <c r="O72">
        <v>68</v>
      </c>
      <c r="P72" s="19">
        <v>2194.3263515181579</v>
      </c>
      <c r="Q72" s="77">
        <f t="shared" si="17"/>
        <v>-2.1943263515181578E-3</v>
      </c>
      <c r="R72" s="77">
        <f t="shared" si="19"/>
        <v>-2.6629543218573658E-5</v>
      </c>
    </row>
    <row r="73" spans="1:18" x14ac:dyDescent="0.25">
      <c r="A73">
        <v>69</v>
      </c>
      <c r="B73" s="78"/>
      <c r="C73" s="78">
        <f t="shared" si="15"/>
        <v>0</v>
      </c>
      <c r="D73" s="4">
        <f t="shared" si="14"/>
        <v>0</v>
      </c>
      <c r="F73">
        <v>69</v>
      </c>
      <c r="H73" s="77"/>
      <c r="I73" s="77"/>
      <c r="K73" s="77">
        <v>357.94610173251033</v>
      </c>
      <c r="L73" s="77">
        <f t="shared" si="16"/>
        <v>-3.5794610173251032E-4</v>
      </c>
      <c r="M73" s="77">
        <f t="shared" si="18"/>
        <v>-2.2308515730351075E-6</v>
      </c>
      <c r="O73">
        <v>69</v>
      </c>
      <c r="P73" s="19">
        <v>2220.9558947367323</v>
      </c>
      <c r="Q73" s="77">
        <f t="shared" si="17"/>
        <v>-2.2209558947367323E-3</v>
      </c>
      <c r="R73" s="77">
        <f t="shared" si="19"/>
        <v>-2.6629543218574525E-5</v>
      </c>
    </row>
    <row r="74" spans="1:18" x14ac:dyDescent="0.25">
      <c r="A74">
        <v>70</v>
      </c>
      <c r="B74" s="78"/>
      <c r="C74" s="78">
        <f t="shared" si="15"/>
        <v>0</v>
      </c>
      <c r="D74" s="4">
        <f t="shared" si="14"/>
        <v>0</v>
      </c>
      <c r="F74">
        <v>70</v>
      </c>
      <c r="H74" s="77"/>
      <c r="I74" s="77"/>
      <c r="K74" s="77">
        <v>360.17695330554545</v>
      </c>
      <c r="L74" s="77">
        <f t="shared" si="16"/>
        <v>-3.6017695330554543E-4</v>
      </c>
      <c r="M74" s="77">
        <f t="shared" si="18"/>
        <v>-2.2308515730351075E-6</v>
      </c>
      <c r="O74">
        <v>70</v>
      </c>
      <c r="P74" s="19">
        <v>2247.5854379553061</v>
      </c>
      <c r="Q74" s="77">
        <f t="shared" si="17"/>
        <v>-2.247585437955306E-3</v>
      </c>
      <c r="R74" s="77">
        <f t="shared" si="19"/>
        <v>-2.6629543218573658E-5</v>
      </c>
    </row>
    <row r="75" spans="1:18" x14ac:dyDescent="0.25">
      <c r="A75">
        <v>71</v>
      </c>
      <c r="B75" s="78"/>
      <c r="C75" s="78">
        <f t="shared" si="15"/>
        <v>0</v>
      </c>
      <c r="D75" s="4">
        <f t="shared" si="14"/>
        <v>0</v>
      </c>
      <c r="F75">
        <v>71</v>
      </c>
      <c r="H75" s="77"/>
      <c r="I75" s="77"/>
      <c r="K75" s="77">
        <v>362.40780487858063</v>
      </c>
      <c r="L75" s="77">
        <f t="shared" si="16"/>
        <v>-3.6240780487858064E-4</v>
      </c>
      <c r="M75" s="77">
        <f t="shared" si="18"/>
        <v>-2.2308515730352159E-6</v>
      </c>
      <c r="O75">
        <v>71</v>
      </c>
      <c r="P75" s="19">
        <v>2274.21498117388</v>
      </c>
      <c r="Q75" s="77">
        <f t="shared" si="17"/>
        <v>-2.2742149811738801E-3</v>
      </c>
      <c r="R75" s="77">
        <f t="shared" si="19"/>
        <v>-2.6629543218574091E-5</v>
      </c>
    </row>
    <row r="76" spans="1:18" x14ac:dyDescent="0.25">
      <c r="A76">
        <v>72</v>
      </c>
      <c r="B76" s="78"/>
      <c r="C76" s="78">
        <f t="shared" si="15"/>
        <v>0</v>
      </c>
      <c r="D76" s="4">
        <f t="shared" si="14"/>
        <v>0</v>
      </c>
      <c r="F76">
        <v>72</v>
      </c>
      <c r="H76" s="77"/>
      <c r="I76" s="77"/>
      <c r="K76" s="77">
        <v>364.63865645161576</v>
      </c>
      <c r="L76" s="77">
        <f t="shared" si="16"/>
        <v>-3.6463865645161575E-4</v>
      </c>
      <c r="M76" s="77">
        <f t="shared" si="18"/>
        <v>-2.2308515730351075E-6</v>
      </c>
      <c r="O76">
        <v>72</v>
      </c>
      <c r="P76" s="19">
        <v>2300.8445243924539</v>
      </c>
      <c r="Q76" s="77">
        <f t="shared" si="17"/>
        <v>-2.3008445243924537E-3</v>
      </c>
      <c r="R76" s="77">
        <f t="shared" si="19"/>
        <v>-2.6629543218573658E-5</v>
      </c>
    </row>
    <row r="77" spans="1:18" x14ac:dyDescent="0.25">
      <c r="A77">
        <v>73</v>
      </c>
      <c r="B77" s="78"/>
      <c r="C77" s="78">
        <f t="shared" si="15"/>
        <v>0</v>
      </c>
      <c r="D77" s="4">
        <f t="shared" si="14"/>
        <v>0</v>
      </c>
      <c r="F77">
        <v>73</v>
      </c>
      <c r="H77" s="77"/>
      <c r="I77" s="77"/>
      <c r="K77" s="77">
        <v>366.86950802465094</v>
      </c>
      <c r="L77" s="77">
        <f t="shared" si="16"/>
        <v>-3.6686950802465097E-4</v>
      </c>
      <c r="M77" s="77">
        <f t="shared" si="18"/>
        <v>-2.2308515730352159E-6</v>
      </c>
      <c r="O77">
        <v>73</v>
      </c>
      <c r="P77" s="19">
        <v>2327.4740676110282</v>
      </c>
      <c r="Q77" s="77">
        <f t="shared" si="17"/>
        <v>-2.3274740676110283E-3</v>
      </c>
      <c r="R77" s="77">
        <f t="shared" si="19"/>
        <v>-2.6629543218574525E-5</v>
      </c>
    </row>
    <row r="78" spans="1:18" x14ac:dyDescent="0.25">
      <c r="A78">
        <v>74</v>
      </c>
      <c r="B78" s="78"/>
      <c r="C78" s="78">
        <f t="shared" si="15"/>
        <v>0</v>
      </c>
      <c r="D78" s="4">
        <f t="shared" si="14"/>
        <v>0</v>
      </c>
      <c r="F78">
        <v>74</v>
      </c>
      <c r="H78" s="77"/>
      <c r="I78" s="77"/>
      <c r="K78" s="77">
        <v>369.10035959768607</v>
      </c>
      <c r="L78" s="77">
        <f t="shared" si="16"/>
        <v>-3.6910035959768607E-4</v>
      </c>
      <c r="M78" s="77">
        <f t="shared" si="18"/>
        <v>-2.2308515730351075E-6</v>
      </c>
      <c r="O78">
        <v>74</v>
      </c>
      <c r="P78" s="19">
        <v>2354.1036108296021</v>
      </c>
      <c r="Q78" s="77">
        <f t="shared" si="17"/>
        <v>-2.3541036108296019E-3</v>
      </c>
      <c r="R78" s="77">
        <f t="shared" si="19"/>
        <v>-2.6629543218573658E-5</v>
      </c>
    </row>
    <row r="79" spans="1:18" x14ac:dyDescent="0.25">
      <c r="A79">
        <v>75</v>
      </c>
      <c r="B79" s="78"/>
      <c r="C79" s="78">
        <f t="shared" si="15"/>
        <v>0</v>
      </c>
      <c r="D79" s="4">
        <f t="shared" si="14"/>
        <v>0</v>
      </c>
      <c r="F79">
        <v>75</v>
      </c>
      <c r="H79" s="77"/>
      <c r="I79" s="77"/>
      <c r="K79" s="77">
        <v>371.33121117072125</v>
      </c>
      <c r="L79" s="77">
        <f t="shared" si="16"/>
        <v>-3.7133121117072124E-4</v>
      </c>
      <c r="M79" s="77">
        <f t="shared" si="18"/>
        <v>-2.2308515730351617E-6</v>
      </c>
      <c r="O79">
        <v>75</v>
      </c>
      <c r="P79" s="19">
        <v>2380.7331540481759</v>
      </c>
      <c r="Q79" s="77">
        <f t="shared" si="17"/>
        <v>-2.380733154048176E-3</v>
      </c>
      <c r="R79" s="77">
        <f t="shared" si="19"/>
        <v>-2.6629543218574091E-5</v>
      </c>
    </row>
    <row r="80" spans="1:18" x14ac:dyDescent="0.25">
      <c r="A80">
        <v>76</v>
      </c>
      <c r="B80" s="78"/>
      <c r="C80" s="78">
        <f t="shared" si="15"/>
        <v>0</v>
      </c>
      <c r="D80" s="4">
        <f t="shared" si="14"/>
        <v>0</v>
      </c>
      <c r="F80">
        <v>76</v>
      </c>
      <c r="H80" s="77"/>
      <c r="I80" s="77"/>
      <c r="K80" s="77">
        <v>373.56206274375637</v>
      </c>
      <c r="L80" s="77">
        <f t="shared" si="16"/>
        <v>-3.735620627437564E-4</v>
      </c>
      <c r="M80" s="77">
        <f t="shared" si="18"/>
        <v>-2.2308515730351617E-6</v>
      </c>
      <c r="O80">
        <v>76</v>
      </c>
      <c r="P80" s="19">
        <v>2407.3626972667503</v>
      </c>
      <c r="Q80" s="77">
        <f t="shared" si="17"/>
        <v>-2.4073626972667501E-3</v>
      </c>
      <c r="R80" s="77">
        <f t="shared" si="19"/>
        <v>-2.6629543218574091E-5</v>
      </c>
    </row>
    <row r="81" spans="1:18" x14ac:dyDescent="0.25">
      <c r="A81">
        <v>77</v>
      </c>
      <c r="B81" s="78"/>
      <c r="C81" s="78">
        <f t="shared" si="15"/>
        <v>0</v>
      </c>
      <c r="D81" s="4">
        <f t="shared" si="14"/>
        <v>0</v>
      </c>
      <c r="F81">
        <v>77</v>
      </c>
      <c r="H81" s="77"/>
      <c r="I81" s="77"/>
      <c r="K81" s="77">
        <v>375.79291431679155</v>
      </c>
      <c r="L81" s="77">
        <f t="shared" si="16"/>
        <v>-3.7579291431679156E-4</v>
      </c>
      <c r="M81" s="77">
        <f t="shared" si="18"/>
        <v>-2.2308515730351617E-6</v>
      </c>
      <c r="O81">
        <v>77</v>
      </c>
      <c r="P81" s="19">
        <v>2433.9922404853237</v>
      </c>
      <c r="Q81" s="77">
        <f t="shared" si="17"/>
        <v>-2.4339922404853238E-3</v>
      </c>
      <c r="R81" s="77">
        <f t="shared" si="19"/>
        <v>-2.6629543218573658E-5</v>
      </c>
    </row>
    <row r="82" spans="1:18" x14ac:dyDescent="0.25">
      <c r="A82">
        <v>78</v>
      </c>
      <c r="B82" s="78"/>
      <c r="C82" s="78">
        <f t="shared" si="15"/>
        <v>0</v>
      </c>
      <c r="D82" s="4">
        <f t="shared" si="14"/>
        <v>0</v>
      </c>
      <c r="F82">
        <v>78</v>
      </c>
      <c r="H82" s="77"/>
      <c r="I82" s="77"/>
      <c r="K82" s="77">
        <v>378.02376588982668</v>
      </c>
      <c r="L82" s="77">
        <f t="shared" si="16"/>
        <v>-3.7802376588982667E-4</v>
      </c>
      <c r="M82" s="77">
        <f t="shared" si="18"/>
        <v>-2.2308515730351075E-6</v>
      </c>
      <c r="O82">
        <v>78</v>
      </c>
      <c r="P82" s="19">
        <v>2460.621783703898</v>
      </c>
      <c r="Q82" s="77">
        <f t="shared" si="17"/>
        <v>-2.4606217837038979E-3</v>
      </c>
      <c r="R82" s="77">
        <f t="shared" si="19"/>
        <v>-2.6629543218574091E-5</v>
      </c>
    </row>
    <row r="83" spans="1:18" x14ac:dyDescent="0.25">
      <c r="A83">
        <v>79</v>
      </c>
      <c r="B83" s="78"/>
      <c r="C83" s="78">
        <f t="shared" si="15"/>
        <v>0</v>
      </c>
      <c r="D83" s="4">
        <f t="shared" si="14"/>
        <v>0</v>
      </c>
      <c r="F83">
        <v>79</v>
      </c>
      <c r="H83" s="77"/>
      <c r="I83" s="77"/>
      <c r="K83" s="77">
        <v>380.25461746286186</v>
      </c>
      <c r="L83" s="77">
        <f t="shared" si="16"/>
        <v>-3.8025461746286188E-4</v>
      </c>
      <c r="M83" s="77">
        <f t="shared" si="18"/>
        <v>-2.2308515730352159E-6</v>
      </c>
      <c r="O83">
        <v>79</v>
      </c>
      <c r="P83" s="19">
        <v>2487.2513269224719</v>
      </c>
      <c r="Q83" s="77">
        <f t="shared" si="17"/>
        <v>-2.487251326922472E-3</v>
      </c>
      <c r="R83" s="77">
        <f t="shared" si="19"/>
        <v>-2.6629543218574091E-5</v>
      </c>
    </row>
    <row r="84" spans="1:18" x14ac:dyDescent="0.25">
      <c r="A84">
        <v>80</v>
      </c>
      <c r="B84" s="78"/>
      <c r="C84" s="78">
        <f t="shared" si="15"/>
        <v>0</v>
      </c>
      <c r="D84" s="4">
        <f t="shared" si="14"/>
        <v>0</v>
      </c>
      <c r="F84">
        <v>80</v>
      </c>
      <c r="H84" s="77"/>
      <c r="I84" s="77"/>
      <c r="K84" s="77">
        <v>382.48546903589704</v>
      </c>
      <c r="L84" s="77">
        <f t="shared" si="16"/>
        <v>-3.8248546903589704E-4</v>
      </c>
      <c r="M84" s="77">
        <f t="shared" si="18"/>
        <v>-2.2308515730351617E-6</v>
      </c>
      <c r="O84">
        <v>80</v>
      </c>
      <c r="P84" s="19">
        <v>2513.8808701410462</v>
      </c>
      <c r="Q84" s="77">
        <f t="shared" si="17"/>
        <v>-2.513880870141046E-3</v>
      </c>
      <c r="R84" s="77">
        <f t="shared" si="19"/>
        <v>-2.6629543218574091E-5</v>
      </c>
    </row>
    <row r="85" spans="1:18" x14ac:dyDescent="0.25">
      <c r="A85">
        <v>81</v>
      </c>
      <c r="B85" s="78"/>
      <c r="C85" s="78">
        <f t="shared" si="15"/>
        <v>0</v>
      </c>
      <c r="D85" s="4">
        <f t="shared" si="14"/>
        <v>0</v>
      </c>
      <c r="F85">
        <v>81</v>
      </c>
      <c r="H85" s="77"/>
      <c r="I85" s="77"/>
      <c r="K85" s="77">
        <v>384.71632060893216</v>
      </c>
      <c r="L85" s="77">
        <f t="shared" si="16"/>
        <v>-3.8471632060893215E-4</v>
      </c>
      <c r="M85" s="77">
        <f t="shared" si="18"/>
        <v>-2.2308515730351075E-6</v>
      </c>
      <c r="O85">
        <v>81</v>
      </c>
      <c r="P85" s="19">
        <v>2540.5104133596201</v>
      </c>
      <c r="Q85" s="77">
        <f t="shared" si="17"/>
        <v>-2.5405104133596201E-3</v>
      </c>
      <c r="R85" s="77">
        <f t="shared" si="19"/>
        <v>-2.6629543218574091E-5</v>
      </c>
    </row>
    <row r="86" spans="1:18" x14ac:dyDescent="0.25">
      <c r="A86">
        <v>82</v>
      </c>
      <c r="B86" s="78"/>
      <c r="C86" s="78">
        <f t="shared" si="15"/>
        <v>0</v>
      </c>
      <c r="D86" s="4">
        <f t="shared" si="14"/>
        <v>0</v>
      </c>
      <c r="F86">
        <v>82</v>
      </c>
      <c r="H86" s="77"/>
      <c r="I86" s="77"/>
      <c r="K86" s="77">
        <v>386.94717218196729</v>
      </c>
      <c r="L86" s="77">
        <f t="shared" si="16"/>
        <v>-3.8694717218196731E-4</v>
      </c>
      <c r="M86" s="77">
        <f t="shared" si="18"/>
        <v>-2.2308515730351617E-6</v>
      </c>
      <c r="O86">
        <v>82</v>
      </c>
      <c r="P86" s="19">
        <v>2567.139956578194</v>
      </c>
      <c r="Q86" s="77">
        <f t="shared" si="17"/>
        <v>-2.5671399565781938E-3</v>
      </c>
      <c r="R86" s="77">
        <f t="shared" si="19"/>
        <v>-2.6629543218573658E-5</v>
      </c>
    </row>
    <row r="87" spans="1:18" x14ac:dyDescent="0.25">
      <c r="A87">
        <v>83</v>
      </c>
      <c r="B87" s="78"/>
      <c r="C87" s="78">
        <f t="shared" si="15"/>
        <v>0</v>
      </c>
      <c r="D87" s="4">
        <f t="shared" si="14"/>
        <v>0</v>
      </c>
      <c r="F87">
        <v>83</v>
      </c>
      <c r="H87" s="77"/>
      <c r="I87" s="77"/>
      <c r="K87" s="77">
        <v>389.17802375500241</v>
      </c>
      <c r="L87" s="77">
        <f t="shared" si="16"/>
        <v>-3.8917802375500242E-4</v>
      </c>
      <c r="M87" s="77">
        <f t="shared" si="18"/>
        <v>-2.2308515730351075E-6</v>
      </c>
      <c r="O87">
        <v>83</v>
      </c>
      <c r="P87" s="19">
        <v>2593.7694997967678</v>
      </c>
      <c r="Q87" s="77">
        <f t="shared" si="17"/>
        <v>-2.5937694997967679E-3</v>
      </c>
      <c r="R87" s="77">
        <f t="shared" si="19"/>
        <v>-2.6629543218574091E-5</v>
      </c>
    </row>
    <row r="88" spans="1:18" x14ac:dyDescent="0.25">
      <c r="A88">
        <v>84</v>
      </c>
      <c r="B88" s="78"/>
      <c r="C88" s="78">
        <f t="shared" si="15"/>
        <v>0</v>
      </c>
      <c r="D88" s="4">
        <f t="shared" si="14"/>
        <v>0</v>
      </c>
      <c r="F88">
        <v>84</v>
      </c>
      <c r="H88" s="77"/>
      <c r="I88" s="77"/>
      <c r="K88" s="77">
        <v>391.4088753280376</v>
      </c>
      <c r="L88" s="77">
        <f t="shared" si="16"/>
        <v>-3.9140887532803758E-4</v>
      </c>
      <c r="M88" s="77">
        <f t="shared" si="18"/>
        <v>-2.2308515730351617E-6</v>
      </c>
      <c r="O88">
        <v>84</v>
      </c>
      <c r="P88" s="19">
        <v>2620.3990430153422</v>
      </c>
      <c r="Q88" s="77">
        <f t="shared" si="17"/>
        <v>-2.620399043015342E-3</v>
      </c>
      <c r="R88" s="77">
        <f t="shared" si="19"/>
        <v>-2.6629543218574091E-5</v>
      </c>
    </row>
    <row r="89" spans="1:18" x14ac:dyDescent="0.25">
      <c r="A89">
        <v>85</v>
      </c>
      <c r="B89" s="78"/>
      <c r="C89" s="78">
        <f t="shared" si="15"/>
        <v>0</v>
      </c>
      <c r="D89" s="4">
        <f t="shared" si="14"/>
        <v>0</v>
      </c>
      <c r="F89">
        <v>85</v>
      </c>
      <c r="H89" s="77"/>
      <c r="I89" s="77"/>
      <c r="K89" s="77">
        <v>393.63972690107278</v>
      </c>
      <c r="L89" s="77">
        <f t="shared" si="16"/>
        <v>-3.936397269010728E-4</v>
      </c>
      <c r="M89" s="77">
        <f t="shared" si="18"/>
        <v>-2.2308515730352159E-6</v>
      </c>
      <c r="O89">
        <v>85</v>
      </c>
      <c r="P89" s="19">
        <v>2647.028586233916</v>
      </c>
      <c r="Q89" s="77">
        <f t="shared" si="17"/>
        <v>-2.6470285862339161E-3</v>
      </c>
      <c r="R89" s="77">
        <f t="shared" si="19"/>
        <v>-2.6629543218574091E-5</v>
      </c>
    </row>
    <row r="90" spans="1:18" x14ac:dyDescent="0.25">
      <c r="A90">
        <v>86</v>
      </c>
      <c r="B90" s="78"/>
      <c r="C90" s="78">
        <f t="shared" si="15"/>
        <v>0</v>
      </c>
      <c r="D90" s="4">
        <f t="shared" si="14"/>
        <v>0</v>
      </c>
      <c r="F90">
        <v>86</v>
      </c>
      <c r="H90" s="77"/>
      <c r="I90" s="77"/>
      <c r="K90" s="77">
        <v>395.8705784741079</v>
      </c>
      <c r="L90" s="77">
        <f t="shared" si="16"/>
        <v>-3.9587057847410791E-4</v>
      </c>
      <c r="M90" s="77">
        <f t="shared" si="18"/>
        <v>-2.2308515730351075E-6</v>
      </c>
      <c r="O90">
        <v>86</v>
      </c>
      <c r="P90" s="19">
        <v>2673.6581294524904</v>
      </c>
      <c r="Q90" s="77">
        <f t="shared" si="17"/>
        <v>-2.6736581294524902E-3</v>
      </c>
      <c r="R90" s="77">
        <f t="shared" si="19"/>
        <v>-2.6629543218574091E-5</v>
      </c>
    </row>
    <row r="91" spans="1:18" x14ac:dyDescent="0.25">
      <c r="A91">
        <v>87</v>
      </c>
      <c r="B91" s="78"/>
      <c r="C91" s="78">
        <f t="shared" si="15"/>
        <v>0</v>
      </c>
      <c r="D91" s="4">
        <f t="shared" si="14"/>
        <v>0</v>
      </c>
      <c r="F91">
        <v>87</v>
      </c>
      <c r="H91" s="77"/>
      <c r="I91" s="77"/>
      <c r="K91" s="77">
        <v>398.10143004714308</v>
      </c>
      <c r="L91" s="77">
        <f t="shared" si="16"/>
        <v>-3.9810143004714307E-4</v>
      </c>
      <c r="M91" s="77">
        <f t="shared" si="18"/>
        <v>-2.2308515730351617E-6</v>
      </c>
      <c r="O91">
        <v>87</v>
      </c>
      <c r="P91" s="19">
        <v>2700.2876726710638</v>
      </c>
      <c r="Q91" s="77">
        <f t="shared" si="17"/>
        <v>-2.7002876726710638E-3</v>
      </c>
      <c r="R91" s="77">
        <f t="shared" si="19"/>
        <v>-2.6629543218573658E-5</v>
      </c>
    </row>
    <row r="92" spans="1:18" x14ac:dyDescent="0.25">
      <c r="A92">
        <v>88</v>
      </c>
      <c r="B92" s="78"/>
      <c r="C92" s="78">
        <f t="shared" si="15"/>
        <v>0</v>
      </c>
      <c r="D92" s="4">
        <f t="shared" si="14"/>
        <v>0</v>
      </c>
      <c r="F92">
        <v>88</v>
      </c>
      <c r="H92" s="77"/>
      <c r="I92" s="77"/>
      <c r="K92" s="77">
        <v>400.33228162017826</v>
      </c>
      <c r="L92" s="77">
        <f t="shared" si="16"/>
        <v>-4.0033228162017828E-4</v>
      </c>
      <c r="M92" s="77">
        <f t="shared" si="18"/>
        <v>-2.2308515730352159E-6</v>
      </c>
      <c r="O92">
        <v>88</v>
      </c>
      <c r="P92" s="19">
        <v>2726.9172158896381</v>
      </c>
      <c r="Q92" s="77">
        <f t="shared" si="17"/>
        <v>-2.7269172158896379E-3</v>
      </c>
      <c r="R92" s="77">
        <f t="shared" si="19"/>
        <v>-2.6629543218574091E-5</v>
      </c>
    </row>
    <row r="93" spans="1:18" x14ac:dyDescent="0.25">
      <c r="A93">
        <v>89</v>
      </c>
      <c r="B93" s="78"/>
      <c r="C93" s="78">
        <f t="shared" si="15"/>
        <v>0</v>
      </c>
      <c r="D93" s="4">
        <f t="shared" si="14"/>
        <v>0</v>
      </c>
      <c r="F93">
        <v>89</v>
      </c>
      <c r="H93" s="77"/>
      <c r="I93" s="77"/>
      <c r="K93" s="77">
        <v>402.56313319321333</v>
      </c>
      <c r="L93" s="77">
        <f t="shared" si="16"/>
        <v>-4.0256313319321334E-4</v>
      </c>
      <c r="M93" s="77">
        <f t="shared" si="18"/>
        <v>-2.2308515730350533E-6</v>
      </c>
      <c r="O93">
        <v>89</v>
      </c>
      <c r="P93" s="19">
        <v>2753.546759108212</v>
      </c>
      <c r="Q93" s="77">
        <f t="shared" si="17"/>
        <v>-2.753546759108212E-3</v>
      </c>
      <c r="R93" s="77">
        <f t="shared" si="19"/>
        <v>-2.6629543218574091E-5</v>
      </c>
    </row>
    <row r="94" spans="1:18" x14ac:dyDescent="0.25">
      <c r="A94">
        <v>90</v>
      </c>
      <c r="B94" s="78"/>
      <c r="C94" s="78">
        <f t="shared" si="15"/>
        <v>0</v>
      </c>
      <c r="D94" s="4">
        <f t="shared" si="14"/>
        <v>0</v>
      </c>
      <c r="F94">
        <v>90</v>
      </c>
      <c r="H94" s="77"/>
      <c r="I94" s="77"/>
      <c r="K94" s="77">
        <v>404.79398476624851</v>
      </c>
      <c r="L94" s="77">
        <f t="shared" si="16"/>
        <v>-4.047939847662485E-4</v>
      </c>
      <c r="M94" s="77">
        <f t="shared" si="18"/>
        <v>-2.2308515730351617E-6</v>
      </c>
      <c r="O94">
        <v>90</v>
      </c>
      <c r="P94" s="19">
        <v>2780.1763023267863</v>
      </c>
      <c r="Q94" s="77">
        <f t="shared" si="17"/>
        <v>-2.7801763023267861E-3</v>
      </c>
      <c r="R94" s="77">
        <f t="shared" si="19"/>
        <v>-2.6629543218574091E-5</v>
      </c>
    </row>
    <row r="95" spans="1:18" x14ac:dyDescent="0.25">
      <c r="A95">
        <v>91</v>
      </c>
      <c r="B95" s="78"/>
      <c r="C95" s="78">
        <f t="shared" si="15"/>
        <v>0</v>
      </c>
      <c r="D95" s="4">
        <f t="shared" si="14"/>
        <v>0</v>
      </c>
      <c r="F95">
        <v>91</v>
      </c>
      <c r="H95" s="77"/>
      <c r="I95" s="77"/>
      <c r="K95" s="77">
        <v>407.02483633928364</v>
      </c>
      <c r="L95" s="77">
        <f t="shared" si="16"/>
        <v>-4.0702483633928366E-4</v>
      </c>
      <c r="M95" s="77">
        <f t="shared" si="18"/>
        <v>-2.2308515730351617E-6</v>
      </c>
      <c r="O95">
        <v>91</v>
      </c>
      <c r="P95" s="19">
        <f t="shared" ref="P95:P114" si="20">P94-P93+P94</f>
        <v>2806.8058455453606</v>
      </c>
      <c r="Q95" s="77">
        <f t="shared" si="17"/>
        <v>-2.8068058455453606E-3</v>
      </c>
      <c r="R95" s="77">
        <f t="shared" si="19"/>
        <v>-2.6629543218574525E-5</v>
      </c>
    </row>
    <row r="96" spans="1:18" x14ac:dyDescent="0.25">
      <c r="A96">
        <v>92</v>
      </c>
      <c r="B96" s="78"/>
      <c r="C96" s="78">
        <f t="shared" si="15"/>
        <v>0</v>
      </c>
      <c r="D96" s="4">
        <f t="shared" ref="D96:D114" si="21">C96-C95</f>
        <v>0</v>
      </c>
      <c r="F96">
        <v>92</v>
      </c>
      <c r="H96" s="77"/>
      <c r="I96" s="77"/>
      <c r="K96" s="77">
        <v>409.25568791231882</v>
      </c>
      <c r="L96" s="77">
        <f t="shared" si="16"/>
        <v>-4.0925568791231882E-4</v>
      </c>
      <c r="M96" s="77">
        <f t="shared" si="18"/>
        <v>-2.2308515730351617E-6</v>
      </c>
      <c r="O96">
        <v>92</v>
      </c>
      <c r="P96" s="19">
        <f t="shared" si="20"/>
        <v>2833.435388763935</v>
      </c>
      <c r="Q96" s="77">
        <f t="shared" si="17"/>
        <v>-2.8334353887639351E-3</v>
      </c>
      <c r="R96" s="77">
        <f t="shared" si="19"/>
        <v>-2.6629543218574525E-5</v>
      </c>
    </row>
    <row r="97" spans="1:18" x14ac:dyDescent="0.25">
      <c r="A97">
        <v>93</v>
      </c>
      <c r="B97" s="78"/>
      <c r="C97" s="78">
        <f t="shared" si="15"/>
        <v>0</v>
      </c>
      <c r="D97" s="4">
        <f t="shared" si="21"/>
        <v>0</v>
      </c>
      <c r="F97">
        <v>93</v>
      </c>
      <c r="H97" s="77"/>
      <c r="I97" s="77"/>
      <c r="K97" s="77">
        <v>411.486539485354</v>
      </c>
      <c r="L97" s="77">
        <f t="shared" si="16"/>
        <v>-4.1148653948535398E-4</v>
      </c>
      <c r="M97" s="77">
        <f t="shared" si="18"/>
        <v>-2.2308515730351617E-6</v>
      </c>
      <c r="O97">
        <v>93</v>
      </c>
      <c r="P97" s="19">
        <f t="shared" si="20"/>
        <v>2860.0649319825093</v>
      </c>
      <c r="Q97" s="77">
        <f t="shared" si="17"/>
        <v>-2.8600649319825092E-3</v>
      </c>
      <c r="R97" s="77">
        <f t="shared" si="19"/>
        <v>-2.6629543218574091E-5</v>
      </c>
    </row>
    <row r="98" spans="1:18" x14ac:dyDescent="0.25">
      <c r="A98">
        <v>94</v>
      </c>
      <c r="B98" s="78"/>
      <c r="C98" s="78">
        <f t="shared" si="15"/>
        <v>0</v>
      </c>
      <c r="D98" s="4">
        <f t="shared" si="21"/>
        <v>0</v>
      </c>
      <c r="F98">
        <v>94</v>
      </c>
      <c r="H98" s="77"/>
      <c r="I98" s="77"/>
      <c r="K98" s="77">
        <v>413.71739105838913</v>
      </c>
      <c r="L98" s="77">
        <f t="shared" si="16"/>
        <v>-4.1371739105838914E-4</v>
      </c>
      <c r="M98" s="77">
        <f t="shared" si="18"/>
        <v>-2.2308515730351617E-6</v>
      </c>
      <c r="O98">
        <v>94</v>
      </c>
      <c r="P98" s="19">
        <f t="shared" si="20"/>
        <v>2886.6944752010836</v>
      </c>
      <c r="Q98" s="77">
        <f t="shared" si="17"/>
        <v>-2.8866944752010838E-3</v>
      </c>
      <c r="R98" s="77">
        <f t="shared" si="19"/>
        <v>-2.6629543218574525E-5</v>
      </c>
    </row>
    <row r="99" spans="1:18" x14ac:dyDescent="0.25">
      <c r="A99">
        <v>95</v>
      </c>
      <c r="B99" s="78"/>
      <c r="C99" s="78">
        <f t="shared" si="15"/>
        <v>0</v>
      </c>
      <c r="D99" s="4">
        <f t="shared" si="21"/>
        <v>0</v>
      </c>
      <c r="F99">
        <v>95</v>
      </c>
      <c r="H99" s="77"/>
      <c r="I99" s="77"/>
      <c r="K99" s="77">
        <v>415.94824263142425</v>
      </c>
      <c r="L99" s="77">
        <f t="shared" si="16"/>
        <v>-4.1594824263142425E-4</v>
      </c>
      <c r="M99" s="77">
        <f t="shared" si="18"/>
        <v>-2.2308515730351075E-6</v>
      </c>
      <c r="O99">
        <v>95</v>
      </c>
      <c r="P99" s="19">
        <f t="shared" si="20"/>
        <v>2913.3240184196579</v>
      </c>
      <c r="Q99" s="77">
        <f t="shared" si="17"/>
        <v>-2.9133240184196578E-3</v>
      </c>
      <c r="R99" s="77">
        <f t="shared" si="19"/>
        <v>-2.6629543218574091E-5</v>
      </c>
    </row>
    <row r="100" spans="1:18" x14ac:dyDescent="0.25">
      <c r="A100">
        <v>96</v>
      </c>
      <c r="B100" s="78"/>
      <c r="C100" s="78">
        <f t="shared" si="15"/>
        <v>0</v>
      </c>
      <c r="D100" s="4">
        <f t="shared" si="21"/>
        <v>0</v>
      </c>
      <c r="F100">
        <v>96</v>
      </c>
      <c r="H100" s="77"/>
      <c r="I100" s="77"/>
      <c r="K100" s="77">
        <v>418.17909420445943</v>
      </c>
      <c r="L100" s="77">
        <f t="shared" si="16"/>
        <v>-4.1817909420445941E-4</v>
      </c>
      <c r="M100" s="77">
        <f t="shared" si="18"/>
        <v>-2.2308515730351617E-6</v>
      </c>
      <c r="O100">
        <v>96</v>
      </c>
      <c r="P100" s="19">
        <f t="shared" si="20"/>
        <v>2939.9535616382323</v>
      </c>
      <c r="Q100" s="77">
        <f t="shared" si="17"/>
        <v>-2.9399535616382324E-3</v>
      </c>
      <c r="R100" s="77">
        <f t="shared" si="19"/>
        <v>-2.6629543218574525E-5</v>
      </c>
    </row>
    <row r="101" spans="1:18" x14ac:dyDescent="0.25">
      <c r="A101">
        <v>97</v>
      </c>
      <c r="B101" s="78"/>
      <c r="C101" s="78">
        <f t="shared" ref="C101:C114" si="22">-B101/1000000</f>
        <v>0</v>
      </c>
      <c r="D101" s="4">
        <f t="shared" si="21"/>
        <v>0</v>
      </c>
      <c r="F101">
        <v>97</v>
      </c>
      <c r="H101" s="77"/>
      <c r="I101" s="77"/>
      <c r="K101" s="77">
        <v>420.40994577749461</v>
      </c>
      <c r="L101" s="77">
        <f t="shared" ref="L101:L114" si="23">-K101/1000000</f>
        <v>-4.2040994577749463E-4</v>
      </c>
      <c r="M101" s="77">
        <f t="shared" si="18"/>
        <v>-2.2308515730352159E-6</v>
      </c>
      <c r="O101">
        <v>97</v>
      </c>
      <c r="P101" s="19">
        <f t="shared" si="20"/>
        <v>2966.5831048568066</v>
      </c>
      <c r="Q101" s="77">
        <f t="shared" ref="Q101:Q114" si="24">-P101/1000000</f>
        <v>-2.9665831048568065E-3</v>
      </c>
      <c r="R101" s="77">
        <f t="shared" si="19"/>
        <v>-2.6629543218574091E-5</v>
      </c>
    </row>
    <row r="102" spans="1:18" x14ac:dyDescent="0.25">
      <c r="A102">
        <v>98</v>
      </c>
      <c r="B102" s="78"/>
      <c r="C102" s="78">
        <f t="shared" si="22"/>
        <v>0</v>
      </c>
      <c r="D102" s="4">
        <f t="shared" si="21"/>
        <v>0</v>
      </c>
      <c r="F102">
        <v>98</v>
      </c>
      <c r="H102" s="77"/>
      <c r="I102" s="77"/>
      <c r="K102" s="77">
        <v>422.64079735052974</v>
      </c>
      <c r="L102" s="77">
        <f t="shared" si="23"/>
        <v>-4.2264079735052974E-4</v>
      </c>
      <c r="M102" s="77">
        <f t="shared" ref="M102:M114" si="25">L102-L101</f>
        <v>-2.2308515730351075E-6</v>
      </c>
      <c r="O102">
        <v>98</v>
      </c>
      <c r="P102" s="19">
        <f t="shared" si="20"/>
        <v>2993.2126480753809</v>
      </c>
      <c r="Q102" s="77">
        <f t="shared" si="24"/>
        <v>-2.993212648075381E-3</v>
      </c>
      <c r="R102" s="77">
        <f t="shared" ref="R102:R114" si="26">Q102-Q101</f>
        <v>-2.6629543218574525E-5</v>
      </c>
    </row>
    <row r="103" spans="1:18" x14ac:dyDescent="0.25">
      <c r="A103">
        <v>99</v>
      </c>
      <c r="B103" s="78"/>
      <c r="C103" s="78">
        <f t="shared" si="22"/>
        <v>0</v>
      </c>
      <c r="D103" s="4">
        <f t="shared" si="21"/>
        <v>0</v>
      </c>
      <c r="F103">
        <v>99</v>
      </c>
      <c r="H103" s="77"/>
      <c r="I103" s="77"/>
      <c r="K103" s="77">
        <v>424.87164892356486</v>
      </c>
      <c r="L103" s="77">
        <f t="shared" si="23"/>
        <v>-4.2487164892356485E-4</v>
      </c>
      <c r="M103" s="77">
        <f t="shared" si="25"/>
        <v>-2.2308515730351075E-6</v>
      </c>
      <c r="O103">
        <v>99</v>
      </c>
      <c r="P103" s="19">
        <f t="shared" si="20"/>
        <v>3019.8421912939552</v>
      </c>
      <c r="Q103" s="77">
        <f t="shared" si="24"/>
        <v>-3.0198421912939551E-3</v>
      </c>
      <c r="R103" s="77">
        <f t="shared" si="26"/>
        <v>-2.6629543218574091E-5</v>
      </c>
    </row>
    <row r="104" spans="1:18" x14ac:dyDescent="0.25">
      <c r="A104">
        <v>100</v>
      </c>
      <c r="B104" s="78"/>
      <c r="C104" s="78">
        <f t="shared" si="22"/>
        <v>0</v>
      </c>
      <c r="D104" s="4">
        <f t="shared" si="21"/>
        <v>0</v>
      </c>
      <c r="F104">
        <v>100</v>
      </c>
      <c r="H104" s="77"/>
      <c r="I104" s="77"/>
      <c r="K104" s="77">
        <v>427.10250049659999</v>
      </c>
      <c r="L104" s="77">
        <f t="shared" si="23"/>
        <v>-4.2710250049660001E-4</v>
      </c>
      <c r="M104" s="77">
        <f t="shared" si="25"/>
        <v>-2.2308515730351617E-6</v>
      </c>
      <c r="O104">
        <v>100</v>
      </c>
      <c r="P104" s="19">
        <f t="shared" si="20"/>
        <v>3046.4717345125296</v>
      </c>
      <c r="Q104" s="77">
        <f t="shared" si="24"/>
        <v>-3.0464717345125296E-3</v>
      </c>
      <c r="R104" s="77">
        <f t="shared" si="26"/>
        <v>-2.6629543218574525E-5</v>
      </c>
    </row>
    <row r="105" spans="1:18" x14ac:dyDescent="0.25">
      <c r="A105">
        <v>101</v>
      </c>
      <c r="B105" s="78"/>
      <c r="C105" s="78">
        <f t="shared" si="22"/>
        <v>0</v>
      </c>
      <c r="D105" s="4">
        <f t="shared" si="21"/>
        <v>0</v>
      </c>
      <c r="F105">
        <v>101</v>
      </c>
      <c r="H105" s="77"/>
      <c r="I105" s="77"/>
      <c r="K105" s="77">
        <v>429.33335206963517</v>
      </c>
      <c r="L105" s="77">
        <f t="shared" si="23"/>
        <v>-4.2933335206963517E-4</v>
      </c>
      <c r="M105" s="77">
        <f t="shared" si="25"/>
        <v>-2.2308515730351617E-6</v>
      </c>
      <c r="O105">
        <v>101</v>
      </c>
      <c r="P105" s="19">
        <f t="shared" si="20"/>
        <v>3073.1012777311039</v>
      </c>
      <c r="Q105" s="77">
        <f t="shared" si="24"/>
        <v>-3.0731012777311037E-3</v>
      </c>
      <c r="R105" s="77">
        <f t="shared" si="26"/>
        <v>-2.6629543218574091E-5</v>
      </c>
    </row>
    <row r="106" spans="1:18" x14ac:dyDescent="0.25">
      <c r="A106">
        <v>102</v>
      </c>
      <c r="B106" s="78"/>
      <c r="C106" s="78">
        <f t="shared" si="22"/>
        <v>0</v>
      </c>
      <c r="D106" s="4">
        <f t="shared" si="21"/>
        <v>0</v>
      </c>
      <c r="F106">
        <v>102</v>
      </c>
      <c r="H106" s="77"/>
      <c r="I106" s="77"/>
      <c r="K106" s="77">
        <v>431.56420364267035</v>
      </c>
      <c r="L106" s="77">
        <f t="shared" si="23"/>
        <v>-4.3156420364267033E-4</v>
      </c>
      <c r="M106" s="77">
        <f t="shared" si="25"/>
        <v>-2.2308515730351617E-6</v>
      </c>
      <c r="O106">
        <v>102</v>
      </c>
      <c r="P106" s="19">
        <f t="shared" si="20"/>
        <v>3099.7308209496782</v>
      </c>
      <c r="Q106" s="77">
        <f t="shared" si="24"/>
        <v>-3.0997308209496782E-3</v>
      </c>
      <c r="R106" s="77">
        <f t="shared" si="26"/>
        <v>-2.6629543218574525E-5</v>
      </c>
    </row>
    <row r="107" spans="1:18" x14ac:dyDescent="0.25">
      <c r="A107">
        <v>103</v>
      </c>
      <c r="B107" s="78"/>
      <c r="C107" s="78">
        <f t="shared" si="22"/>
        <v>0</v>
      </c>
      <c r="D107" s="4">
        <f t="shared" si="21"/>
        <v>0</v>
      </c>
      <c r="F107">
        <v>103</v>
      </c>
      <c r="H107" s="77"/>
      <c r="I107" s="77"/>
      <c r="K107" s="77">
        <v>433.79505521570547</v>
      </c>
      <c r="L107" s="77">
        <f t="shared" si="23"/>
        <v>-4.3379505521570549E-4</v>
      </c>
      <c r="M107" s="77">
        <f t="shared" si="25"/>
        <v>-2.2308515730351617E-6</v>
      </c>
      <c r="O107">
        <v>103</v>
      </c>
      <c r="P107" s="19">
        <f t="shared" si="20"/>
        <v>3126.3603641682525</v>
      </c>
      <c r="Q107" s="77">
        <f t="shared" si="24"/>
        <v>-3.1263603641682527E-3</v>
      </c>
      <c r="R107" s="77">
        <f t="shared" si="26"/>
        <v>-2.6629543218574525E-5</v>
      </c>
    </row>
    <row r="108" spans="1:18" x14ac:dyDescent="0.25">
      <c r="A108">
        <v>104</v>
      </c>
      <c r="B108" s="78"/>
      <c r="C108" s="78">
        <f t="shared" si="22"/>
        <v>0</v>
      </c>
      <c r="D108" s="4">
        <f t="shared" si="21"/>
        <v>0</v>
      </c>
      <c r="F108">
        <v>104</v>
      </c>
      <c r="H108" s="77"/>
      <c r="I108" s="77"/>
      <c r="K108" s="77">
        <v>436.02590678874066</v>
      </c>
      <c r="L108" s="77">
        <f t="shared" si="23"/>
        <v>-4.3602590678874065E-4</v>
      </c>
      <c r="M108" s="77">
        <f t="shared" si="25"/>
        <v>-2.2308515730351617E-6</v>
      </c>
      <c r="O108">
        <v>104</v>
      </c>
      <c r="P108" s="19">
        <f t="shared" si="20"/>
        <v>3152.9899073868269</v>
      </c>
      <c r="Q108" s="77">
        <f t="shared" si="24"/>
        <v>-3.1529899073868268E-3</v>
      </c>
      <c r="R108" s="77">
        <f t="shared" si="26"/>
        <v>-2.6629543218574091E-5</v>
      </c>
    </row>
    <row r="109" spans="1:18" x14ac:dyDescent="0.25">
      <c r="A109">
        <v>105</v>
      </c>
      <c r="B109" s="78"/>
      <c r="C109" s="78">
        <f t="shared" si="22"/>
        <v>0</v>
      </c>
      <c r="D109" s="4">
        <f t="shared" si="21"/>
        <v>0</v>
      </c>
      <c r="F109">
        <v>105</v>
      </c>
      <c r="H109" s="77"/>
      <c r="I109" s="77"/>
      <c r="K109" s="77">
        <v>438.25675836177584</v>
      </c>
      <c r="L109" s="77">
        <f t="shared" si="23"/>
        <v>-4.3825675836177582E-4</v>
      </c>
      <c r="M109" s="77">
        <f t="shared" si="25"/>
        <v>-2.2308515730351617E-6</v>
      </c>
      <c r="O109">
        <v>105</v>
      </c>
      <c r="P109" s="19">
        <f t="shared" si="20"/>
        <v>3179.6194506054012</v>
      </c>
      <c r="Q109" s="77">
        <f t="shared" si="24"/>
        <v>-3.1796194506054014E-3</v>
      </c>
      <c r="R109" s="77">
        <f t="shared" si="26"/>
        <v>-2.6629543218574525E-5</v>
      </c>
    </row>
    <row r="110" spans="1:18" x14ac:dyDescent="0.25">
      <c r="A110">
        <v>106</v>
      </c>
      <c r="B110" s="78"/>
      <c r="C110" s="78">
        <f t="shared" si="22"/>
        <v>0</v>
      </c>
      <c r="D110" s="4">
        <f t="shared" si="21"/>
        <v>0</v>
      </c>
      <c r="F110">
        <v>106</v>
      </c>
      <c r="H110" s="77"/>
      <c r="I110" s="77"/>
      <c r="K110" s="77">
        <v>440.48760993481096</v>
      </c>
      <c r="L110" s="77">
        <f t="shared" si="23"/>
        <v>-4.4048760993481098E-4</v>
      </c>
      <c r="M110" s="77">
        <f t="shared" si="25"/>
        <v>-2.2308515730351617E-6</v>
      </c>
      <c r="O110">
        <v>106</v>
      </c>
      <c r="P110" s="19">
        <f t="shared" si="20"/>
        <v>3206.2489938239755</v>
      </c>
      <c r="Q110" s="77">
        <f t="shared" si="24"/>
        <v>-3.2062489938239755E-3</v>
      </c>
      <c r="R110" s="77">
        <f t="shared" si="26"/>
        <v>-2.6629543218574091E-5</v>
      </c>
    </row>
    <row r="111" spans="1:18" x14ac:dyDescent="0.25">
      <c r="A111">
        <v>107</v>
      </c>
      <c r="B111" s="78"/>
      <c r="C111" s="78">
        <f t="shared" si="22"/>
        <v>0</v>
      </c>
      <c r="D111" s="4">
        <f t="shared" si="21"/>
        <v>0</v>
      </c>
      <c r="F111">
        <v>107</v>
      </c>
      <c r="H111" s="77"/>
      <c r="I111" s="77"/>
      <c r="K111" s="77">
        <v>442.71846150784609</v>
      </c>
      <c r="L111" s="77">
        <f t="shared" si="23"/>
        <v>-4.4271846150784608E-4</v>
      </c>
      <c r="M111" s="77">
        <f t="shared" si="25"/>
        <v>-2.2308515730351075E-6</v>
      </c>
      <c r="O111">
        <v>107</v>
      </c>
      <c r="P111" s="19">
        <f t="shared" si="20"/>
        <v>3232.8785370425499</v>
      </c>
      <c r="Q111" s="77">
        <f t="shared" si="24"/>
        <v>-3.23287853704255E-3</v>
      </c>
      <c r="R111" s="77">
        <f t="shared" si="26"/>
        <v>-2.6629543218574525E-5</v>
      </c>
    </row>
    <row r="112" spans="1:18" x14ac:dyDescent="0.25">
      <c r="A112">
        <v>108</v>
      </c>
      <c r="B112" s="78"/>
      <c r="C112" s="78">
        <f t="shared" si="22"/>
        <v>0</v>
      </c>
      <c r="D112" s="4">
        <f t="shared" si="21"/>
        <v>0</v>
      </c>
      <c r="F112">
        <v>108</v>
      </c>
      <c r="H112" s="77"/>
      <c r="I112" s="77"/>
      <c r="K112" s="77">
        <v>444.94931308088121</v>
      </c>
      <c r="L112" s="77">
        <f t="shared" si="23"/>
        <v>-4.4494931308088119E-4</v>
      </c>
      <c r="M112" s="77">
        <f t="shared" si="25"/>
        <v>-2.2308515730351075E-6</v>
      </c>
      <c r="O112">
        <v>108</v>
      </c>
      <c r="P112" s="19">
        <f t="shared" si="20"/>
        <v>3259.5080802611242</v>
      </c>
      <c r="Q112" s="77">
        <f t="shared" si="24"/>
        <v>-3.2595080802611241E-3</v>
      </c>
      <c r="R112" s="77">
        <f t="shared" si="26"/>
        <v>-2.6629543218574091E-5</v>
      </c>
    </row>
    <row r="113" spans="1:18" x14ac:dyDescent="0.25">
      <c r="A113">
        <v>109</v>
      </c>
      <c r="B113" s="78"/>
      <c r="C113" s="78">
        <f t="shared" si="22"/>
        <v>0</v>
      </c>
      <c r="D113" s="4">
        <f t="shared" si="21"/>
        <v>0</v>
      </c>
      <c r="F113">
        <v>109</v>
      </c>
      <c r="H113" s="77"/>
      <c r="I113" s="77"/>
      <c r="K113" s="77">
        <v>447.18016465391634</v>
      </c>
      <c r="L113" s="77">
        <f t="shared" si="23"/>
        <v>-4.4718016465391635E-4</v>
      </c>
      <c r="M113" s="77">
        <f t="shared" si="25"/>
        <v>-2.2308515730351617E-6</v>
      </c>
      <c r="O113">
        <v>109</v>
      </c>
      <c r="P113" s="19">
        <f t="shared" si="20"/>
        <v>3286.1376234796985</v>
      </c>
      <c r="Q113" s="77">
        <f t="shared" si="24"/>
        <v>-3.2861376234796986E-3</v>
      </c>
      <c r="R113" s="77">
        <f t="shared" si="26"/>
        <v>-2.6629543218574525E-5</v>
      </c>
    </row>
    <row r="114" spans="1:18" x14ac:dyDescent="0.25">
      <c r="A114">
        <v>110</v>
      </c>
      <c r="B114" s="78"/>
      <c r="C114" s="78">
        <f t="shared" si="22"/>
        <v>0</v>
      </c>
      <c r="D114" s="4">
        <f t="shared" si="21"/>
        <v>0</v>
      </c>
      <c r="F114">
        <v>110</v>
      </c>
      <c r="H114" s="77"/>
      <c r="I114" s="77"/>
      <c r="K114" s="77">
        <v>449.41101622695152</v>
      </c>
      <c r="L114" s="77">
        <f t="shared" si="23"/>
        <v>-4.4941101622695152E-4</v>
      </c>
      <c r="M114" s="77">
        <f t="shared" si="25"/>
        <v>-2.2308515730351617E-6</v>
      </c>
      <c r="O114">
        <v>110</v>
      </c>
      <c r="P114" s="19">
        <f t="shared" si="20"/>
        <v>3312.7671666982728</v>
      </c>
      <c r="Q114" s="77">
        <f t="shared" si="24"/>
        <v>-3.3127671666982727E-3</v>
      </c>
      <c r="R114" s="77">
        <f t="shared" si="26"/>
        <v>-2.6629543218574091E-5</v>
      </c>
    </row>
    <row r="140" spans="14:18" x14ac:dyDescent="0.25">
      <c r="N140" s="63"/>
      <c r="O140" s="63"/>
      <c r="P140" s="63"/>
      <c r="Q140" s="63"/>
      <c r="R140" s="63"/>
    </row>
    <row r="141" spans="14:18" x14ac:dyDescent="0.25">
      <c r="N141" s="63"/>
      <c r="O141" s="63"/>
      <c r="P141" s="63"/>
      <c r="Q141" s="63"/>
      <c r="R141" s="63"/>
    </row>
    <row r="142" spans="14:18" x14ac:dyDescent="0.25">
      <c r="N142" s="63"/>
      <c r="O142" s="63"/>
      <c r="P142" s="63"/>
      <c r="Q142" s="63"/>
      <c r="R142" s="63"/>
    </row>
    <row r="143" spans="14:18" x14ac:dyDescent="0.25">
      <c r="N143" s="63"/>
      <c r="O143" s="63"/>
      <c r="P143" s="63"/>
      <c r="Q143" s="63"/>
      <c r="R143" s="63"/>
    </row>
    <row r="144" spans="14:18" x14ac:dyDescent="0.25">
      <c r="N144" s="63"/>
      <c r="O144" s="63"/>
      <c r="P144" s="63"/>
      <c r="Q144" s="63"/>
      <c r="R144" s="63"/>
    </row>
    <row r="145" spans="14:18" x14ac:dyDescent="0.25">
      <c r="N145" s="63"/>
      <c r="O145" s="63"/>
      <c r="P145" s="63"/>
      <c r="Q145" s="63"/>
      <c r="R145" s="63"/>
    </row>
    <row r="146" spans="14:18" x14ac:dyDescent="0.25">
      <c r="N146" s="63"/>
      <c r="O146" s="63"/>
      <c r="P146" s="63"/>
      <c r="Q146" s="63"/>
      <c r="R146" s="63"/>
    </row>
    <row r="147" spans="14:18" x14ac:dyDescent="0.25">
      <c r="N147" s="63"/>
      <c r="O147" s="63"/>
      <c r="P147" s="63"/>
      <c r="Q147" s="63"/>
      <c r="R147" s="63"/>
    </row>
    <row r="148" spans="14:18" x14ac:dyDescent="0.25">
      <c r="N148" s="63"/>
      <c r="O148" s="63"/>
      <c r="P148" s="63"/>
      <c r="Q148" s="63"/>
      <c r="R148" s="63"/>
    </row>
    <row r="149" spans="14:18" x14ac:dyDescent="0.25">
      <c r="N149" s="63"/>
      <c r="O149" s="63"/>
      <c r="P149" s="63"/>
      <c r="Q149" s="63"/>
      <c r="R149" s="63"/>
    </row>
    <row r="150" spans="14:18" x14ac:dyDescent="0.25">
      <c r="N150" s="63"/>
      <c r="O150" s="63"/>
      <c r="P150" s="63"/>
      <c r="Q150" s="63"/>
      <c r="R150" s="63"/>
    </row>
    <row r="151" spans="14:18" x14ac:dyDescent="0.25">
      <c r="N151" s="63"/>
      <c r="O151" s="63"/>
      <c r="P151" s="63"/>
      <c r="Q151" s="63"/>
      <c r="R151" s="63"/>
    </row>
    <row r="152" spans="14:18" x14ac:dyDescent="0.25">
      <c r="N152" s="63"/>
      <c r="O152" s="63"/>
      <c r="P152" s="63"/>
      <c r="Q152" s="63"/>
      <c r="R152" s="63"/>
    </row>
    <row r="153" spans="14:18" x14ac:dyDescent="0.25">
      <c r="N153" s="63"/>
      <c r="O153" s="63"/>
      <c r="P153" s="63"/>
      <c r="Q153" s="63"/>
      <c r="R153" s="63"/>
    </row>
    <row r="154" spans="14:18" x14ac:dyDescent="0.25">
      <c r="N154" s="63"/>
      <c r="O154" s="63"/>
      <c r="P154" s="63"/>
      <c r="Q154" s="63"/>
      <c r="R154" s="63"/>
    </row>
    <row r="155" spans="14:18" x14ac:dyDescent="0.25">
      <c r="N155" s="63"/>
      <c r="O155" s="63"/>
      <c r="P155" s="63"/>
      <c r="Q155" s="63"/>
      <c r="R155" s="63"/>
    </row>
    <row r="156" spans="14:18" x14ac:dyDescent="0.25">
      <c r="N156" s="63"/>
      <c r="O156" s="63"/>
      <c r="P156" s="63"/>
      <c r="Q156" s="63"/>
      <c r="R156" s="63"/>
    </row>
    <row r="157" spans="14:18" x14ac:dyDescent="0.25">
      <c r="N157" s="63"/>
      <c r="O157" s="63"/>
      <c r="P157" s="63"/>
      <c r="Q157" s="63"/>
      <c r="R157" s="63"/>
    </row>
    <row r="158" spans="14:18" x14ac:dyDescent="0.25">
      <c r="N158" s="63"/>
      <c r="O158" s="63"/>
      <c r="P158" s="63"/>
      <c r="Q158" s="63"/>
      <c r="R158" s="63"/>
    </row>
    <row r="159" spans="14:18" x14ac:dyDescent="0.25">
      <c r="N159" s="63"/>
      <c r="O159" s="63"/>
      <c r="P159" s="63"/>
      <c r="Q159" s="63"/>
      <c r="R159" s="63"/>
    </row>
    <row r="160" spans="14:18" x14ac:dyDescent="0.25">
      <c r="N160" s="63"/>
      <c r="O160" s="63"/>
      <c r="P160" s="63"/>
      <c r="Q160" s="63"/>
      <c r="R160" s="63"/>
    </row>
    <row r="161" spans="14:18" x14ac:dyDescent="0.25">
      <c r="N161" s="63"/>
      <c r="O161" s="63"/>
      <c r="P161" s="63"/>
      <c r="Q161" s="63"/>
      <c r="R161" s="63"/>
    </row>
    <row r="162" spans="14:18" x14ac:dyDescent="0.25">
      <c r="N162" s="63"/>
      <c r="O162" s="63"/>
      <c r="P162" s="63"/>
      <c r="Q162" s="63"/>
      <c r="R162" s="63"/>
    </row>
    <row r="163" spans="14:18" x14ac:dyDescent="0.25">
      <c r="N163" s="63"/>
      <c r="O163" s="63"/>
      <c r="P163" s="63"/>
      <c r="Q163" s="63"/>
      <c r="R163" s="63"/>
    </row>
    <row r="164" spans="14:18" x14ac:dyDescent="0.25">
      <c r="N164" s="63"/>
      <c r="O164" s="63"/>
      <c r="P164" s="63"/>
      <c r="Q164" s="63"/>
      <c r="R164" s="63"/>
    </row>
    <row r="165" spans="14:18" x14ac:dyDescent="0.25">
      <c r="N165" s="63"/>
      <c r="O165" s="63"/>
      <c r="P165" s="63"/>
      <c r="Q165" s="63"/>
      <c r="R165" s="63"/>
    </row>
    <row r="166" spans="14:18" x14ac:dyDescent="0.25">
      <c r="N166" s="63"/>
      <c r="O166" s="63"/>
      <c r="P166" s="63"/>
      <c r="Q166" s="63"/>
      <c r="R166" s="63"/>
    </row>
    <row r="167" spans="14:18" x14ac:dyDescent="0.25">
      <c r="N167" s="63"/>
      <c r="O167" s="63"/>
      <c r="P167" s="63"/>
      <c r="Q167" s="63"/>
      <c r="R167" s="63"/>
    </row>
    <row r="168" spans="14:18" x14ac:dyDescent="0.25">
      <c r="N168" s="63"/>
      <c r="O168" s="63"/>
      <c r="P168" s="63"/>
      <c r="Q168" s="63"/>
      <c r="R168" s="63"/>
    </row>
    <row r="169" spans="14:18" x14ac:dyDescent="0.25">
      <c r="N169" s="63"/>
      <c r="O169" s="63"/>
      <c r="P169" s="63"/>
      <c r="Q169" s="63"/>
      <c r="R169" s="63"/>
    </row>
    <row r="170" spans="14:18" x14ac:dyDescent="0.25">
      <c r="N170" s="63"/>
      <c r="O170" s="63"/>
      <c r="P170" s="63"/>
      <c r="Q170" s="63"/>
      <c r="R170" s="63"/>
    </row>
    <row r="171" spans="14:18" x14ac:dyDescent="0.25">
      <c r="N171" s="63"/>
      <c r="O171" s="63"/>
      <c r="P171" s="63"/>
      <c r="Q171" s="63"/>
      <c r="R171" s="63"/>
    </row>
    <row r="172" spans="14:18" x14ac:dyDescent="0.25">
      <c r="N172" s="63"/>
      <c r="O172" s="63"/>
      <c r="P172" s="63"/>
      <c r="Q172" s="63"/>
      <c r="R172" s="63"/>
    </row>
    <row r="173" spans="14:18" x14ac:dyDescent="0.25">
      <c r="N173" s="63"/>
      <c r="O173" s="63"/>
      <c r="P173" s="63"/>
      <c r="Q173" s="63"/>
      <c r="R173" s="63"/>
    </row>
    <row r="174" spans="14:18" x14ac:dyDescent="0.25">
      <c r="N174" s="63"/>
      <c r="O174" s="63"/>
      <c r="P174" s="63"/>
      <c r="Q174" s="63"/>
      <c r="R174" s="63"/>
    </row>
    <row r="175" spans="14:18" x14ac:dyDescent="0.25">
      <c r="N175" s="63"/>
      <c r="O175" s="63"/>
      <c r="P175" s="63"/>
      <c r="Q175" s="63"/>
      <c r="R175" s="63"/>
    </row>
    <row r="176" spans="14:18" x14ac:dyDescent="0.25">
      <c r="N176" s="63"/>
      <c r="O176" s="63"/>
      <c r="P176" s="63"/>
      <c r="Q176" s="63"/>
      <c r="R176" s="63"/>
    </row>
    <row r="177" spans="14:18" x14ac:dyDescent="0.25">
      <c r="N177" s="63"/>
      <c r="O177" s="63"/>
      <c r="P177" s="63"/>
      <c r="Q177" s="63"/>
      <c r="R177" s="63"/>
    </row>
    <row r="178" spans="14:18" x14ac:dyDescent="0.25">
      <c r="N178" s="63"/>
      <c r="O178" s="63"/>
      <c r="P178" s="63"/>
      <c r="Q178" s="63"/>
      <c r="R178" s="63"/>
    </row>
    <row r="179" spans="14:18" x14ac:dyDescent="0.25">
      <c r="N179" s="63"/>
      <c r="O179" s="63"/>
      <c r="P179" s="63"/>
      <c r="Q179" s="63"/>
      <c r="R179" s="63"/>
    </row>
    <row r="180" spans="14:18" x14ac:dyDescent="0.25">
      <c r="N180" s="63"/>
      <c r="O180" s="63"/>
      <c r="P180" s="63"/>
      <c r="Q180" s="63"/>
      <c r="R180" s="63"/>
    </row>
    <row r="181" spans="14:18" x14ac:dyDescent="0.25">
      <c r="N181" s="63"/>
      <c r="O181" s="63"/>
      <c r="P181" s="63"/>
      <c r="Q181" s="63"/>
      <c r="R181" s="63"/>
    </row>
    <row r="182" spans="14:18" x14ac:dyDescent="0.25">
      <c r="N182" s="63"/>
      <c r="O182" s="63"/>
      <c r="P182" s="63"/>
      <c r="Q182" s="63"/>
      <c r="R182" s="63"/>
    </row>
    <row r="183" spans="14:18" x14ac:dyDescent="0.25">
      <c r="N183" s="63"/>
      <c r="O183" s="63"/>
      <c r="P183" s="63"/>
      <c r="Q183" s="63"/>
      <c r="R183" s="63"/>
    </row>
    <row r="184" spans="14:18" x14ac:dyDescent="0.25">
      <c r="N184" s="63"/>
      <c r="O184" s="63"/>
      <c r="P184" s="63"/>
      <c r="Q184" s="63"/>
      <c r="R184" s="63"/>
    </row>
    <row r="185" spans="14:18" x14ac:dyDescent="0.25">
      <c r="N185" s="63"/>
      <c r="O185" s="63"/>
      <c r="P185" s="63"/>
      <c r="Q185" s="63"/>
      <c r="R185" s="63"/>
    </row>
    <row r="186" spans="14:18" x14ac:dyDescent="0.25">
      <c r="N186" s="63"/>
      <c r="O186" s="63"/>
      <c r="P186" s="63"/>
      <c r="Q186" s="63"/>
      <c r="R186" s="63"/>
    </row>
    <row r="187" spans="14:18" x14ac:dyDescent="0.25">
      <c r="N187" s="63"/>
      <c r="O187" s="63"/>
      <c r="P187" s="63"/>
      <c r="Q187" s="63"/>
      <c r="R187" s="63"/>
    </row>
    <row r="188" spans="14:18" x14ac:dyDescent="0.25">
      <c r="N188" s="63"/>
      <c r="O188" s="63"/>
      <c r="P188" s="63"/>
      <c r="Q188" s="63"/>
      <c r="R188" s="63"/>
    </row>
    <row r="189" spans="14:18" x14ac:dyDescent="0.25">
      <c r="N189" s="63"/>
      <c r="O189" s="63"/>
      <c r="P189" s="63"/>
      <c r="Q189" s="63"/>
      <c r="R189" s="63"/>
    </row>
    <row r="190" spans="14:18" x14ac:dyDescent="0.25">
      <c r="N190" s="63"/>
      <c r="O190" s="63"/>
      <c r="P190" s="63"/>
      <c r="Q190" s="63"/>
      <c r="R190" s="63"/>
    </row>
    <row r="191" spans="14:18" x14ac:dyDescent="0.25">
      <c r="N191" s="63"/>
      <c r="O191" s="63"/>
      <c r="P191" s="63"/>
      <c r="Q191" s="63"/>
      <c r="R191" s="63"/>
    </row>
    <row r="192" spans="14:18" x14ac:dyDescent="0.25">
      <c r="N192" s="63"/>
      <c r="O192" s="63"/>
      <c r="P192" s="63"/>
      <c r="Q192" s="63"/>
      <c r="R192" s="63"/>
    </row>
    <row r="193" spans="14:18" x14ac:dyDescent="0.25">
      <c r="N193" s="63"/>
      <c r="O193" s="63"/>
      <c r="P193" s="63"/>
      <c r="Q193" s="63"/>
      <c r="R193" s="63"/>
    </row>
    <row r="194" spans="14:18" x14ac:dyDescent="0.25">
      <c r="N194" s="63"/>
      <c r="O194" s="63"/>
      <c r="P194" s="63"/>
      <c r="Q194" s="63"/>
      <c r="R194" s="63"/>
    </row>
    <row r="195" spans="14:18" x14ac:dyDescent="0.25">
      <c r="N195" s="63"/>
      <c r="O195" s="63"/>
      <c r="P195" s="63"/>
      <c r="Q195" s="63"/>
      <c r="R195" s="63"/>
    </row>
    <row r="196" spans="14:18" x14ac:dyDescent="0.25">
      <c r="N196" s="63"/>
      <c r="O196" s="63"/>
      <c r="P196" s="63"/>
      <c r="Q196" s="63"/>
      <c r="R196" s="63"/>
    </row>
  </sheetData>
  <mergeCells count="8">
    <mergeCell ref="P3:R3"/>
    <mergeCell ref="P2:R2"/>
    <mergeCell ref="B2:D2"/>
    <mergeCell ref="G2:I2"/>
    <mergeCell ref="K2:M2"/>
    <mergeCell ref="B3:D3"/>
    <mergeCell ref="G3:I3"/>
    <mergeCell ref="K3:M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9621F-B1F8-41DE-9EEA-74B093D52194}">
  <sheetPr codeName="Sheet3"/>
  <dimension ref="A1:Z112"/>
  <sheetViews>
    <sheetView zoomScale="70" zoomScaleNormal="70" workbookViewId="0">
      <selection activeCell="AA22" sqref="AA22"/>
    </sheetView>
  </sheetViews>
  <sheetFormatPr defaultColWidth="8.85546875" defaultRowHeight="15" x14ac:dyDescent="0.25"/>
  <cols>
    <col min="1" max="1" width="16.5703125" customWidth="1"/>
    <col min="2" max="2" width="6.85546875" customWidth="1"/>
    <col min="3" max="4" width="9.85546875" bestFit="1" customWidth="1"/>
    <col min="5" max="6" width="9" bestFit="1" customWidth="1"/>
    <col min="7" max="7" width="9.85546875" bestFit="1" customWidth="1"/>
    <col min="8" max="8" width="9" bestFit="1" customWidth="1"/>
    <col min="9" max="9" width="9.85546875" bestFit="1" customWidth="1"/>
    <col min="10" max="16" width="9" bestFit="1" customWidth="1"/>
    <col min="21" max="21" width="11.140625" bestFit="1" customWidth="1"/>
    <col min="22" max="22" width="9.85546875" bestFit="1" customWidth="1"/>
    <col min="23" max="23" width="9" bestFit="1" customWidth="1"/>
    <col min="24" max="24" width="9.85546875" bestFit="1" customWidth="1"/>
    <col min="25" max="25" width="14.85546875" bestFit="1" customWidth="1"/>
    <col min="26" max="26" width="17" customWidth="1"/>
  </cols>
  <sheetData>
    <row r="1" spans="1:26" x14ac:dyDescent="0.25">
      <c r="A1" t="s">
        <v>445</v>
      </c>
    </row>
    <row r="2" spans="1:26" x14ac:dyDescent="0.25">
      <c r="A2" s="12"/>
      <c r="B2" s="12"/>
      <c r="C2" s="12" t="s">
        <v>186</v>
      </c>
      <c r="D2" s="12"/>
      <c r="E2" s="12"/>
      <c r="F2" s="12"/>
      <c r="G2" s="12"/>
      <c r="H2" s="12"/>
      <c r="I2" s="12"/>
      <c r="J2" s="12" t="s">
        <v>446</v>
      </c>
      <c r="K2" s="12"/>
      <c r="L2" s="12"/>
      <c r="M2" s="12"/>
      <c r="N2" s="12"/>
      <c r="O2" s="12"/>
      <c r="P2" s="12"/>
    </row>
    <row r="3" spans="1:26" x14ac:dyDescent="0.25">
      <c r="A3" s="28" t="s">
        <v>447</v>
      </c>
      <c r="B3" s="28"/>
      <c r="C3" s="28" t="s">
        <v>448</v>
      </c>
      <c r="D3" s="28" t="s">
        <v>449</v>
      </c>
      <c r="E3" s="28" t="s">
        <v>450</v>
      </c>
      <c r="F3" s="28" t="s">
        <v>451</v>
      </c>
      <c r="G3" s="28" t="s">
        <v>452</v>
      </c>
      <c r="H3" s="28" t="s">
        <v>453</v>
      </c>
      <c r="I3" s="28" t="s">
        <v>454</v>
      </c>
      <c r="J3" s="28" t="s">
        <v>448</v>
      </c>
      <c r="K3" s="28" t="s">
        <v>449</v>
      </c>
      <c r="L3" s="28" t="s">
        <v>450</v>
      </c>
      <c r="M3" s="28" t="s">
        <v>451</v>
      </c>
      <c r="N3" s="28" t="s">
        <v>452</v>
      </c>
      <c r="O3" s="28" t="s">
        <v>453</v>
      </c>
      <c r="P3" s="28" t="s">
        <v>454</v>
      </c>
      <c r="R3" s="12" t="s">
        <v>455</v>
      </c>
      <c r="T3" s="34"/>
      <c r="U3" s="34" t="str">
        <f>C3</f>
        <v>Forestry NZU</v>
      </c>
      <c r="V3" s="34" t="str">
        <f>D3</f>
        <v>Other NZU</v>
      </c>
      <c r="W3" s="34" t="str">
        <f>E3</f>
        <v>NZ AAU</v>
      </c>
      <c r="X3" s="34" t="s">
        <v>456</v>
      </c>
      <c r="Y3" s="34" t="str">
        <f>I3</f>
        <v>Fixed price option</v>
      </c>
      <c r="Z3" t="s">
        <v>121</v>
      </c>
    </row>
    <row r="4" spans="1:26" x14ac:dyDescent="0.25">
      <c r="A4" t="s">
        <v>457</v>
      </c>
      <c r="B4">
        <v>2009</v>
      </c>
      <c r="C4" s="35">
        <v>0</v>
      </c>
      <c r="D4" s="35">
        <v>0</v>
      </c>
      <c r="E4" s="35">
        <v>0</v>
      </c>
      <c r="F4" s="35">
        <v>0</v>
      </c>
      <c r="G4" s="35">
        <v>0</v>
      </c>
      <c r="H4" s="35">
        <v>0</v>
      </c>
      <c r="I4" s="35">
        <v>0</v>
      </c>
      <c r="J4" s="35">
        <v>0</v>
      </c>
      <c r="K4" s="35">
        <v>0</v>
      </c>
      <c r="L4" s="35">
        <v>0</v>
      </c>
      <c r="M4" s="35">
        <v>0</v>
      </c>
      <c r="N4" s="35">
        <v>0</v>
      </c>
      <c r="O4" s="35">
        <v>0</v>
      </c>
      <c r="P4" s="35">
        <v>0</v>
      </c>
      <c r="T4" s="34">
        <f>2009</f>
        <v>2009</v>
      </c>
      <c r="U4" s="35" cm="1">
        <f t="array" ref="U4">SUMPRODUCT(($B$4:$B$57=$T4)*(C$4:C$57))-SUMPRODUCT(($B$4:$B$57=$T4)*(J$4:J$57))</f>
        <v>0</v>
      </c>
      <c r="V4" s="35" cm="1">
        <f t="array" ref="V4">SUMPRODUCT(($B$4:$B$57=$T4)*(D$4:D$57))-SUMPRODUCT(($B$4:$B$57=$T4)*(K$4:K$57))</f>
        <v>0</v>
      </c>
      <c r="W4" s="35" cm="1">
        <f t="array" ref="W4">SUMPRODUCT(($B$4:$B$57=$T4)*(E$4:E$57))-SUMPRODUCT(($B$4:$B$57=$T4)*(L$4:L$57))</f>
        <v>0</v>
      </c>
      <c r="X4" s="35" cm="1">
        <f t="array" ref="X4">SUMPRODUCT(($B$4:$B$57=$T4)*(F$4:H$57))-SUMPRODUCT(($B$4:$B$57=$T4)*(M$4:O$57))</f>
        <v>0</v>
      </c>
      <c r="Y4" s="35" cm="1">
        <f t="array" ref="Y4">SUMPRODUCT(($B$4:$B$57=$T4)*(I$4:I$57))-SUMPRODUCT(($B$4:$B$57=$T4)*(P$4:P$57))</f>
        <v>0</v>
      </c>
      <c r="Z4" s="35">
        <f>SUM(U4:Y4)</f>
        <v>0</v>
      </c>
    </row>
    <row r="5" spans="1:26" x14ac:dyDescent="0.25">
      <c r="A5" t="s">
        <v>458</v>
      </c>
      <c r="B5">
        <f>B4</f>
        <v>2009</v>
      </c>
      <c r="C5" s="35">
        <v>0</v>
      </c>
      <c r="D5" s="35">
        <v>0</v>
      </c>
      <c r="E5" s="35">
        <v>0</v>
      </c>
      <c r="F5" s="35">
        <v>0</v>
      </c>
      <c r="G5" s="35">
        <v>0</v>
      </c>
      <c r="H5" s="35">
        <v>0</v>
      </c>
      <c r="I5" s="35">
        <v>0</v>
      </c>
      <c r="J5" s="35">
        <v>0</v>
      </c>
      <c r="K5" s="35">
        <v>0</v>
      </c>
      <c r="L5" s="35">
        <v>0</v>
      </c>
      <c r="M5" s="35">
        <v>0</v>
      </c>
      <c r="N5" s="35">
        <v>0</v>
      </c>
      <c r="O5" s="35">
        <v>0</v>
      </c>
      <c r="P5" s="35">
        <v>0</v>
      </c>
      <c r="T5" s="34">
        <f>T4+1</f>
        <v>2010</v>
      </c>
      <c r="U5" s="35" cm="1">
        <f t="array" ref="U5">SUMPRODUCT(($B$4:$B$57=$T5)*(C$4:C$57))-SUMPRODUCT(($B$4:$B$57=$T5)*(J$4:J$57))</f>
        <v>4526</v>
      </c>
      <c r="V5" s="35" cm="1">
        <f t="array" ref="V5">SUMPRODUCT(($B$4:$B$57=$T5)*(D$4:D$57))-SUMPRODUCT(($B$4:$B$57=$T5)*(K$4:K$57))</f>
        <v>0</v>
      </c>
      <c r="W5" s="35" cm="1">
        <f t="array" ref="W5">SUMPRODUCT(($B$4:$B$57=$T5)*(E$4:E$57))-SUMPRODUCT(($B$4:$B$57=$T5)*(L$4:L$57))</f>
        <v>0</v>
      </c>
      <c r="X5" s="35" cm="1">
        <f t="array" ref="X5">SUMPRODUCT(($B$4:$B$57=$T5)*(F$4:H$57))-SUMPRODUCT(($B$4:$B$57=$T5)*(M$4:O$57))</f>
        <v>0</v>
      </c>
      <c r="Y5" s="35" cm="1">
        <f t="array" ref="Y5">SUMPRODUCT(($B$4:$B$57=$T5)*(I$4:I$57))-SUMPRODUCT(($B$4:$B$57=$T5)*(P$4:P$57))</f>
        <v>0</v>
      </c>
      <c r="Z5" s="35">
        <f t="shared" ref="Z5:Z17" si="0">SUM(U5:Y5)</f>
        <v>4526</v>
      </c>
    </row>
    <row r="6" spans="1:26" x14ac:dyDescent="0.25">
      <c r="A6" t="s">
        <v>459</v>
      </c>
      <c r="B6">
        <f>B5</f>
        <v>2009</v>
      </c>
      <c r="C6" s="35">
        <v>0</v>
      </c>
      <c r="D6" s="35">
        <v>0</v>
      </c>
      <c r="E6" s="35">
        <v>0</v>
      </c>
      <c r="F6" s="35">
        <v>0</v>
      </c>
      <c r="G6" s="35">
        <v>0</v>
      </c>
      <c r="H6" s="35">
        <v>0</v>
      </c>
      <c r="I6" s="35">
        <v>0</v>
      </c>
      <c r="J6" s="35">
        <v>0</v>
      </c>
      <c r="K6" s="35">
        <v>0</v>
      </c>
      <c r="L6" s="35">
        <v>0</v>
      </c>
      <c r="M6" s="35">
        <v>0</v>
      </c>
      <c r="N6" s="35">
        <v>0</v>
      </c>
      <c r="O6" s="35">
        <v>0</v>
      </c>
      <c r="P6" s="35">
        <v>0</v>
      </c>
      <c r="T6" s="34">
        <f t="shared" ref="T6:T17" si="1">T5+1</f>
        <v>2011</v>
      </c>
      <c r="U6" s="35" cm="1">
        <f t="array" ref="U6">SUMPRODUCT(($B$4:$B$57=$T6)*(C$4:C$57))-SUMPRODUCT(($B$4:$B$57=$T6)*(J$4:J$57))</f>
        <v>5463514</v>
      </c>
      <c r="V6" s="35" cm="1">
        <f t="array" ref="V6">SUMPRODUCT(($B$4:$B$57=$T6)*(D$4:D$57))-SUMPRODUCT(($B$4:$B$57=$T6)*(K$4:K$57))</f>
        <v>2563711</v>
      </c>
      <c r="W6" s="35" cm="1">
        <f t="array" ref="W6">SUMPRODUCT(($B$4:$B$57=$T6)*(E$4:E$57))-SUMPRODUCT(($B$4:$B$57=$T6)*(L$4:L$57))</f>
        <v>262883</v>
      </c>
      <c r="X6" s="35" cm="1">
        <f t="array" ref="X6">SUMPRODUCT(($B$4:$B$57=$T6)*(F$4:H$57))-SUMPRODUCT(($B$4:$B$57=$T6)*(M$4:O$57))</f>
        <v>133150</v>
      </c>
      <c r="Y6" s="35" cm="1">
        <f t="array" ref="Y6">SUMPRODUCT(($B$4:$B$57=$T6)*(I$4:I$57))-SUMPRODUCT(($B$4:$B$57=$T6)*(P$4:P$57))</f>
        <v>64835</v>
      </c>
      <c r="Z6" s="35">
        <f t="shared" si="0"/>
        <v>8488093</v>
      </c>
    </row>
    <row r="7" spans="1:26" x14ac:dyDescent="0.25">
      <c r="A7" t="s">
        <v>460</v>
      </c>
      <c r="B7">
        <f>B6</f>
        <v>2009</v>
      </c>
      <c r="C7" s="35">
        <v>0</v>
      </c>
      <c r="D7" s="35">
        <v>0</v>
      </c>
      <c r="E7" s="35">
        <v>0</v>
      </c>
      <c r="F7" s="35">
        <v>0</v>
      </c>
      <c r="G7" s="35">
        <v>0</v>
      </c>
      <c r="H7" s="35">
        <v>0</v>
      </c>
      <c r="I7" s="35">
        <v>0</v>
      </c>
      <c r="J7" s="35">
        <v>0</v>
      </c>
      <c r="K7" s="35">
        <v>0</v>
      </c>
      <c r="L7" s="35">
        <v>0</v>
      </c>
      <c r="M7" s="35">
        <v>0</v>
      </c>
      <c r="N7" s="35">
        <v>0</v>
      </c>
      <c r="O7" s="35">
        <v>0</v>
      </c>
      <c r="P7" s="35">
        <v>0</v>
      </c>
      <c r="T7" s="34">
        <f t="shared" si="1"/>
        <v>2012</v>
      </c>
      <c r="U7" s="35" cm="1">
        <f t="array" ref="U7">SUMPRODUCT(($B$4:$B$57=$T7)*(C$4:C$57))-SUMPRODUCT(($B$4:$B$57=$T7)*(J$4:J$57))</f>
        <v>2339372</v>
      </c>
      <c r="V7" s="35" cm="1">
        <f t="array" ref="V7">SUMPRODUCT(($B$4:$B$57=$T7)*(D$4:D$57))-SUMPRODUCT(($B$4:$B$57=$T7)*(K$4:K$57))</f>
        <v>2287383</v>
      </c>
      <c r="W7" s="35" cm="1">
        <f t="array" ref="W7">SUMPRODUCT(($B$4:$B$57=$T7)*(E$4:E$57))-SUMPRODUCT(($B$4:$B$57=$T7)*(L$4:L$57))</f>
        <v>279511</v>
      </c>
      <c r="X7" s="35" cm="1">
        <f t="array" ref="X7">SUMPRODUCT(($B$4:$B$57=$T7)*(F$4:H$57))-SUMPRODUCT(($B$4:$B$57=$T7)*(M$4:O$57))</f>
        <v>12117151</v>
      </c>
      <c r="Y7" s="35" cm="1">
        <f t="array" ref="Y7">SUMPRODUCT(($B$4:$B$57=$T7)*(I$4:I$57))-SUMPRODUCT(($B$4:$B$57=$T7)*(P$4:P$57))</f>
        <v>73575</v>
      </c>
      <c r="Z7" s="35">
        <f t="shared" si="0"/>
        <v>17096992</v>
      </c>
    </row>
    <row r="8" spans="1:26" x14ac:dyDescent="0.25">
      <c r="A8" t="s">
        <v>461</v>
      </c>
      <c r="B8">
        <f>B4+1</f>
        <v>2010</v>
      </c>
      <c r="C8" s="35">
        <v>0</v>
      </c>
      <c r="D8" s="35">
        <v>0</v>
      </c>
      <c r="E8" s="35">
        <v>0</v>
      </c>
      <c r="F8" s="35">
        <v>0</v>
      </c>
      <c r="G8" s="35">
        <v>0</v>
      </c>
      <c r="H8" s="35">
        <v>0</v>
      </c>
      <c r="I8" s="35">
        <v>0</v>
      </c>
      <c r="J8" s="35">
        <v>0</v>
      </c>
      <c r="K8" s="35">
        <v>0</v>
      </c>
      <c r="L8" s="35">
        <v>0</v>
      </c>
      <c r="M8" s="35">
        <v>0</v>
      </c>
      <c r="N8" s="35">
        <v>0</v>
      </c>
      <c r="O8" s="35">
        <v>0</v>
      </c>
      <c r="P8" s="35">
        <v>0</v>
      </c>
      <c r="T8" s="34">
        <f t="shared" si="1"/>
        <v>2013</v>
      </c>
      <c r="U8" s="35" cm="1">
        <f t="array" ref="U8">SUMPRODUCT(($B$4:$B$57=$T8)*(C$4:C$57))-SUMPRODUCT(($B$4:$B$57=$T8)*(J$4:J$57))</f>
        <v>250977</v>
      </c>
      <c r="V8" s="35" cm="1">
        <f t="array" ref="V8">SUMPRODUCT(($B$4:$B$57=$T8)*(D$4:D$57))-SUMPRODUCT(($B$4:$B$57=$T8)*(K$4:K$57))</f>
        <v>403540</v>
      </c>
      <c r="W8" s="35" cm="1">
        <f t="array" ref="W8">SUMPRODUCT(($B$4:$B$57=$T8)*(E$4:E$57))-SUMPRODUCT(($B$4:$B$57=$T8)*(L$4:L$57))</f>
        <v>166854</v>
      </c>
      <c r="X8" s="35" cm="1">
        <f t="array" ref="X8">SUMPRODUCT(($B$4:$B$57=$T8)*(F$4:H$57))-SUMPRODUCT(($B$4:$B$57=$T8)*(M$4:O$57))</f>
        <v>48475509</v>
      </c>
      <c r="Y8" s="35" cm="1">
        <f t="array" ref="Y8">SUMPRODUCT(($B$4:$B$57=$T8)*(I$4:I$57))-SUMPRODUCT(($B$4:$B$57=$T8)*(P$4:P$57))</f>
        <v>2</v>
      </c>
      <c r="Z8" s="35">
        <f t="shared" si="0"/>
        <v>49296882</v>
      </c>
    </row>
    <row r="9" spans="1:26" x14ac:dyDescent="0.25">
      <c r="A9" t="s">
        <v>462</v>
      </c>
      <c r="B9">
        <f t="shared" ref="B9:B57" si="2">B5+1</f>
        <v>2010</v>
      </c>
      <c r="C9" s="35">
        <v>4526</v>
      </c>
      <c r="D9" s="35">
        <v>0</v>
      </c>
      <c r="E9" s="35">
        <v>0</v>
      </c>
      <c r="F9" s="35">
        <v>0</v>
      </c>
      <c r="G9" s="35">
        <v>0</v>
      </c>
      <c r="H9" s="35">
        <v>0</v>
      </c>
      <c r="I9" s="35">
        <v>0</v>
      </c>
      <c r="J9" s="35">
        <v>0</v>
      </c>
      <c r="K9" s="35">
        <v>0</v>
      </c>
      <c r="L9" s="35">
        <v>0</v>
      </c>
      <c r="M9" s="35">
        <v>0</v>
      </c>
      <c r="N9" s="35">
        <v>0</v>
      </c>
      <c r="O9" s="35">
        <v>0</v>
      </c>
      <c r="P9" s="35">
        <v>0</v>
      </c>
      <c r="T9" s="34">
        <f t="shared" si="1"/>
        <v>2014</v>
      </c>
      <c r="U9" s="35" cm="1">
        <f t="array" ref="U9">SUMPRODUCT(($B$4:$B$57=$T9)*(C$4:C$57))-SUMPRODUCT(($B$4:$B$57=$T9)*(J$4:J$57))</f>
        <v>307566</v>
      </c>
      <c r="V9" s="35" cm="1">
        <f t="array" ref="V9">SUMPRODUCT(($B$4:$B$57=$T9)*(D$4:D$57))-SUMPRODUCT(($B$4:$B$57=$T9)*(K$4:K$57))</f>
        <v>97092</v>
      </c>
      <c r="W9" s="35" cm="1">
        <f t="array" ref="W9">SUMPRODUCT(($B$4:$B$57=$T9)*(E$4:E$57))-SUMPRODUCT(($B$4:$B$57=$T9)*(L$4:L$57))</f>
        <v>0</v>
      </c>
      <c r="X9" s="35" cm="1">
        <f t="array" ref="X9">SUMPRODUCT(($B$4:$B$57=$T9)*(F$4:H$57))-SUMPRODUCT(($B$4:$B$57=$T9)*(M$4:O$57))</f>
        <v>34413079</v>
      </c>
      <c r="Y9" s="35" cm="1">
        <f t="array" ref="Y9">SUMPRODUCT(($B$4:$B$57=$T9)*(I$4:I$57))-SUMPRODUCT(($B$4:$B$57=$T9)*(P$4:P$57))</f>
        <v>21</v>
      </c>
      <c r="Z9" s="35">
        <f t="shared" si="0"/>
        <v>34817758</v>
      </c>
    </row>
    <row r="10" spans="1:26" x14ac:dyDescent="0.25">
      <c r="A10" t="s">
        <v>463</v>
      </c>
      <c r="B10">
        <f t="shared" si="2"/>
        <v>2010</v>
      </c>
      <c r="C10" s="35">
        <v>0</v>
      </c>
      <c r="D10" s="35">
        <v>0</v>
      </c>
      <c r="E10" s="35">
        <v>0</v>
      </c>
      <c r="F10" s="35">
        <v>0</v>
      </c>
      <c r="G10" s="35">
        <v>0</v>
      </c>
      <c r="H10" s="35">
        <v>0</v>
      </c>
      <c r="I10" s="35">
        <v>0</v>
      </c>
      <c r="J10" s="35">
        <v>0</v>
      </c>
      <c r="K10" s="35">
        <v>0</v>
      </c>
      <c r="L10" s="35">
        <v>0</v>
      </c>
      <c r="M10" s="35">
        <v>0</v>
      </c>
      <c r="N10" s="35">
        <v>0</v>
      </c>
      <c r="O10" s="35">
        <v>0</v>
      </c>
      <c r="P10" s="35">
        <v>0</v>
      </c>
      <c r="T10" s="34">
        <f t="shared" si="1"/>
        <v>2015</v>
      </c>
      <c r="U10" s="35" cm="1">
        <f t="array" ref="U10">SUMPRODUCT(($B$4:$B$57=$T10)*(C$4:C$57))-SUMPRODUCT(($B$4:$B$57=$T10)*(J$4:J$57))</f>
        <v>647497</v>
      </c>
      <c r="V10" s="35" cm="1">
        <f t="array" ref="V10">SUMPRODUCT(($B$4:$B$57=$T10)*(D$4:D$57))-SUMPRODUCT(($B$4:$B$57=$T10)*(K$4:K$57))</f>
        <v>242954</v>
      </c>
      <c r="W10" s="35" cm="1">
        <f t="array" ref="W10">SUMPRODUCT(($B$4:$B$57=$T10)*(E$4:E$57))-SUMPRODUCT(($B$4:$B$57=$T10)*(L$4:L$57))</f>
        <v>772</v>
      </c>
      <c r="X10" s="35" cm="1">
        <f t="array" ref="X10">SUMPRODUCT(($B$4:$B$57=$T10)*(F$4:H$57))-SUMPRODUCT(($B$4:$B$57=$T10)*(M$4:O$57))</f>
        <v>26319870</v>
      </c>
      <c r="Y10" s="35" cm="1">
        <f t="array" ref="Y10">SUMPRODUCT(($B$4:$B$57=$T10)*(I$4:I$57))-SUMPRODUCT(($B$4:$B$57=$T10)*(P$4:P$57))</f>
        <v>18</v>
      </c>
      <c r="Z10" s="35">
        <f t="shared" si="0"/>
        <v>27211111</v>
      </c>
    </row>
    <row r="11" spans="1:26" x14ac:dyDescent="0.25">
      <c r="A11" t="s">
        <v>464</v>
      </c>
      <c r="B11">
        <f t="shared" si="2"/>
        <v>2010</v>
      </c>
      <c r="C11" s="35">
        <v>0</v>
      </c>
      <c r="D11" s="35">
        <v>0</v>
      </c>
      <c r="E11" s="35">
        <v>0</v>
      </c>
      <c r="F11" s="35">
        <v>0</v>
      </c>
      <c r="G11" s="35">
        <v>0</v>
      </c>
      <c r="H11" s="35">
        <v>0</v>
      </c>
      <c r="I11" s="35">
        <v>0</v>
      </c>
      <c r="J11" s="35">
        <v>0</v>
      </c>
      <c r="K11" s="35">
        <v>0</v>
      </c>
      <c r="L11" s="35">
        <v>0</v>
      </c>
      <c r="M11" s="35">
        <v>0</v>
      </c>
      <c r="N11" s="35">
        <v>0</v>
      </c>
      <c r="O11" s="35">
        <v>0</v>
      </c>
      <c r="P11" s="35">
        <v>0</v>
      </c>
      <c r="T11" s="34">
        <f t="shared" si="1"/>
        <v>2016</v>
      </c>
      <c r="U11" s="35" cm="1">
        <f t="array" ref="U11">SUMPRODUCT(($B$4:$B$57=$T11)*(C$4:C$57))-SUMPRODUCT(($B$4:$B$57=$T11)*(J$4:J$57))</f>
        <v>11289098</v>
      </c>
      <c r="V11" s="35" cm="1">
        <f t="array" ref="V11">SUMPRODUCT(($B$4:$B$57=$T11)*(D$4:D$57))-SUMPRODUCT(($B$4:$B$57=$T11)*(K$4:K$57))</f>
        <v>9835540</v>
      </c>
      <c r="W11" s="35" cm="1">
        <f t="array" ref="W11">SUMPRODUCT(($B$4:$B$57=$T11)*(E$4:E$57))-SUMPRODUCT(($B$4:$B$57=$T11)*(L$4:L$57))</f>
        <v>543439</v>
      </c>
      <c r="X11" s="35" cm="1">
        <f t="array" ref="X11">SUMPRODUCT(($B$4:$B$57=$T11)*(F$4:H$57))-SUMPRODUCT(($B$4:$B$57=$T11)*(M$4:O$57))</f>
        <v>0</v>
      </c>
      <c r="Y11" s="35" cm="1">
        <f t="array" ref="Y11">SUMPRODUCT(($B$4:$B$57=$T11)*(I$4:I$57))-SUMPRODUCT(($B$4:$B$57=$T11)*(P$4:P$57))</f>
        <v>16</v>
      </c>
      <c r="Z11" s="35">
        <f t="shared" si="0"/>
        <v>21668093</v>
      </c>
    </row>
    <row r="12" spans="1:26" x14ac:dyDescent="0.25">
      <c r="A12" t="s">
        <v>465</v>
      </c>
      <c r="B12">
        <f t="shared" si="2"/>
        <v>2011</v>
      </c>
      <c r="C12" s="35">
        <v>0</v>
      </c>
      <c r="D12" s="35">
        <v>110577</v>
      </c>
      <c r="E12" s="35">
        <v>0</v>
      </c>
      <c r="F12" s="35">
        <v>0</v>
      </c>
      <c r="G12" s="35">
        <v>0</v>
      </c>
      <c r="H12" s="35">
        <v>0</v>
      </c>
      <c r="I12" s="35">
        <v>0</v>
      </c>
      <c r="J12" s="35">
        <v>0</v>
      </c>
      <c r="K12" s="35">
        <v>0</v>
      </c>
      <c r="L12" s="35">
        <v>0</v>
      </c>
      <c r="M12" s="35">
        <v>0</v>
      </c>
      <c r="N12" s="35">
        <v>0</v>
      </c>
      <c r="O12" s="35">
        <v>0</v>
      </c>
      <c r="P12" s="35">
        <v>0</v>
      </c>
      <c r="T12" s="34">
        <f t="shared" si="1"/>
        <v>2017</v>
      </c>
      <c r="U12" s="35" cm="1">
        <f t="array" ref="U12">SUMPRODUCT(($B$4:$B$57=$T12)*(C$4:C$57))-SUMPRODUCT(($B$4:$B$57=$T12)*(J$4:J$57))</f>
        <v>15895487</v>
      </c>
      <c r="V12" s="35" cm="1">
        <f t="array" ref="V12">SUMPRODUCT(($B$4:$B$57=$T12)*(D$4:D$57))-SUMPRODUCT(($B$4:$B$57=$T12)*(K$4:K$57))</f>
        <v>6576705</v>
      </c>
      <c r="W12" s="35" cm="1">
        <f t="array" ref="W12">SUMPRODUCT(($B$4:$B$57=$T12)*(E$4:E$57))-SUMPRODUCT(($B$4:$B$57=$T12)*(L$4:L$57))</f>
        <v>151272</v>
      </c>
      <c r="X12" s="35" cm="1">
        <f t="array" ref="X12">SUMPRODUCT(($B$4:$B$57=$T12)*(F$4:H$57))-SUMPRODUCT(($B$4:$B$57=$T12)*(M$4:O$57))</f>
        <v>0</v>
      </c>
      <c r="Y12" s="35" cm="1">
        <f t="array" ref="Y12">SUMPRODUCT(($B$4:$B$57=$T12)*(I$4:I$57))-SUMPRODUCT(($B$4:$B$57=$T12)*(P$4:P$57))</f>
        <v>3840</v>
      </c>
      <c r="Z12" s="35">
        <f t="shared" si="0"/>
        <v>22627304</v>
      </c>
    </row>
    <row r="13" spans="1:26" x14ac:dyDescent="0.25">
      <c r="A13" t="s">
        <v>466</v>
      </c>
      <c r="B13">
        <f t="shared" si="2"/>
        <v>2011</v>
      </c>
      <c r="C13" s="35">
        <v>5314161</v>
      </c>
      <c r="D13" s="35">
        <v>2445564</v>
      </c>
      <c r="E13" s="35">
        <v>262883</v>
      </c>
      <c r="F13" s="35">
        <v>133150</v>
      </c>
      <c r="G13" s="35">
        <v>0</v>
      </c>
      <c r="H13" s="35">
        <v>0</v>
      </c>
      <c r="I13" s="35">
        <v>37325</v>
      </c>
      <c r="J13" s="35">
        <v>0</v>
      </c>
      <c r="K13" s="35">
        <v>0</v>
      </c>
      <c r="L13" s="35">
        <v>0</v>
      </c>
      <c r="M13" s="35">
        <v>0</v>
      </c>
      <c r="N13" s="35">
        <v>0</v>
      </c>
      <c r="O13" s="35">
        <v>0</v>
      </c>
      <c r="P13" s="35">
        <v>0</v>
      </c>
      <c r="T13" s="34">
        <f t="shared" si="1"/>
        <v>2018</v>
      </c>
      <c r="U13" s="35" cm="1">
        <f t="array" ref="U13">SUMPRODUCT(($B$4:$B$57=$T13)*(C$4:C$57))-SUMPRODUCT(($B$4:$B$57=$T13)*(J$4:J$57))</f>
        <v>19589638</v>
      </c>
      <c r="V13" s="35" cm="1">
        <f t="array" ref="V13">SUMPRODUCT(($B$4:$B$57=$T13)*(D$4:D$57))-SUMPRODUCT(($B$4:$B$57=$T13)*(K$4:K$57))</f>
        <v>8067721</v>
      </c>
      <c r="W13" s="35" cm="1">
        <f t="array" ref="W13">SUMPRODUCT(($B$4:$B$57=$T13)*(E$4:E$57))-SUMPRODUCT(($B$4:$B$57=$T13)*(L$4:L$57))</f>
        <v>207959</v>
      </c>
      <c r="X13" s="35" cm="1">
        <f t="array" ref="X13">SUMPRODUCT(($B$4:$B$57=$T13)*(F$4:H$57))-SUMPRODUCT(($B$4:$B$57=$T13)*(M$4:O$57))</f>
        <v>0</v>
      </c>
      <c r="Y13" s="35" cm="1">
        <f t="array" ref="Y13">SUMPRODUCT(($B$4:$B$57=$T13)*(I$4:I$57))-SUMPRODUCT(($B$4:$B$57=$T13)*(P$4:P$57))</f>
        <v>45647</v>
      </c>
      <c r="Z13" s="35">
        <f t="shared" si="0"/>
        <v>27910965</v>
      </c>
    </row>
    <row r="14" spans="1:26" x14ac:dyDescent="0.25">
      <c r="A14" t="s">
        <v>467</v>
      </c>
      <c r="B14">
        <f t="shared" si="2"/>
        <v>2011</v>
      </c>
      <c r="C14" s="35">
        <v>37134</v>
      </c>
      <c r="D14" s="35">
        <v>0</v>
      </c>
      <c r="E14" s="35">
        <v>0</v>
      </c>
      <c r="F14" s="35">
        <v>0</v>
      </c>
      <c r="G14" s="35">
        <v>0</v>
      </c>
      <c r="H14" s="35">
        <v>0</v>
      </c>
      <c r="I14" s="35">
        <v>27510</v>
      </c>
      <c r="J14" s="35">
        <v>0</v>
      </c>
      <c r="K14" s="35">
        <v>0</v>
      </c>
      <c r="L14" s="35">
        <v>0</v>
      </c>
      <c r="M14" s="35">
        <v>0</v>
      </c>
      <c r="N14" s="35">
        <v>0</v>
      </c>
      <c r="O14" s="35">
        <v>0</v>
      </c>
      <c r="P14" s="35">
        <v>0</v>
      </c>
      <c r="T14" s="34">
        <f t="shared" si="1"/>
        <v>2019</v>
      </c>
      <c r="U14" s="35" cm="1">
        <f t="array" ref="U14">SUMPRODUCT(($B$4:$B$57=$T14)*(C$4:C$57))-SUMPRODUCT(($B$4:$B$57=$T14)*(J$4:J$57))</f>
        <v>7581133</v>
      </c>
      <c r="V14" s="35" cm="1">
        <f t="array" ref="V14">SUMPRODUCT(($B$4:$B$57=$T14)*(D$4:D$57))-SUMPRODUCT(($B$4:$B$57=$T14)*(K$4:K$57))</f>
        <v>8237157</v>
      </c>
      <c r="W14" s="35" cm="1">
        <f t="array" ref="W14">SUMPRODUCT(($B$4:$B$57=$T14)*(E$4:E$57))-SUMPRODUCT(($B$4:$B$57=$T14)*(L$4:L$57))</f>
        <v>285174</v>
      </c>
      <c r="X14" s="35" cm="1">
        <f t="array" ref="X14">SUMPRODUCT(($B$4:$B$57=$T14)*(F$4:H$57))-SUMPRODUCT(($B$4:$B$57=$T14)*(M$4:O$57))</f>
        <v>0</v>
      </c>
      <c r="Y14" s="35" cm="1">
        <f t="array" ref="Y14">SUMPRODUCT(($B$4:$B$57=$T14)*(I$4:I$57))-SUMPRODUCT(($B$4:$B$57=$T14)*(P$4:P$57))</f>
        <v>16799789</v>
      </c>
      <c r="Z14" s="35">
        <f t="shared" si="0"/>
        <v>32903253</v>
      </c>
    </row>
    <row r="15" spans="1:26" x14ac:dyDescent="0.25">
      <c r="A15" t="s">
        <v>468</v>
      </c>
      <c r="B15">
        <f t="shared" si="2"/>
        <v>2011</v>
      </c>
      <c r="C15" s="35">
        <v>112219</v>
      </c>
      <c r="D15" s="35">
        <v>7570</v>
      </c>
      <c r="E15" s="35">
        <v>0</v>
      </c>
      <c r="F15" s="35">
        <v>0</v>
      </c>
      <c r="G15" s="35">
        <v>0</v>
      </c>
      <c r="H15" s="35">
        <v>0</v>
      </c>
      <c r="I15" s="35">
        <v>0</v>
      </c>
      <c r="J15" s="35">
        <v>0</v>
      </c>
      <c r="K15" s="35">
        <v>0</v>
      </c>
      <c r="L15" s="35">
        <v>0</v>
      </c>
      <c r="M15" s="35">
        <v>0</v>
      </c>
      <c r="N15" s="35">
        <v>0</v>
      </c>
      <c r="O15" s="35">
        <v>0</v>
      </c>
      <c r="P15" s="35">
        <v>0</v>
      </c>
      <c r="T15" s="34">
        <f t="shared" si="1"/>
        <v>2020</v>
      </c>
      <c r="U15" s="35" cm="1">
        <f t="array" ref="U15">SUMPRODUCT(($B$4:$B$57=$T15)*(C$4:C$57))-SUMPRODUCT(($B$4:$B$57=$T15)*(J$4:J$57))</f>
        <v>20447019</v>
      </c>
      <c r="V15" s="35" cm="1">
        <f t="array" ref="V15">SUMPRODUCT(($B$4:$B$57=$T15)*(D$4:D$57))-SUMPRODUCT(($B$4:$B$57=$T15)*(K$4:K$57))</f>
        <v>10978655</v>
      </c>
      <c r="W15" s="35" cm="1">
        <f t="array" ref="W15">SUMPRODUCT(($B$4:$B$57=$T15)*(E$4:E$57))-SUMPRODUCT(($B$4:$B$57=$T15)*(L$4:L$57))</f>
        <v>71387</v>
      </c>
      <c r="X15" s="35" cm="1">
        <f t="array" ref="X15">SUMPRODUCT(($B$4:$B$57=$T15)*(F$4:H$57))-SUMPRODUCT(($B$4:$B$57=$T15)*(M$4:O$57))</f>
        <v>0</v>
      </c>
      <c r="Y15" s="35" cm="1">
        <f t="array" ref="Y15">SUMPRODUCT(($B$4:$B$57=$T15)*(I$4:I$57))-SUMPRODUCT(($B$4:$B$57=$T15)*(P$4:P$57))</f>
        <v>9141866</v>
      </c>
      <c r="Z15" s="35">
        <f t="shared" si="0"/>
        <v>40638927</v>
      </c>
    </row>
    <row r="16" spans="1:26" x14ac:dyDescent="0.25">
      <c r="A16" t="s">
        <v>469</v>
      </c>
      <c r="B16">
        <f t="shared" si="2"/>
        <v>2012</v>
      </c>
      <c r="C16" s="35">
        <v>237550</v>
      </c>
      <c r="D16" s="35">
        <v>8722</v>
      </c>
      <c r="E16" s="35">
        <v>0</v>
      </c>
      <c r="F16" s="35">
        <v>0</v>
      </c>
      <c r="G16" s="35">
        <v>0</v>
      </c>
      <c r="H16" s="35">
        <v>0</v>
      </c>
      <c r="I16" s="35">
        <v>0</v>
      </c>
      <c r="J16" s="35">
        <v>0</v>
      </c>
      <c r="K16" s="35">
        <v>0</v>
      </c>
      <c r="L16" s="35">
        <v>0</v>
      </c>
      <c r="M16" s="35">
        <v>0</v>
      </c>
      <c r="N16" s="35">
        <v>0</v>
      </c>
      <c r="O16" s="35">
        <v>0</v>
      </c>
      <c r="P16" s="35">
        <v>0</v>
      </c>
      <c r="T16" s="34">
        <f t="shared" si="1"/>
        <v>2021</v>
      </c>
      <c r="U16" s="35" cm="1">
        <f t="array" ref="U16">SUMPRODUCT(($B$4:$B$57=$T16)*(C$4:C$57))-SUMPRODUCT(($B$4:$B$57=$T16)*(J$4:J$57))</f>
        <v>2783716</v>
      </c>
      <c r="V16" s="35" cm="1">
        <f t="array" ref="V16">SUMPRODUCT(($B$4:$B$57=$T16)*(D$4:D$57))-SUMPRODUCT(($B$4:$B$57=$T16)*(K$4:K$57))</f>
        <v>5764461</v>
      </c>
      <c r="W16" s="35" cm="1">
        <f t="array" ref="W16">SUMPRODUCT(($B$4:$B$57=$T16)*(E$4:E$57))-SUMPRODUCT(($B$4:$B$57=$T16)*(L$4:L$57))</f>
        <v>0</v>
      </c>
      <c r="X16" s="35" cm="1">
        <f t="array" ref="X16">SUMPRODUCT(($B$4:$B$57=$T16)*(F$4:H$57))-SUMPRODUCT(($B$4:$B$57=$T16)*(M$4:O$57))</f>
        <v>0</v>
      </c>
      <c r="Y16" s="35" cm="1">
        <f t="array" ref="Y16">SUMPRODUCT(($B$4:$B$57=$T16)*(I$4:I$57))-SUMPRODUCT(($B$4:$B$57=$T16)*(P$4:P$57))</f>
        <v>30437499</v>
      </c>
      <c r="Z16" s="35">
        <f t="shared" si="0"/>
        <v>38985676</v>
      </c>
    </row>
    <row r="17" spans="1:26" x14ac:dyDescent="0.25">
      <c r="A17" t="s">
        <v>470</v>
      </c>
      <c r="B17">
        <f t="shared" si="2"/>
        <v>2012</v>
      </c>
      <c r="C17" s="35">
        <v>1742714</v>
      </c>
      <c r="D17" s="35">
        <v>2276671</v>
      </c>
      <c r="E17" s="35">
        <v>279511</v>
      </c>
      <c r="F17" s="35">
        <v>4150189</v>
      </c>
      <c r="G17" s="35">
        <v>4267077</v>
      </c>
      <c r="H17" s="35">
        <v>3176081</v>
      </c>
      <c r="I17" s="35">
        <v>73575</v>
      </c>
      <c r="J17" s="35">
        <v>0</v>
      </c>
      <c r="K17" s="35">
        <v>0</v>
      </c>
      <c r="L17" s="35">
        <v>0</v>
      </c>
      <c r="M17" s="35">
        <v>0</v>
      </c>
      <c r="N17" s="35">
        <v>0</v>
      </c>
      <c r="O17" s="35">
        <v>0</v>
      </c>
      <c r="P17" s="35">
        <v>0</v>
      </c>
      <c r="T17" s="34">
        <f t="shared" si="1"/>
        <v>2022</v>
      </c>
      <c r="U17" s="35" cm="1">
        <f t="array" ref="U17">SUMPRODUCT(($B$4:$B$57=$T17)*(C$4:C$57))-SUMPRODUCT(($B$4:$B$57=$T17)*(J$4:J$57))</f>
        <v>17721782</v>
      </c>
      <c r="V17" s="35" cm="1">
        <f t="array" ref="V17">SUMPRODUCT(($B$4:$B$57=$T17)*(D$4:D$57))-SUMPRODUCT(($B$4:$B$57=$T17)*(K$4:K$57))</f>
        <v>19272473</v>
      </c>
      <c r="W17" s="35" cm="1">
        <f t="array" ref="W17">SUMPRODUCT(($B$4:$B$57=$T17)*(E$4:E$57))-SUMPRODUCT(($B$4:$B$57=$T17)*(L$4:L$57))</f>
        <v>0</v>
      </c>
      <c r="X17" s="35" cm="1">
        <f t="array" ref="X17">SUMPRODUCT(($B$4:$B$57=$T17)*(F$4:H$57))-SUMPRODUCT(($B$4:$B$57=$T17)*(M$4:O$57))</f>
        <v>0</v>
      </c>
      <c r="Y17" s="35" cm="1">
        <f t="array" ref="Y17">SUMPRODUCT(($B$4:$B$57=$T17)*(I$4:I$57))-SUMPRODUCT(($B$4:$B$57=$T17)*(P$4:P$57))</f>
        <v>656830</v>
      </c>
      <c r="Z17" s="35">
        <f t="shared" si="0"/>
        <v>37651085</v>
      </c>
    </row>
    <row r="18" spans="1:26" x14ac:dyDescent="0.25">
      <c r="A18" t="s">
        <v>471</v>
      </c>
      <c r="B18">
        <f t="shared" si="2"/>
        <v>2012</v>
      </c>
      <c r="C18" s="35">
        <v>80941</v>
      </c>
      <c r="D18" s="35">
        <v>1990</v>
      </c>
      <c r="E18" s="35">
        <v>0</v>
      </c>
      <c r="F18" s="35">
        <v>1773</v>
      </c>
      <c r="G18" s="35">
        <v>66110</v>
      </c>
      <c r="H18" s="35">
        <v>0</v>
      </c>
      <c r="I18" s="35">
        <v>0</v>
      </c>
      <c r="J18" s="35">
        <v>2</v>
      </c>
      <c r="K18" s="35">
        <v>0</v>
      </c>
      <c r="L18" s="35">
        <v>0</v>
      </c>
      <c r="M18" s="35">
        <v>0</v>
      </c>
      <c r="N18" s="35">
        <v>0</v>
      </c>
      <c r="O18" s="35">
        <v>0</v>
      </c>
      <c r="P18" s="35">
        <v>0</v>
      </c>
    </row>
    <row r="19" spans="1:26" x14ac:dyDescent="0.25">
      <c r="A19" t="s">
        <v>472</v>
      </c>
      <c r="B19">
        <f t="shared" si="2"/>
        <v>2012</v>
      </c>
      <c r="C19" s="35">
        <v>278169</v>
      </c>
      <c r="D19" s="35">
        <v>0</v>
      </c>
      <c r="E19" s="35">
        <v>0</v>
      </c>
      <c r="F19" s="35">
        <v>0</v>
      </c>
      <c r="G19" s="35">
        <v>253856</v>
      </c>
      <c r="H19" s="35">
        <v>202065</v>
      </c>
      <c r="I19" s="35">
        <v>0</v>
      </c>
      <c r="J19" s="35">
        <v>0</v>
      </c>
      <c r="K19" s="35">
        <v>0</v>
      </c>
      <c r="L19" s="35">
        <v>0</v>
      </c>
      <c r="M19" s="35">
        <v>0</v>
      </c>
      <c r="N19" s="35">
        <v>0</v>
      </c>
      <c r="O19" s="35">
        <v>0</v>
      </c>
      <c r="P19" s="35">
        <v>0</v>
      </c>
    </row>
    <row r="20" spans="1:26" x14ac:dyDescent="0.25">
      <c r="A20" t="s">
        <v>473</v>
      </c>
      <c r="B20">
        <f t="shared" si="2"/>
        <v>2013</v>
      </c>
      <c r="C20" s="35">
        <v>128447</v>
      </c>
      <c r="D20" s="35">
        <v>24657</v>
      </c>
      <c r="E20" s="35">
        <v>0</v>
      </c>
      <c r="F20" s="35">
        <v>0</v>
      </c>
      <c r="G20" s="35">
        <v>336209</v>
      </c>
      <c r="H20" s="35">
        <v>0</v>
      </c>
      <c r="I20" s="35">
        <v>0</v>
      </c>
      <c r="J20" s="35">
        <v>0</v>
      </c>
      <c r="K20" s="35">
        <v>0</v>
      </c>
      <c r="L20" s="35">
        <v>0</v>
      </c>
      <c r="M20" s="35">
        <v>0</v>
      </c>
      <c r="N20" s="35">
        <v>0</v>
      </c>
      <c r="O20" s="35">
        <v>0</v>
      </c>
      <c r="P20" s="35">
        <v>0</v>
      </c>
    </row>
    <row r="21" spans="1:26" x14ac:dyDescent="0.25">
      <c r="A21" t="s">
        <v>474</v>
      </c>
      <c r="B21">
        <f t="shared" si="2"/>
        <v>2013</v>
      </c>
      <c r="C21" s="35">
        <v>120737</v>
      </c>
      <c r="D21" s="35">
        <v>425578</v>
      </c>
      <c r="E21" s="35">
        <v>166854</v>
      </c>
      <c r="F21" s="35">
        <v>3321510</v>
      </c>
      <c r="G21" s="35">
        <v>25662916</v>
      </c>
      <c r="H21" s="35">
        <v>3318127</v>
      </c>
      <c r="I21" s="35">
        <v>0</v>
      </c>
      <c r="J21" s="35">
        <v>1390</v>
      </c>
      <c r="K21" s="35">
        <v>3003</v>
      </c>
      <c r="L21" s="35">
        <v>0</v>
      </c>
      <c r="M21" s="35">
        <v>12048</v>
      </c>
      <c r="N21" s="35">
        <v>0</v>
      </c>
      <c r="O21" s="35">
        <v>0</v>
      </c>
      <c r="P21" s="35">
        <v>0</v>
      </c>
    </row>
    <row r="22" spans="1:26" x14ac:dyDescent="0.25">
      <c r="A22" t="s">
        <v>475</v>
      </c>
      <c r="B22">
        <f t="shared" si="2"/>
        <v>2013</v>
      </c>
      <c r="C22" s="35">
        <v>21786</v>
      </c>
      <c r="D22" s="35">
        <v>0</v>
      </c>
      <c r="E22" s="35">
        <v>0</v>
      </c>
      <c r="F22" s="35">
        <v>24000</v>
      </c>
      <c r="G22" s="35">
        <v>8969869</v>
      </c>
      <c r="H22" s="35">
        <v>1316498</v>
      </c>
      <c r="I22" s="35">
        <v>2</v>
      </c>
      <c r="J22" s="35">
        <v>0</v>
      </c>
      <c r="K22" s="35">
        <v>0</v>
      </c>
      <c r="L22" s="35">
        <v>0</v>
      </c>
      <c r="M22" s="35">
        <v>24000</v>
      </c>
      <c r="N22" s="35">
        <v>0</v>
      </c>
      <c r="O22" s="35">
        <v>0</v>
      </c>
      <c r="P22" s="35">
        <v>0</v>
      </c>
    </row>
    <row r="23" spans="1:26" x14ac:dyDescent="0.25">
      <c r="A23" t="s">
        <v>476</v>
      </c>
      <c r="B23">
        <f t="shared" si="2"/>
        <v>2013</v>
      </c>
      <c r="C23" s="35">
        <v>11460</v>
      </c>
      <c r="D23" s="35">
        <v>0</v>
      </c>
      <c r="E23" s="35">
        <v>0</v>
      </c>
      <c r="F23" s="35">
        <v>7223</v>
      </c>
      <c r="G23" s="35">
        <v>5555205</v>
      </c>
      <c r="H23" s="35">
        <v>0</v>
      </c>
      <c r="I23" s="35">
        <v>0</v>
      </c>
      <c r="J23" s="35">
        <v>30063</v>
      </c>
      <c r="K23" s="35">
        <v>43692</v>
      </c>
      <c r="L23" s="35">
        <v>0</v>
      </c>
      <c r="M23" s="35">
        <v>0</v>
      </c>
      <c r="N23" s="35">
        <v>0</v>
      </c>
      <c r="O23" s="35">
        <v>0</v>
      </c>
      <c r="P23" s="35">
        <v>0</v>
      </c>
    </row>
    <row r="24" spans="1:26" x14ac:dyDescent="0.25">
      <c r="A24" t="s">
        <v>477</v>
      </c>
      <c r="B24">
        <f t="shared" si="2"/>
        <v>2014</v>
      </c>
      <c r="C24" s="35">
        <v>41505</v>
      </c>
      <c r="D24" s="35">
        <v>25989</v>
      </c>
      <c r="E24" s="35">
        <v>0</v>
      </c>
      <c r="F24" s="35">
        <v>1595</v>
      </c>
      <c r="G24" s="35">
        <v>2395893</v>
      </c>
      <c r="H24" s="35">
        <v>0</v>
      </c>
      <c r="I24" s="35">
        <v>0</v>
      </c>
      <c r="J24" s="35">
        <v>0</v>
      </c>
      <c r="K24" s="35">
        <v>0</v>
      </c>
      <c r="L24" s="35">
        <v>0</v>
      </c>
      <c r="M24" s="35">
        <v>0</v>
      </c>
      <c r="N24" s="35">
        <v>0</v>
      </c>
      <c r="O24" s="35">
        <v>0</v>
      </c>
      <c r="P24" s="35">
        <v>0</v>
      </c>
    </row>
    <row r="25" spans="1:26" x14ac:dyDescent="0.25">
      <c r="A25" t="s">
        <v>478</v>
      </c>
      <c r="B25">
        <f t="shared" si="2"/>
        <v>2014</v>
      </c>
      <c r="C25" s="35">
        <v>93624</v>
      </c>
      <c r="D25" s="35">
        <v>71103</v>
      </c>
      <c r="E25" s="35">
        <v>0</v>
      </c>
      <c r="F25" s="35">
        <v>2053322</v>
      </c>
      <c r="G25" s="35">
        <v>24650545</v>
      </c>
      <c r="H25" s="35">
        <v>659097</v>
      </c>
      <c r="I25" s="35">
        <v>0</v>
      </c>
      <c r="J25" s="35">
        <v>0</v>
      </c>
      <c r="K25" s="35">
        <v>0</v>
      </c>
      <c r="L25" s="35">
        <v>0</v>
      </c>
      <c r="M25" s="35">
        <v>0</v>
      </c>
      <c r="N25" s="35">
        <v>3121</v>
      </c>
      <c r="O25" s="35">
        <v>0</v>
      </c>
      <c r="P25" s="35">
        <v>0</v>
      </c>
    </row>
    <row r="26" spans="1:26" x14ac:dyDescent="0.25">
      <c r="A26" t="s">
        <v>479</v>
      </c>
      <c r="B26">
        <f t="shared" si="2"/>
        <v>2014</v>
      </c>
      <c r="C26" s="35">
        <v>31861</v>
      </c>
      <c r="D26" s="35">
        <v>0</v>
      </c>
      <c r="E26" s="35">
        <v>0</v>
      </c>
      <c r="F26" s="35">
        <v>0</v>
      </c>
      <c r="G26" s="35">
        <v>4320861</v>
      </c>
      <c r="H26" s="35">
        <v>0</v>
      </c>
      <c r="I26" s="35">
        <v>21</v>
      </c>
      <c r="J26" s="35">
        <v>0</v>
      </c>
      <c r="K26" s="35">
        <v>0</v>
      </c>
      <c r="L26" s="35">
        <v>0</v>
      </c>
      <c r="M26" s="35">
        <v>0</v>
      </c>
      <c r="N26" s="35">
        <v>7204</v>
      </c>
      <c r="O26" s="35">
        <v>0</v>
      </c>
      <c r="P26" s="35">
        <v>0</v>
      </c>
    </row>
    <row r="27" spans="1:26" x14ac:dyDescent="0.25">
      <c r="A27" t="s">
        <v>480</v>
      </c>
      <c r="B27">
        <f t="shared" si="2"/>
        <v>2014</v>
      </c>
      <c r="C27" s="35">
        <v>140576</v>
      </c>
      <c r="D27" s="35">
        <v>0</v>
      </c>
      <c r="E27" s="35">
        <v>0</v>
      </c>
      <c r="F27" s="35">
        <v>0</v>
      </c>
      <c r="G27" s="35">
        <v>342091</v>
      </c>
      <c r="H27" s="35">
        <v>0</v>
      </c>
      <c r="I27" s="35">
        <v>0</v>
      </c>
      <c r="J27" s="35">
        <v>0</v>
      </c>
      <c r="K27" s="35">
        <v>0</v>
      </c>
      <c r="L27" s="35">
        <v>0</v>
      </c>
      <c r="M27" s="35">
        <v>0</v>
      </c>
      <c r="N27" s="35">
        <v>0</v>
      </c>
      <c r="O27" s="35">
        <v>0</v>
      </c>
      <c r="P27" s="35">
        <v>0</v>
      </c>
    </row>
    <row r="28" spans="1:26" x14ac:dyDescent="0.25">
      <c r="A28" t="s">
        <v>481</v>
      </c>
      <c r="B28">
        <f t="shared" si="2"/>
        <v>2015</v>
      </c>
      <c r="C28" s="35">
        <v>447489</v>
      </c>
      <c r="D28" s="35">
        <v>4215</v>
      </c>
      <c r="E28" s="35">
        <v>0</v>
      </c>
      <c r="F28" s="35">
        <v>148942</v>
      </c>
      <c r="G28" s="35">
        <v>2466823</v>
      </c>
      <c r="H28" s="35">
        <v>35000</v>
      </c>
      <c r="I28" s="35">
        <v>0</v>
      </c>
      <c r="J28" s="35">
        <v>0</v>
      </c>
      <c r="K28" s="35">
        <v>471</v>
      </c>
      <c r="L28" s="35">
        <v>0</v>
      </c>
      <c r="M28" s="35">
        <v>13078</v>
      </c>
      <c r="N28" s="35">
        <v>0</v>
      </c>
      <c r="O28" s="35">
        <v>0</v>
      </c>
      <c r="P28" s="35">
        <v>0</v>
      </c>
    </row>
    <row r="29" spans="1:26" x14ac:dyDescent="0.25">
      <c r="A29" t="s">
        <v>482</v>
      </c>
      <c r="B29">
        <f t="shared" si="2"/>
        <v>2015</v>
      </c>
      <c r="C29" s="35">
        <v>85963</v>
      </c>
      <c r="D29" s="35">
        <v>235344</v>
      </c>
      <c r="E29" s="35">
        <v>772</v>
      </c>
      <c r="F29" s="35">
        <v>6366795</v>
      </c>
      <c r="G29" s="35">
        <v>17517588</v>
      </c>
      <c r="H29" s="35">
        <v>338486</v>
      </c>
      <c r="I29" s="35">
        <v>3</v>
      </c>
      <c r="J29" s="35">
        <v>0</v>
      </c>
      <c r="K29" s="35">
        <v>0</v>
      </c>
      <c r="L29" s="35">
        <v>0</v>
      </c>
      <c r="M29" s="35">
        <v>42035</v>
      </c>
      <c r="N29" s="35">
        <v>498651</v>
      </c>
      <c r="O29" s="35">
        <v>0</v>
      </c>
      <c r="P29" s="35">
        <v>0</v>
      </c>
    </row>
    <row r="30" spans="1:26" x14ac:dyDescent="0.25">
      <c r="A30" t="s">
        <v>483</v>
      </c>
      <c r="B30">
        <f t="shared" si="2"/>
        <v>2015</v>
      </c>
      <c r="C30" s="35">
        <v>89225</v>
      </c>
      <c r="D30" s="35">
        <v>900</v>
      </c>
      <c r="E30" s="35">
        <v>0</v>
      </c>
      <c r="F30" s="35">
        <v>0</v>
      </c>
      <c r="G30" s="35">
        <v>0</v>
      </c>
      <c r="H30" s="35">
        <v>0</v>
      </c>
      <c r="I30" s="35">
        <v>15</v>
      </c>
      <c r="J30" s="35">
        <v>0</v>
      </c>
      <c r="K30" s="35">
        <v>0</v>
      </c>
      <c r="L30" s="35">
        <v>0</v>
      </c>
      <c r="M30" s="35">
        <v>0</v>
      </c>
      <c r="N30" s="35">
        <v>0</v>
      </c>
      <c r="O30" s="35">
        <v>0</v>
      </c>
      <c r="P30" s="35">
        <v>0</v>
      </c>
    </row>
    <row r="31" spans="1:26" x14ac:dyDescent="0.25">
      <c r="A31" t="s">
        <v>484</v>
      </c>
      <c r="B31">
        <f t="shared" si="2"/>
        <v>2015</v>
      </c>
      <c r="C31" s="35">
        <v>24820</v>
      </c>
      <c r="D31" s="35">
        <v>2966</v>
      </c>
      <c r="E31" s="35">
        <v>0</v>
      </c>
      <c r="F31" s="35">
        <v>0</v>
      </c>
      <c r="G31" s="35">
        <v>0</v>
      </c>
      <c r="H31" s="35">
        <v>0</v>
      </c>
      <c r="I31" s="35">
        <v>0</v>
      </c>
      <c r="J31" s="35">
        <v>0</v>
      </c>
      <c r="K31" s="35">
        <v>0</v>
      </c>
      <c r="L31" s="35">
        <v>0</v>
      </c>
      <c r="M31" s="35">
        <v>0</v>
      </c>
      <c r="N31" s="35">
        <v>0</v>
      </c>
      <c r="O31" s="35">
        <v>0</v>
      </c>
      <c r="P31" s="35">
        <v>0</v>
      </c>
    </row>
    <row r="32" spans="1:26" x14ac:dyDescent="0.25">
      <c r="A32" t="s">
        <v>485</v>
      </c>
      <c r="B32">
        <f t="shared" si="2"/>
        <v>2016</v>
      </c>
      <c r="C32" s="35">
        <v>264811</v>
      </c>
      <c r="D32" s="35">
        <v>300213</v>
      </c>
      <c r="E32" s="35">
        <v>0</v>
      </c>
      <c r="F32" s="35">
        <v>0</v>
      </c>
      <c r="G32" s="35">
        <v>0</v>
      </c>
      <c r="H32" s="35">
        <v>0</v>
      </c>
      <c r="I32" s="35">
        <v>0</v>
      </c>
      <c r="J32" s="35">
        <v>1727</v>
      </c>
      <c r="K32" s="35">
        <v>337</v>
      </c>
      <c r="L32" s="35">
        <v>0</v>
      </c>
      <c r="M32" s="35">
        <v>0</v>
      </c>
      <c r="N32" s="35">
        <v>0</v>
      </c>
      <c r="O32" s="35">
        <v>0</v>
      </c>
      <c r="P32" s="35">
        <v>0</v>
      </c>
    </row>
    <row r="33" spans="1:16" x14ac:dyDescent="0.25">
      <c r="A33" t="s">
        <v>486</v>
      </c>
      <c r="B33">
        <f t="shared" si="2"/>
        <v>2016</v>
      </c>
      <c r="C33" s="35">
        <v>9657670</v>
      </c>
      <c r="D33" s="35">
        <v>9543350</v>
      </c>
      <c r="E33" s="35">
        <v>543439</v>
      </c>
      <c r="F33" s="35">
        <v>0</v>
      </c>
      <c r="G33" s="35">
        <v>0</v>
      </c>
      <c r="H33" s="35">
        <v>0</v>
      </c>
      <c r="I33" s="35">
        <v>16</v>
      </c>
      <c r="J33" s="35">
        <v>0</v>
      </c>
      <c r="K33" s="35">
        <v>6262</v>
      </c>
      <c r="L33" s="35">
        <v>0</v>
      </c>
      <c r="M33" s="35">
        <v>0</v>
      </c>
      <c r="N33" s="35">
        <v>0</v>
      </c>
      <c r="O33" s="35">
        <v>0</v>
      </c>
      <c r="P33" s="35">
        <v>0</v>
      </c>
    </row>
    <row r="34" spans="1:16" x14ac:dyDescent="0.25">
      <c r="A34" t="s">
        <v>487</v>
      </c>
      <c r="B34">
        <f t="shared" si="2"/>
        <v>2016</v>
      </c>
      <c r="C34" s="35">
        <v>230928</v>
      </c>
      <c r="D34" s="35">
        <v>772</v>
      </c>
      <c r="E34" s="35">
        <v>0</v>
      </c>
      <c r="F34" s="35">
        <v>0</v>
      </c>
      <c r="G34" s="35">
        <v>0</v>
      </c>
      <c r="H34" s="35">
        <v>0</v>
      </c>
      <c r="I34" s="35">
        <v>0</v>
      </c>
      <c r="J34" s="35">
        <v>480</v>
      </c>
      <c r="K34" s="35">
        <v>2263</v>
      </c>
      <c r="L34" s="35">
        <v>0</v>
      </c>
      <c r="M34" s="35">
        <v>0</v>
      </c>
      <c r="N34" s="35">
        <v>0</v>
      </c>
      <c r="O34" s="35">
        <v>0</v>
      </c>
      <c r="P34" s="35">
        <v>0</v>
      </c>
    </row>
    <row r="35" spans="1:16" x14ac:dyDescent="0.25">
      <c r="A35" t="s">
        <v>488</v>
      </c>
      <c r="B35">
        <f t="shared" si="2"/>
        <v>2016</v>
      </c>
      <c r="C35" s="35">
        <v>1139708</v>
      </c>
      <c r="D35" s="35">
        <v>67</v>
      </c>
      <c r="E35" s="35">
        <v>0</v>
      </c>
      <c r="F35" s="35">
        <v>0</v>
      </c>
      <c r="G35" s="35">
        <v>0</v>
      </c>
      <c r="H35" s="35">
        <v>0</v>
      </c>
      <c r="I35" s="35">
        <v>0</v>
      </c>
      <c r="J35" s="35">
        <v>1812</v>
      </c>
      <c r="K35" s="35">
        <v>0</v>
      </c>
      <c r="L35" s="35">
        <v>0</v>
      </c>
      <c r="M35" s="35">
        <v>0</v>
      </c>
      <c r="N35" s="35">
        <v>0</v>
      </c>
      <c r="O35" s="35">
        <v>0</v>
      </c>
      <c r="P35" s="35">
        <v>0</v>
      </c>
    </row>
    <row r="36" spans="1:16" x14ac:dyDescent="0.25">
      <c r="A36" t="s">
        <v>489</v>
      </c>
      <c r="B36">
        <f t="shared" si="2"/>
        <v>2017</v>
      </c>
      <c r="C36" s="35">
        <v>1401685</v>
      </c>
      <c r="D36" s="35">
        <v>216062</v>
      </c>
      <c r="E36" s="35">
        <v>20462</v>
      </c>
      <c r="F36" s="35">
        <v>0</v>
      </c>
      <c r="G36" s="35">
        <v>0</v>
      </c>
      <c r="H36" s="35">
        <v>0</v>
      </c>
      <c r="I36" s="35">
        <v>0</v>
      </c>
      <c r="J36" s="35">
        <v>0</v>
      </c>
      <c r="K36" s="35">
        <v>3097</v>
      </c>
      <c r="L36" s="35">
        <v>0</v>
      </c>
      <c r="M36" s="35">
        <v>0</v>
      </c>
      <c r="N36" s="35">
        <v>0</v>
      </c>
      <c r="O36" s="35">
        <v>0</v>
      </c>
      <c r="P36" s="35">
        <v>0</v>
      </c>
    </row>
    <row r="37" spans="1:16" x14ac:dyDescent="0.25">
      <c r="A37" t="s">
        <v>490</v>
      </c>
      <c r="B37">
        <f t="shared" si="2"/>
        <v>2017</v>
      </c>
      <c r="C37" s="35">
        <v>13050051</v>
      </c>
      <c r="D37" s="35">
        <v>6266460</v>
      </c>
      <c r="E37" s="35">
        <v>128810</v>
      </c>
      <c r="F37" s="35">
        <v>0</v>
      </c>
      <c r="G37" s="35">
        <v>0</v>
      </c>
      <c r="H37" s="35">
        <v>0</v>
      </c>
      <c r="I37" s="35">
        <v>1362</v>
      </c>
      <c r="J37" s="35">
        <v>0</v>
      </c>
      <c r="K37" s="35">
        <v>0</v>
      </c>
      <c r="L37" s="35">
        <v>0</v>
      </c>
      <c r="M37" s="35">
        <v>0</v>
      </c>
      <c r="N37" s="35">
        <v>0</v>
      </c>
      <c r="O37" s="35">
        <v>0</v>
      </c>
      <c r="P37" s="35">
        <v>0</v>
      </c>
    </row>
    <row r="38" spans="1:16" x14ac:dyDescent="0.25">
      <c r="A38" t="s">
        <v>491</v>
      </c>
      <c r="B38">
        <f t="shared" si="2"/>
        <v>2017</v>
      </c>
      <c r="C38" s="35">
        <v>320808</v>
      </c>
      <c r="D38" s="35">
        <v>20200</v>
      </c>
      <c r="E38" s="35">
        <v>0</v>
      </c>
      <c r="F38" s="35">
        <v>0</v>
      </c>
      <c r="G38" s="35">
        <v>0</v>
      </c>
      <c r="H38" s="35">
        <v>0</v>
      </c>
      <c r="I38" s="35">
        <v>2478</v>
      </c>
      <c r="J38" s="35">
        <v>3520</v>
      </c>
      <c r="K38" s="35">
        <v>0</v>
      </c>
      <c r="L38" s="35">
        <v>0</v>
      </c>
      <c r="M38" s="35">
        <v>0</v>
      </c>
      <c r="N38" s="35">
        <v>0</v>
      </c>
      <c r="O38" s="35">
        <v>0</v>
      </c>
      <c r="P38" s="35">
        <v>0</v>
      </c>
    </row>
    <row r="39" spans="1:16" x14ac:dyDescent="0.25">
      <c r="A39" t="s">
        <v>492</v>
      </c>
      <c r="B39">
        <f t="shared" si="2"/>
        <v>2017</v>
      </c>
      <c r="C39" s="35">
        <v>1126463</v>
      </c>
      <c r="D39" s="35">
        <v>77080</v>
      </c>
      <c r="E39" s="35">
        <v>2000</v>
      </c>
      <c r="F39" s="35">
        <v>0</v>
      </c>
      <c r="G39" s="35">
        <v>0</v>
      </c>
      <c r="H39" s="35">
        <v>0</v>
      </c>
      <c r="I39" s="35">
        <v>0</v>
      </c>
      <c r="J39" s="35">
        <v>0</v>
      </c>
      <c r="K39" s="35">
        <v>0</v>
      </c>
      <c r="L39" s="35">
        <v>0</v>
      </c>
      <c r="M39" s="35">
        <v>0</v>
      </c>
      <c r="N39" s="35">
        <v>0</v>
      </c>
      <c r="O39" s="35">
        <v>0</v>
      </c>
      <c r="P39" s="35">
        <v>0</v>
      </c>
    </row>
    <row r="40" spans="1:16" x14ac:dyDescent="0.25">
      <c r="A40" t="s">
        <v>493</v>
      </c>
      <c r="B40">
        <f t="shared" si="2"/>
        <v>2018</v>
      </c>
      <c r="C40" s="35">
        <v>617496</v>
      </c>
      <c r="D40" s="35">
        <v>105360</v>
      </c>
      <c r="E40" s="35">
        <v>1344</v>
      </c>
      <c r="F40" s="35">
        <v>0</v>
      </c>
      <c r="G40" s="35">
        <v>0</v>
      </c>
      <c r="H40" s="35">
        <v>0</v>
      </c>
      <c r="I40" s="35">
        <v>0</v>
      </c>
      <c r="J40" s="35">
        <v>0</v>
      </c>
      <c r="K40" s="35">
        <v>0</v>
      </c>
      <c r="L40" s="35">
        <v>0</v>
      </c>
      <c r="M40" s="35">
        <v>0</v>
      </c>
      <c r="N40" s="35">
        <v>0</v>
      </c>
      <c r="O40" s="35">
        <v>0</v>
      </c>
      <c r="P40" s="35">
        <v>0</v>
      </c>
    </row>
    <row r="41" spans="1:16" x14ac:dyDescent="0.25">
      <c r="A41" t="s">
        <v>494</v>
      </c>
      <c r="B41">
        <f t="shared" si="2"/>
        <v>2018</v>
      </c>
      <c r="C41" s="35">
        <v>18107368</v>
      </c>
      <c r="D41" s="35">
        <v>7942270</v>
      </c>
      <c r="E41" s="35">
        <v>205366</v>
      </c>
      <c r="F41" s="35">
        <v>0</v>
      </c>
      <c r="G41" s="35">
        <v>0</v>
      </c>
      <c r="H41" s="35">
        <v>0</v>
      </c>
      <c r="I41" s="35">
        <v>18541</v>
      </c>
      <c r="J41" s="35">
        <v>0</v>
      </c>
      <c r="K41" s="35">
        <v>2138</v>
      </c>
      <c r="L41" s="35">
        <v>0</v>
      </c>
      <c r="M41" s="35">
        <v>0</v>
      </c>
      <c r="N41" s="35">
        <v>0</v>
      </c>
      <c r="O41" s="35">
        <v>0</v>
      </c>
      <c r="P41" s="35">
        <v>0</v>
      </c>
    </row>
    <row r="42" spans="1:16" x14ac:dyDescent="0.25">
      <c r="A42" t="s">
        <v>495</v>
      </c>
      <c r="B42">
        <f t="shared" si="2"/>
        <v>2018</v>
      </c>
      <c r="C42" s="35">
        <v>700783</v>
      </c>
      <c r="D42" s="35">
        <v>6862</v>
      </c>
      <c r="E42" s="35">
        <v>1250</v>
      </c>
      <c r="F42" s="35">
        <v>0</v>
      </c>
      <c r="G42" s="35">
        <v>0</v>
      </c>
      <c r="H42" s="35">
        <v>0</v>
      </c>
      <c r="I42" s="35">
        <v>816</v>
      </c>
      <c r="J42" s="35">
        <v>890</v>
      </c>
      <c r="K42" s="35">
        <v>1</v>
      </c>
      <c r="L42" s="35">
        <v>1</v>
      </c>
      <c r="M42" s="35">
        <v>0</v>
      </c>
      <c r="N42" s="35">
        <v>0</v>
      </c>
      <c r="O42" s="35">
        <v>0</v>
      </c>
      <c r="P42" s="35">
        <v>0</v>
      </c>
    </row>
    <row r="43" spans="1:16" x14ac:dyDescent="0.25">
      <c r="A43" t="s">
        <v>496</v>
      </c>
      <c r="B43">
        <f t="shared" si="2"/>
        <v>2018</v>
      </c>
      <c r="C43" s="35">
        <v>283461</v>
      </c>
      <c r="D43" s="35">
        <v>15371</v>
      </c>
      <c r="E43" s="35">
        <v>0</v>
      </c>
      <c r="F43" s="35">
        <v>0</v>
      </c>
      <c r="G43" s="35">
        <v>0</v>
      </c>
      <c r="H43" s="35">
        <v>0</v>
      </c>
      <c r="I43" s="35">
        <v>26290</v>
      </c>
      <c r="J43" s="35">
        <v>118580</v>
      </c>
      <c r="K43" s="35">
        <v>3</v>
      </c>
      <c r="L43" s="35">
        <v>0</v>
      </c>
      <c r="M43" s="35">
        <v>0</v>
      </c>
      <c r="N43" s="35">
        <v>0</v>
      </c>
      <c r="O43" s="35">
        <v>0</v>
      </c>
      <c r="P43" s="35">
        <v>0</v>
      </c>
    </row>
    <row r="44" spans="1:16" x14ac:dyDescent="0.25">
      <c r="A44" t="s">
        <v>497</v>
      </c>
      <c r="B44">
        <f t="shared" si="2"/>
        <v>2019</v>
      </c>
      <c r="C44" s="35">
        <v>482812</v>
      </c>
      <c r="D44" s="35">
        <v>22480</v>
      </c>
      <c r="E44" s="35">
        <v>0</v>
      </c>
      <c r="F44" s="35">
        <v>0</v>
      </c>
      <c r="G44" s="35">
        <v>0</v>
      </c>
      <c r="H44" s="35">
        <v>0</v>
      </c>
      <c r="I44" s="35">
        <v>6023</v>
      </c>
      <c r="J44" s="35">
        <v>2616</v>
      </c>
      <c r="K44" s="35">
        <v>0</v>
      </c>
      <c r="L44" s="35">
        <v>0</v>
      </c>
      <c r="M44" s="35">
        <v>0</v>
      </c>
      <c r="N44" s="35">
        <v>0</v>
      </c>
      <c r="O44" s="35">
        <v>0</v>
      </c>
      <c r="P44" s="35">
        <v>0</v>
      </c>
    </row>
    <row r="45" spans="1:16" x14ac:dyDescent="0.25">
      <c r="A45" t="s">
        <v>498</v>
      </c>
      <c r="B45">
        <f t="shared" si="2"/>
        <v>2019</v>
      </c>
      <c r="C45" s="35">
        <v>6797983</v>
      </c>
      <c r="D45" s="35">
        <v>8194945</v>
      </c>
      <c r="E45" s="35">
        <v>285174</v>
      </c>
      <c r="F45" s="35">
        <v>0</v>
      </c>
      <c r="G45" s="35">
        <v>0</v>
      </c>
      <c r="H45" s="35">
        <v>0</v>
      </c>
      <c r="I45" s="35">
        <v>16791520</v>
      </c>
      <c r="J45" s="35">
        <v>16215</v>
      </c>
      <c r="K45" s="35">
        <v>0</v>
      </c>
      <c r="L45" s="35">
        <v>0</v>
      </c>
      <c r="M45" s="35">
        <v>0</v>
      </c>
      <c r="N45" s="35">
        <v>0</v>
      </c>
      <c r="O45" s="35">
        <v>0</v>
      </c>
      <c r="P45" s="35">
        <v>0</v>
      </c>
    </row>
    <row r="46" spans="1:16" x14ac:dyDescent="0.25">
      <c r="A46" t="s">
        <v>499</v>
      </c>
      <c r="B46">
        <f t="shared" si="2"/>
        <v>2019</v>
      </c>
      <c r="C46" s="35">
        <v>134989</v>
      </c>
      <c r="D46" s="35">
        <v>12529</v>
      </c>
      <c r="E46" s="35">
        <v>0</v>
      </c>
      <c r="F46" s="35">
        <v>0</v>
      </c>
      <c r="G46" s="35">
        <v>0</v>
      </c>
      <c r="H46" s="35">
        <v>0</v>
      </c>
      <c r="I46" s="35">
        <v>0</v>
      </c>
      <c r="J46" s="35">
        <v>21131</v>
      </c>
      <c r="K46" s="35">
        <v>15479</v>
      </c>
      <c r="L46" s="35">
        <v>0</v>
      </c>
      <c r="M46" s="35">
        <v>0</v>
      </c>
      <c r="N46" s="35">
        <v>0</v>
      </c>
      <c r="O46" s="35">
        <v>0</v>
      </c>
      <c r="P46" s="35">
        <v>0</v>
      </c>
    </row>
    <row r="47" spans="1:16" x14ac:dyDescent="0.25">
      <c r="A47" t="s">
        <v>500</v>
      </c>
      <c r="B47">
        <f t="shared" si="2"/>
        <v>2019</v>
      </c>
      <c r="C47" s="35">
        <v>242219</v>
      </c>
      <c r="D47" s="35">
        <v>27086</v>
      </c>
      <c r="E47" s="35">
        <v>0</v>
      </c>
      <c r="F47" s="35">
        <v>0</v>
      </c>
      <c r="G47" s="35">
        <v>0</v>
      </c>
      <c r="H47" s="35">
        <v>0</v>
      </c>
      <c r="I47" s="35">
        <v>2246</v>
      </c>
      <c r="J47" s="35">
        <v>36908</v>
      </c>
      <c r="K47" s="35">
        <v>4404</v>
      </c>
      <c r="L47" s="35">
        <v>0</v>
      </c>
      <c r="M47" s="35">
        <v>0</v>
      </c>
      <c r="N47" s="35">
        <v>0</v>
      </c>
      <c r="O47" s="35">
        <v>0</v>
      </c>
      <c r="P47" s="35">
        <v>0</v>
      </c>
    </row>
    <row r="48" spans="1:16" x14ac:dyDescent="0.25">
      <c r="A48" t="s">
        <v>501</v>
      </c>
      <c r="B48">
        <f t="shared" si="2"/>
        <v>2020</v>
      </c>
      <c r="C48" s="35">
        <v>390223</v>
      </c>
      <c r="D48" s="35">
        <v>30876</v>
      </c>
      <c r="E48" s="35">
        <v>13673</v>
      </c>
      <c r="F48" s="35">
        <v>0</v>
      </c>
      <c r="G48" s="35">
        <v>0</v>
      </c>
      <c r="H48" s="35">
        <v>0</v>
      </c>
      <c r="I48" s="35">
        <v>699750</v>
      </c>
      <c r="J48" s="35">
        <v>1494</v>
      </c>
      <c r="K48" s="35">
        <v>400</v>
      </c>
      <c r="L48" s="35">
        <v>0</v>
      </c>
      <c r="M48" s="35">
        <v>0</v>
      </c>
      <c r="N48" s="35">
        <v>0</v>
      </c>
      <c r="O48" s="35">
        <v>0</v>
      </c>
      <c r="P48" s="35">
        <v>0</v>
      </c>
    </row>
    <row r="49" spans="1:16" x14ac:dyDescent="0.25">
      <c r="A49" t="s">
        <v>502</v>
      </c>
      <c r="B49">
        <f t="shared" si="2"/>
        <v>2020</v>
      </c>
      <c r="C49" s="35">
        <v>19876479</v>
      </c>
      <c r="D49" s="35">
        <v>10948026</v>
      </c>
      <c r="E49" s="35">
        <v>57714</v>
      </c>
      <c r="F49" s="35">
        <v>0</v>
      </c>
      <c r="G49" s="35">
        <v>0</v>
      </c>
      <c r="H49" s="35">
        <v>0</v>
      </c>
      <c r="I49" s="35">
        <v>7883577</v>
      </c>
      <c r="J49" s="35">
        <v>0</v>
      </c>
      <c r="K49" s="35">
        <v>0</v>
      </c>
      <c r="L49" s="35">
        <v>0</v>
      </c>
      <c r="M49" s="35">
        <v>0</v>
      </c>
      <c r="N49" s="35">
        <v>0</v>
      </c>
      <c r="O49" s="35">
        <v>0</v>
      </c>
      <c r="P49" s="35">
        <v>0</v>
      </c>
    </row>
    <row r="50" spans="1:16" x14ac:dyDescent="0.25">
      <c r="A50" t="s">
        <v>503</v>
      </c>
      <c r="B50">
        <f t="shared" si="2"/>
        <v>2020</v>
      </c>
      <c r="C50" s="35">
        <v>82018</v>
      </c>
      <c r="D50" s="35">
        <v>251</v>
      </c>
      <c r="E50" s="35">
        <v>0</v>
      </c>
      <c r="F50" s="35">
        <v>0</v>
      </c>
      <c r="G50" s="35">
        <v>0</v>
      </c>
      <c r="H50" s="35">
        <v>0</v>
      </c>
      <c r="I50" s="35">
        <v>211735</v>
      </c>
      <c r="J50" s="35">
        <v>0</v>
      </c>
      <c r="K50" s="35">
        <v>0</v>
      </c>
      <c r="L50" s="35">
        <v>0</v>
      </c>
      <c r="M50" s="35">
        <v>0</v>
      </c>
      <c r="N50" s="35">
        <v>0</v>
      </c>
      <c r="O50" s="35">
        <v>0</v>
      </c>
      <c r="P50" s="35">
        <v>0</v>
      </c>
    </row>
    <row r="51" spans="1:16" x14ac:dyDescent="0.25">
      <c r="A51" t="s">
        <v>504</v>
      </c>
      <c r="B51">
        <f t="shared" si="2"/>
        <v>2020</v>
      </c>
      <c r="C51" s="35">
        <v>117782</v>
      </c>
      <c r="D51" s="35">
        <v>71</v>
      </c>
      <c r="E51" s="35">
        <v>0</v>
      </c>
      <c r="F51" s="35">
        <v>0</v>
      </c>
      <c r="G51" s="35">
        <v>0</v>
      </c>
      <c r="H51" s="35">
        <v>0</v>
      </c>
      <c r="I51" s="35">
        <v>346804</v>
      </c>
      <c r="J51" s="35">
        <v>17989</v>
      </c>
      <c r="K51" s="35">
        <v>169</v>
      </c>
      <c r="L51" s="35">
        <v>0</v>
      </c>
      <c r="M51" s="35">
        <v>0</v>
      </c>
      <c r="N51" s="35">
        <v>0</v>
      </c>
      <c r="O51" s="35">
        <v>0</v>
      </c>
      <c r="P51" s="35">
        <v>0</v>
      </c>
    </row>
    <row r="52" spans="1:16" x14ac:dyDescent="0.25">
      <c r="A52" t="s">
        <v>505</v>
      </c>
      <c r="B52">
        <f t="shared" si="2"/>
        <v>2021</v>
      </c>
      <c r="C52" s="35">
        <v>639600</v>
      </c>
      <c r="D52" s="35">
        <v>96128</v>
      </c>
      <c r="E52" s="35">
        <v>0</v>
      </c>
      <c r="F52" s="35">
        <v>0</v>
      </c>
      <c r="G52" s="35">
        <v>0</v>
      </c>
      <c r="H52" s="35">
        <v>0</v>
      </c>
      <c r="I52" s="35">
        <v>541656</v>
      </c>
      <c r="J52" s="35">
        <v>0</v>
      </c>
      <c r="K52" s="35">
        <v>0</v>
      </c>
      <c r="L52" s="35">
        <v>0</v>
      </c>
      <c r="M52" s="35">
        <v>0</v>
      </c>
      <c r="N52" s="35">
        <v>0</v>
      </c>
      <c r="O52" s="35">
        <v>0</v>
      </c>
      <c r="P52" s="35">
        <v>0</v>
      </c>
    </row>
    <row r="53" spans="1:16" x14ac:dyDescent="0.25">
      <c r="A53" t="s">
        <v>506</v>
      </c>
      <c r="B53">
        <f t="shared" si="2"/>
        <v>2021</v>
      </c>
      <c r="C53" s="35">
        <v>1723010</v>
      </c>
      <c r="D53" s="35">
        <v>5736677</v>
      </c>
      <c r="E53" s="35">
        <v>0</v>
      </c>
      <c r="F53" s="35">
        <v>0</v>
      </c>
      <c r="G53" s="35">
        <v>0</v>
      </c>
      <c r="H53" s="35">
        <v>0</v>
      </c>
      <c r="I53" s="35">
        <v>29495828</v>
      </c>
      <c r="J53" s="35">
        <v>25874</v>
      </c>
      <c r="K53" s="35">
        <v>79435</v>
      </c>
      <c r="L53" s="35">
        <v>0</v>
      </c>
      <c r="M53" s="35">
        <v>0</v>
      </c>
      <c r="N53" s="35">
        <v>0</v>
      </c>
      <c r="O53" s="35">
        <v>0</v>
      </c>
      <c r="P53" s="35">
        <v>0</v>
      </c>
    </row>
    <row r="54" spans="1:16" x14ac:dyDescent="0.25">
      <c r="A54" t="s">
        <v>507</v>
      </c>
      <c r="B54">
        <f t="shared" si="2"/>
        <v>2021</v>
      </c>
      <c r="C54" s="35">
        <v>386795</v>
      </c>
      <c r="D54" s="35">
        <v>11091</v>
      </c>
      <c r="E54" s="35">
        <v>0</v>
      </c>
      <c r="F54" s="35">
        <v>0</v>
      </c>
      <c r="G54" s="35">
        <v>0</v>
      </c>
      <c r="H54" s="35">
        <v>0</v>
      </c>
      <c r="I54" s="35">
        <v>372029</v>
      </c>
      <c r="J54" s="35">
        <v>1784</v>
      </c>
      <c r="K54" s="35">
        <v>0</v>
      </c>
      <c r="L54" s="35">
        <v>0</v>
      </c>
      <c r="M54" s="35">
        <v>0</v>
      </c>
      <c r="N54" s="35">
        <v>0</v>
      </c>
      <c r="O54" s="35">
        <v>0</v>
      </c>
      <c r="P54" s="35">
        <v>0</v>
      </c>
    </row>
    <row r="55" spans="1:16" x14ac:dyDescent="0.25">
      <c r="A55" t="s">
        <v>508</v>
      </c>
      <c r="B55">
        <f t="shared" si="2"/>
        <v>2021</v>
      </c>
      <c r="C55" s="35">
        <v>61969</v>
      </c>
      <c r="D55" s="35">
        <v>0</v>
      </c>
      <c r="E55" s="35">
        <v>0</v>
      </c>
      <c r="F55" s="35">
        <v>0</v>
      </c>
      <c r="G55" s="35">
        <v>0</v>
      </c>
      <c r="H55" s="35">
        <v>0</v>
      </c>
      <c r="I55" s="35">
        <v>27986</v>
      </c>
      <c r="J55" s="35">
        <v>0</v>
      </c>
      <c r="K55" s="35">
        <v>0</v>
      </c>
      <c r="L55" s="35">
        <v>0</v>
      </c>
      <c r="M55" s="35">
        <v>0</v>
      </c>
      <c r="N55" s="35">
        <v>0</v>
      </c>
      <c r="O55" s="35">
        <v>0</v>
      </c>
      <c r="P55" s="35">
        <v>0</v>
      </c>
    </row>
    <row r="56" spans="1:16" x14ac:dyDescent="0.25">
      <c r="A56" t="s">
        <v>509</v>
      </c>
      <c r="B56">
        <f t="shared" si="2"/>
        <v>2022</v>
      </c>
      <c r="C56" s="35">
        <v>598435</v>
      </c>
      <c r="D56" s="35">
        <v>194735</v>
      </c>
      <c r="E56" s="35">
        <v>0</v>
      </c>
      <c r="F56" s="35">
        <v>0</v>
      </c>
      <c r="G56" s="35">
        <v>0</v>
      </c>
      <c r="H56" s="35">
        <v>0</v>
      </c>
      <c r="I56" s="35">
        <v>269240</v>
      </c>
      <c r="J56" s="35">
        <v>23249</v>
      </c>
      <c r="K56" s="35">
        <v>0</v>
      </c>
      <c r="L56" s="35">
        <v>0</v>
      </c>
      <c r="M56" s="35">
        <v>0</v>
      </c>
      <c r="N56" s="35">
        <v>0</v>
      </c>
      <c r="O56" s="35">
        <v>0</v>
      </c>
      <c r="P56" s="35">
        <v>191</v>
      </c>
    </row>
    <row r="57" spans="1:16" x14ac:dyDescent="0.25">
      <c r="A57" t="s">
        <v>510</v>
      </c>
      <c r="B57">
        <f t="shared" si="2"/>
        <v>2022</v>
      </c>
      <c r="C57" s="35">
        <v>17147046</v>
      </c>
      <c r="D57" s="35">
        <v>19077738</v>
      </c>
      <c r="E57" s="35">
        <v>0</v>
      </c>
      <c r="F57" s="35">
        <v>0</v>
      </c>
      <c r="G57" s="35">
        <v>0</v>
      </c>
      <c r="H57" s="35">
        <v>0</v>
      </c>
      <c r="I57" s="35">
        <v>387781</v>
      </c>
      <c r="J57" s="35">
        <v>450</v>
      </c>
      <c r="K57" s="35">
        <v>0</v>
      </c>
      <c r="L57" s="35">
        <v>0</v>
      </c>
      <c r="M57" s="35">
        <v>0</v>
      </c>
      <c r="N57" s="35">
        <v>0</v>
      </c>
      <c r="O57" s="35">
        <v>0</v>
      </c>
      <c r="P57" s="35">
        <v>0</v>
      </c>
    </row>
    <row r="58" spans="1:16" x14ac:dyDescent="0.25">
      <c r="C58" s="35"/>
      <c r="D58" s="35"/>
      <c r="E58" s="35"/>
      <c r="F58" s="35"/>
      <c r="G58" s="35"/>
      <c r="H58" s="35"/>
      <c r="I58" s="35"/>
      <c r="J58" s="35"/>
      <c r="K58" s="35"/>
      <c r="L58" s="35"/>
      <c r="M58" s="35"/>
      <c r="N58" s="35"/>
      <c r="O58" s="35"/>
      <c r="P58" s="35"/>
    </row>
    <row r="59" spans="1:16" x14ac:dyDescent="0.25">
      <c r="C59" s="35"/>
      <c r="D59" s="35"/>
      <c r="E59" s="35"/>
      <c r="F59" s="35"/>
      <c r="G59" s="35"/>
      <c r="H59" s="35"/>
      <c r="I59" s="35"/>
      <c r="J59" s="35"/>
      <c r="K59" s="35"/>
      <c r="L59" s="35"/>
      <c r="M59" s="35"/>
      <c r="N59" s="35"/>
      <c r="O59" s="35"/>
      <c r="P59" s="35"/>
    </row>
    <row r="60" spans="1:16" x14ac:dyDescent="0.25">
      <c r="C60" s="35"/>
      <c r="D60" s="35"/>
      <c r="E60" s="35"/>
      <c r="F60" s="35"/>
      <c r="G60" s="35"/>
      <c r="H60" s="35"/>
      <c r="I60" s="35"/>
      <c r="J60" s="35"/>
      <c r="K60" s="35"/>
      <c r="L60" s="35"/>
      <c r="M60" s="35"/>
      <c r="N60" s="35"/>
      <c r="O60" s="35"/>
      <c r="P60" s="35"/>
    </row>
    <row r="61" spans="1:16" x14ac:dyDescent="0.25">
      <c r="C61" s="35"/>
      <c r="D61" s="35"/>
      <c r="E61" s="35"/>
      <c r="F61" s="35"/>
      <c r="G61" s="35"/>
      <c r="H61" s="35"/>
      <c r="I61" s="35"/>
      <c r="J61" s="35"/>
      <c r="K61" s="35"/>
      <c r="L61" s="35"/>
      <c r="M61" s="35"/>
      <c r="N61" s="35"/>
      <c r="O61" s="35"/>
      <c r="P61" s="35"/>
    </row>
    <row r="62" spans="1:16" x14ac:dyDescent="0.25">
      <c r="C62" s="35"/>
      <c r="D62" s="35"/>
      <c r="E62" s="35"/>
      <c r="F62" s="35"/>
      <c r="G62" s="35"/>
      <c r="H62" s="35"/>
      <c r="I62" s="35"/>
      <c r="J62" s="35"/>
      <c r="K62" s="35"/>
      <c r="L62" s="35"/>
      <c r="M62" s="35"/>
      <c r="N62" s="35"/>
      <c r="O62" s="35"/>
      <c r="P62" s="35"/>
    </row>
    <row r="63" spans="1:16" x14ac:dyDescent="0.25">
      <c r="C63" s="35"/>
      <c r="D63" s="35"/>
      <c r="E63" s="35"/>
      <c r="F63" s="35"/>
      <c r="G63" s="35"/>
      <c r="H63" s="35"/>
      <c r="I63" s="35"/>
      <c r="J63" s="35"/>
      <c r="K63" s="35"/>
      <c r="L63" s="35"/>
      <c r="M63" s="35"/>
      <c r="N63" s="35"/>
      <c r="O63" s="35"/>
      <c r="P63" s="35"/>
    </row>
    <row r="64" spans="1:16" x14ac:dyDescent="0.25">
      <c r="C64" s="35"/>
      <c r="D64" s="35"/>
      <c r="E64" s="35"/>
      <c r="F64" s="35"/>
      <c r="G64" s="35"/>
      <c r="H64" s="35"/>
      <c r="I64" s="35"/>
      <c r="J64" s="35"/>
      <c r="K64" s="35"/>
      <c r="L64" s="35"/>
      <c r="M64" s="35"/>
      <c r="N64" s="35"/>
      <c r="O64" s="35"/>
      <c r="P64" s="35"/>
    </row>
    <row r="65" spans="3:16" x14ac:dyDescent="0.25">
      <c r="C65" s="35"/>
      <c r="D65" s="35"/>
      <c r="E65" s="35"/>
      <c r="F65" s="35"/>
      <c r="G65" s="35"/>
      <c r="H65" s="35"/>
      <c r="I65" s="35"/>
      <c r="J65" s="35"/>
      <c r="K65" s="35"/>
      <c r="L65" s="35"/>
      <c r="M65" s="35"/>
      <c r="N65" s="35"/>
      <c r="O65" s="35"/>
      <c r="P65" s="35"/>
    </row>
    <row r="66" spans="3:16" x14ac:dyDescent="0.25">
      <c r="C66" s="35"/>
      <c r="D66" s="35"/>
      <c r="E66" s="35"/>
      <c r="F66" s="35"/>
      <c r="G66" s="35"/>
      <c r="H66" s="35"/>
      <c r="I66" s="35"/>
      <c r="J66" s="35"/>
      <c r="K66" s="35"/>
      <c r="L66" s="35"/>
      <c r="M66" s="35"/>
      <c r="N66" s="35"/>
      <c r="O66" s="35"/>
      <c r="P66" s="35"/>
    </row>
    <row r="67" spans="3:16" x14ac:dyDescent="0.25">
      <c r="C67" s="35"/>
      <c r="D67" s="35"/>
      <c r="E67" s="35"/>
      <c r="F67" s="35"/>
      <c r="G67" s="35"/>
      <c r="H67" s="35"/>
      <c r="I67" s="35"/>
      <c r="J67" s="35"/>
      <c r="K67" s="35"/>
      <c r="L67" s="35"/>
      <c r="M67" s="35"/>
      <c r="N67" s="35"/>
      <c r="O67" s="35"/>
      <c r="P67" s="35"/>
    </row>
    <row r="68" spans="3:16" x14ac:dyDescent="0.25">
      <c r="C68" s="35"/>
      <c r="D68" s="35"/>
      <c r="E68" s="35"/>
      <c r="F68" s="35"/>
      <c r="G68" s="35"/>
      <c r="H68" s="35"/>
      <c r="I68" s="35"/>
      <c r="J68" s="35"/>
      <c r="K68" s="35"/>
      <c r="L68" s="35"/>
      <c r="M68" s="35"/>
      <c r="N68" s="35"/>
      <c r="O68" s="35"/>
      <c r="P68" s="35"/>
    </row>
    <row r="69" spans="3:16" x14ac:dyDescent="0.25">
      <c r="C69" s="35"/>
      <c r="D69" s="35"/>
      <c r="E69" s="35"/>
      <c r="F69" s="35"/>
      <c r="G69" s="35"/>
      <c r="H69" s="35"/>
      <c r="I69" s="35"/>
      <c r="J69" s="35"/>
      <c r="K69" s="35"/>
      <c r="L69" s="35"/>
      <c r="M69" s="35"/>
      <c r="N69" s="35"/>
      <c r="O69" s="35"/>
      <c r="P69" s="35"/>
    </row>
    <row r="70" spans="3:16" x14ac:dyDescent="0.25">
      <c r="C70" s="35"/>
      <c r="D70" s="35"/>
      <c r="E70" s="35"/>
      <c r="F70" s="35"/>
      <c r="G70" s="35"/>
      <c r="H70" s="35"/>
      <c r="I70" s="35"/>
      <c r="J70" s="35"/>
      <c r="K70" s="35"/>
      <c r="L70" s="35"/>
      <c r="M70" s="35"/>
      <c r="N70" s="35"/>
      <c r="O70" s="35"/>
      <c r="P70" s="35"/>
    </row>
    <row r="71" spans="3:16" x14ac:dyDescent="0.25">
      <c r="C71" s="35"/>
      <c r="D71" s="35"/>
      <c r="E71" s="35"/>
      <c r="F71" s="35"/>
      <c r="G71" s="35"/>
      <c r="H71" s="35"/>
      <c r="I71" s="35"/>
      <c r="J71" s="35"/>
      <c r="K71" s="35"/>
      <c r="L71" s="35"/>
      <c r="M71" s="35"/>
      <c r="N71" s="35"/>
      <c r="O71" s="35"/>
      <c r="P71" s="35"/>
    </row>
    <row r="72" spans="3:16" x14ac:dyDescent="0.25">
      <c r="C72" s="35"/>
      <c r="D72" s="35"/>
      <c r="E72" s="35"/>
      <c r="F72" s="35"/>
      <c r="G72" s="35"/>
      <c r="H72" s="35"/>
      <c r="I72" s="35"/>
      <c r="J72" s="35"/>
      <c r="K72" s="35"/>
      <c r="L72" s="35"/>
      <c r="M72" s="35"/>
      <c r="N72" s="35"/>
      <c r="O72" s="35"/>
      <c r="P72" s="35"/>
    </row>
    <row r="73" spans="3:16" x14ac:dyDescent="0.25">
      <c r="C73" s="35"/>
      <c r="D73" s="35"/>
      <c r="E73" s="35"/>
      <c r="F73" s="35"/>
      <c r="G73" s="35"/>
      <c r="H73" s="35"/>
      <c r="I73" s="35"/>
      <c r="J73" s="35"/>
      <c r="K73" s="35"/>
      <c r="L73" s="35"/>
      <c r="M73" s="35"/>
      <c r="N73" s="35"/>
      <c r="O73" s="35"/>
      <c r="P73" s="35"/>
    </row>
    <row r="74" spans="3:16" x14ac:dyDescent="0.25">
      <c r="C74" s="35"/>
      <c r="D74" s="35"/>
      <c r="E74" s="35"/>
      <c r="F74" s="35"/>
      <c r="G74" s="35"/>
      <c r="H74" s="35"/>
      <c r="I74" s="35"/>
      <c r="J74" s="35"/>
      <c r="K74" s="35"/>
      <c r="L74" s="35"/>
      <c r="M74" s="35"/>
      <c r="N74" s="35"/>
      <c r="O74" s="35"/>
      <c r="P74" s="35"/>
    </row>
    <row r="75" spans="3:16" x14ac:dyDescent="0.25">
      <c r="C75" s="35"/>
      <c r="D75" s="35"/>
      <c r="E75" s="35"/>
      <c r="F75" s="35"/>
      <c r="G75" s="35"/>
      <c r="H75" s="35"/>
      <c r="I75" s="35"/>
      <c r="J75" s="35"/>
      <c r="K75" s="35"/>
      <c r="L75" s="35"/>
      <c r="M75" s="35"/>
      <c r="N75" s="35"/>
      <c r="O75" s="35"/>
      <c r="P75" s="35"/>
    </row>
    <row r="76" spans="3:16" x14ac:dyDescent="0.25">
      <c r="C76" s="35"/>
      <c r="D76" s="35"/>
      <c r="E76" s="35"/>
      <c r="F76" s="35"/>
      <c r="G76" s="35"/>
      <c r="H76" s="35"/>
      <c r="I76" s="35"/>
      <c r="J76" s="35"/>
      <c r="K76" s="35"/>
      <c r="L76" s="35"/>
      <c r="M76" s="35"/>
      <c r="N76" s="35"/>
      <c r="O76" s="35"/>
      <c r="P76" s="35"/>
    </row>
    <row r="77" spans="3:16" x14ac:dyDescent="0.25">
      <c r="C77" s="35"/>
      <c r="D77" s="35"/>
      <c r="E77" s="35"/>
      <c r="F77" s="35"/>
      <c r="G77" s="35"/>
      <c r="H77" s="35"/>
      <c r="I77" s="35"/>
      <c r="J77" s="35"/>
      <c r="K77" s="35"/>
      <c r="L77" s="35"/>
      <c r="M77" s="35"/>
      <c r="N77" s="35"/>
      <c r="O77" s="35"/>
      <c r="P77" s="35"/>
    </row>
    <row r="78" spans="3:16" x14ac:dyDescent="0.25">
      <c r="C78" s="35"/>
      <c r="D78" s="35"/>
      <c r="E78" s="35"/>
      <c r="F78" s="35"/>
      <c r="G78" s="35"/>
      <c r="H78" s="35"/>
      <c r="I78" s="35"/>
      <c r="J78" s="35"/>
      <c r="K78" s="35"/>
      <c r="L78" s="35"/>
      <c r="M78" s="35"/>
      <c r="N78" s="35"/>
      <c r="O78" s="35"/>
      <c r="P78" s="35"/>
    </row>
    <row r="79" spans="3:16" x14ac:dyDescent="0.25">
      <c r="C79" s="35"/>
      <c r="D79" s="35"/>
      <c r="E79" s="35"/>
      <c r="F79" s="35"/>
      <c r="G79" s="35"/>
      <c r="H79" s="35"/>
      <c r="I79" s="35"/>
      <c r="J79" s="35"/>
      <c r="K79" s="35"/>
      <c r="L79" s="35"/>
      <c r="M79" s="35"/>
      <c r="N79" s="35"/>
      <c r="O79" s="35"/>
      <c r="P79" s="35"/>
    </row>
    <row r="80" spans="3:16" x14ac:dyDescent="0.25">
      <c r="C80" s="35"/>
      <c r="D80" s="35"/>
      <c r="E80" s="35"/>
      <c r="F80" s="35"/>
      <c r="G80" s="35"/>
      <c r="H80" s="35"/>
      <c r="I80" s="35"/>
      <c r="J80" s="35"/>
      <c r="K80" s="35"/>
      <c r="L80" s="35"/>
      <c r="M80" s="35"/>
      <c r="N80" s="35"/>
      <c r="O80" s="35"/>
      <c r="P80" s="35"/>
    </row>
    <row r="81" spans="3:16" x14ac:dyDescent="0.25">
      <c r="C81" s="35"/>
      <c r="D81" s="35"/>
      <c r="E81" s="35"/>
      <c r="F81" s="35"/>
      <c r="G81" s="35"/>
      <c r="H81" s="35"/>
      <c r="I81" s="35"/>
      <c r="J81" s="35"/>
      <c r="K81" s="35"/>
      <c r="L81" s="35"/>
      <c r="M81" s="35"/>
      <c r="N81" s="35"/>
      <c r="O81" s="35"/>
      <c r="P81" s="35"/>
    </row>
    <row r="82" spans="3:16" x14ac:dyDescent="0.25">
      <c r="C82" s="35"/>
      <c r="D82" s="35"/>
      <c r="E82" s="35"/>
      <c r="F82" s="35"/>
      <c r="G82" s="35"/>
      <c r="H82" s="35"/>
      <c r="I82" s="35"/>
      <c r="J82" s="35"/>
      <c r="K82" s="35"/>
      <c r="L82" s="35"/>
      <c r="M82" s="35"/>
      <c r="N82" s="35"/>
      <c r="O82" s="35"/>
      <c r="P82" s="35"/>
    </row>
    <row r="83" spans="3:16" x14ac:dyDescent="0.25">
      <c r="C83" s="35"/>
      <c r="D83" s="35"/>
      <c r="E83" s="35"/>
      <c r="F83" s="35"/>
      <c r="G83" s="35"/>
      <c r="H83" s="35"/>
      <c r="I83" s="35"/>
      <c r="J83" s="35"/>
      <c r="K83" s="35"/>
      <c r="L83" s="35"/>
      <c r="M83" s="35"/>
      <c r="N83" s="35"/>
      <c r="O83" s="35"/>
      <c r="P83" s="35"/>
    </row>
    <row r="84" spans="3:16" x14ac:dyDescent="0.25">
      <c r="C84" s="35"/>
      <c r="D84" s="35"/>
      <c r="E84" s="35"/>
      <c r="F84" s="35"/>
      <c r="G84" s="35"/>
      <c r="H84" s="35"/>
      <c r="I84" s="35"/>
      <c r="J84" s="35"/>
      <c r="K84" s="35"/>
      <c r="L84" s="35"/>
      <c r="M84" s="35"/>
      <c r="N84" s="35"/>
      <c r="O84" s="35"/>
      <c r="P84" s="35"/>
    </row>
    <row r="85" spans="3:16" x14ac:dyDescent="0.25">
      <c r="C85" s="35"/>
      <c r="D85" s="35"/>
      <c r="E85" s="35"/>
      <c r="F85" s="35"/>
      <c r="G85" s="35"/>
      <c r="H85" s="35"/>
      <c r="I85" s="35"/>
      <c r="J85" s="35"/>
      <c r="K85" s="35"/>
      <c r="L85" s="35"/>
      <c r="M85" s="35"/>
      <c r="N85" s="35"/>
      <c r="O85" s="35"/>
      <c r="P85" s="35"/>
    </row>
    <row r="86" spans="3:16" x14ac:dyDescent="0.25">
      <c r="C86" s="35"/>
      <c r="D86" s="35"/>
      <c r="E86" s="35"/>
      <c r="F86" s="35"/>
      <c r="G86" s="35"/>
      <c r="H86" s="35"/>
      <c r="I86" s="35"/>
      <c r="J86" s="35"/>
      <c r="K86" s="35"/>
      <c r="L86" s="35"/>
      <c r="M86" s="35"/>
      <c r="N86" s="35"/>
      <c r="O86" s="35"/>
      <c r="P86" s="35"/>
    </row>
    <row r="87" spans="3:16" x14ac:dyDescent="0.25">
      <c r="C87" s="35"/>
      <c r="D87" s="35"/>
      <c r="E87" s="35"/>
      <c r="F87" s="35"/>
      <c r="G87" s="35"/>
      <c r="H87" s="35"/>
      <c r="I87" s="35"/>
      <c r="J87" s="35"/>
      <c r="K87" s="35"/>
      <c r="L87" s="35"/>
      <c r="M87" s="35"/>
      <c r="N87" s="35"/>
      <c r="O87" s="35"/>
      <c r="P87" s="35"/>
    </row>
    <row r="88" spans="3:16" x14ac:dyDescent="0.25">
      <c r="C88" s="35"/>
      <c r="D88" s="35"/>
      <c r="E88" s="35"/>
      <c r="F88" s="35"/>
      <c r="G88" s="35"/>
      <c r="H88" s="35"/>
      <c r="I88" s="35"/>
      <c r="J88" s="35"/>
      <c r="K88" s="35"/>
      <c r="L88" s="35"/>
      <c r="M88" s="35"/>
      <c r="N88" s="35"/>
      <c r="O88" s="35"/>
      <c r="P88" s="35"/>
    </row>
    <row r="89" spans="3:16" x14ac:dyDescent="0.25">
      <c r="C89" s="35"/>
      <c r="D89" s="35"/>
      <c r="E89" s="35"/>
      <c r="F89" s="35"/>
      <c r="G89" s="35"/>
      <c r="H89" s="35"/>
      <c r="I89" s="35"/>
      <c r="J89" s="35"/>
      <c r="K89" s="35"/>
      <c r="L89" s="35"/>
      <c r="M89" s="35"/>
      <c r="N89" s="35"/>
      <c r="O89" s="35"/>
      <c r="P89" s="35"/>
    </row>
    <row r="90" spans="3:16" x14ac:dyDescent="0.25">
      <c r="C90" s="35"/>
      <c r="D90" s="35"/>
      <c r="E90" s="35"/>
      <c r="F90" s="35"/>
      <c r="G90" s="35"/>
      <c r="H90" s="35"/>
      <c r="I90" s="35"/>
      <c r="J90" s="35"/>
      <c r="K90" s="35"/>
      <c r="L90" s="35"/>
      <c r="M90" s="35"/>
      <c r="N90" s="35"/>
      <c r="O90" s="35"/>
      <c r="P90" s="35"/>
    </row>
    <row r="91" spans="3:16" x14ac:dyDescent="0.25">
      <c r="C91" s="35"/>
      <c r="D91" s="35"/>
      <c r="E91" s="35"/>
      <c r="F91" s="35"/>
      <c r="G91" s="35"/>
      <c r="H91" s="35"/>
      <c r="I91" s="35"/>
      <c r="J91" s="35"/>
      <c r="K91" s="35"/>
      <c r="L91" s="35"/>
      <c r="M91" s="35"/>
      <c r="N91" s="35"/>
      <c r="O91" s="35"/>
      <c r="P91" s="35"/>
    </row>
    <row r="92" spans="3:16" x14ac:dyDescent="0.25">
      <c r="C92" s="35"/>
      <c r="D92" s="35"/>
      <c r="E92" s="35"/>
      <c r="F92" s="35"/>
      <c r="G92" s="35"/>
      <c r="H92" s="35"/>
      <c r="I92" s="35"/>
      <c r="J92" s="35"/>
      <c r="K92" s="35"/>
      <c r="L92" s="35"/>
      <c r="M92" s="35"/>
      <c r="N92" s="35"/>
      <c r="O92" s="35"/>
      <c r="P92" s="35"/>
    </row>
    <row r="93" spans="3:16" x14ac:dyDescent="0.25">
      <c r="C93" s="35"/>
      <c r="D93" s="35"/>
      <c r="E93" s="35"/>
      <c r="F93" s="35"/>
      <c r="G93" s="35"/>
      <c r="H93" s="35"/>
      <c r="I93" s="35"/>
      <c r="J93" s="35"/>
      <c r="K93" s="35"/>
      <c r="L93" s="35"/>
      <c r="M93" s="35"/>
      <c r="N93" s="35"/>
      <c r="O93" s="35"/>
      <c r="P93" s="35"/>
    </row>
    <row r="94" spans="3:16" x14ac:dyDescent="0.25">
      <c r="C94" s="35"/>
      <c r="D94" s="35"/>
      <c r="E94" s="35"/>
      <c r="F94" s="35"/>
      <c r="G94" s="35"/>
      <c r="H94" s="35"/>
      <c r="I94" s="35"/>
      <c r="J94" s="35"/>
      <c r="K94" s="35"/>
      <c r="L94" s="35"/>
      <c r="M94" s="35"/>
      <c r="N94" s="35"/>
      <c r="O94" s="35"/>
      <c r="P94" s="35"/>
    </row>
    <row r="95" spans="3:16" x14ac:dyDescent="0.25">
      <c r="C95" s="35"/>
      <c r="D95" s="35"/>
      <c r="E95" s="35"/>
      <c r="F95" s="35"/>
      <c r="G95" s="35"/>
      <c r="H95" s="35"/>
      <c r="I95" s="35"/>
      <c r="J95" s="35"/>
      <c r="K95" s="35"/>
      <c r="L95" s="35"/>
      <c r="M95" s="35"/>
      <c r="N95" s="35"/>
      <c r="O95" s="35"/>
      <c r="P95" s="35"/>
    </row>
    <row r="96" spans="3:16" x14ac:dyDescent="0.25">
      <c r="C96" s="35"/>
      <c r="D96" s="35"/>
      <c r="E96" s="35"/>
      <c r="F96" s="35"/>
      <c r="G96" s="35"/>
      <c r="H96" s="35"/>
      <c r="I96" s="35"/>
      <c r="J96" s="35"/>
      <c r="K96" s="35"/>
      <c r="L96" s="35"/>
      <c r="M96" s="35"/>
      <c r="N96" s="35"/>
      <c r="O96" s="35"/>
      <c r="P96" s="35"/>
    </row>
    <row r="97" spans="3:16" x14ac:dyDescent="0.25">
      <c r="C97" s="35"/>
      <c r="D97" s="35"/>
      <c r="E97" s="35"/>
      <c r="F97" s="35"/>
      <c r="G97" s="35"/>
      <c r="H97" s="35"/>
      <c r="I97" s="35"/>
      <c r="J97" s="35"/>
      <c r="K97" s="35"/>
      <c r="L97" s="35"/>
      <c r="M97" s="35"/>
      <c r="N97" s="35"/>
      <c r="O97" s="35"/>
      <c r="P97" s="35"/>
    </row>
    <row r="98" spans="3:16" x14ac:dyDescent="0.25">
      <c r="C98" s="35"/>
      <c r="D98" s="35"/>
      <c r="E98" s="35"/>
      <c r="F98" s="35"/>
      <c r="G98" s="35"/>
      <c r="H98" s="35"/>
      <c r="I98" s="35"/>
      <c r="J98" s="35"/>
      <c r="K98" s="35"/>
      <c r="L98" s="35"/>
      <c r="M98" s="35"/>
      <c r="N98" s="35"/>
      <c r="O98" s="35"/>
      <c r="P98" s="35"/>
    </row>
    <row r="99" spans="3:16" x14ac:dyDescent="0.25">
      <c r="C99" s="35"/>
      <c r="D99" s="35"/>
      <c r="E99" s="35"/>
      <c r="F99" s="35"/>
      <c r="G99" s="35"/>
      <c r="H99" s="35"/>
      <c r="I99" s="35"/>
      <c r="J99" s="35"/>
      <c r="K99" s="35"/>
      <c r="L99" s="35"/>
      <c r="M99" s="35"/>
      <c r="N99" s="35"/>
      <c r="O99" s="35"/>
      <c r="P99" s="35"/>
    </row>
    <row r="100" spans="3:16" x14ac:dyDescent="0.25">
      <c r="C100" s="35"/>
      <c r="D100" s="35"/>
      <c r="E100" s="35"/>
      <c r="F100" s="35"/>
      <c r="G100" s="35"/>
      <c r="H100" s="35"/>
      <c r="I100" s="35"/>
      <c r="J100" s="35"/>
      <c r="K100" s="35"/>
      <c r="L100" s="35"/>
      <c r="M100" s="35"/>
      <c r="N100" s="35"/>
      <c r="O100" s="35"/>
      <c r="P100" s="35"/>
    </row>
    <row r="101" spans="3:16" x14ac:dyDescent="0.25">
      <c r="C101" s="35"/>
      <c r="D101" s="35"/>
      <c r="E101" s="35"/>
      <c r="F101" s="35"/>
      <c r="G101" s="35"/>
      <c r="H101" s="35"/>
      <c r="I101" s="35"/>
      <c r="J101" s="35"/>
      <c r="K101" s="35"/>
      <c r="L101" s="35"/>
      <c r="M101" s="35"/>
      <c r="N101" s="35"/>
      <c r="O101" s="35"/>
      <c r="P101" s="35"/>
    </row>
    <row r="102" spans="3:16" x14ac:dyDescent="0.25">
      <c r="C102" s="35"/>
      <c r="D102" s="35"/>
      <c r="E102" s="35"/>
      <c r="F102" s="35"/>
      <c r="G102" s="35"/>
      <c r="H102" s="35"/>
      <c r="I102" s="35"/>
      <c r="J102" s="35"/>
      <c r="K102" s="35"/>
      <c r="L102" s="35"/>
      <c r="M102" s="35"/>
      <c r="N102" s="35"/>
      <c r="O102" s="35"/>
      <c r="P102" s="35"/>
    </row>
    <row r="103" spans="3:16" x14ac:dyDescent="0.25">
      <c r="C103" s="35"/>
      <c r="D103" s="35"/>
      <c r="E103" s="35"/>
      <c r="F103" s="35"/>
      <c r="G103" s="35"/>
      <c r="H103" s="35"/>
      <c r="I103" s="35"/>
      <c r="J103" s="35"/>
      <c r="K103" s="35"/>
      <c r="L103" s="35"/>
      <c r="M103" s="35"/>
      <c r="N103" s="35"/>
      <c r="O103" s="35"/>
      <c r="P103" s="35"/>
    </row>
    <row r="104" spans="3:16" x14ac:dyDescent="0.25">
      <c r="C104" s="35"/>
      <c r="D104" s="35"/>
      <c r="E104" s="35"/>
      <c r="F104" s="35"/>
      <c r="G104" s="35"/>
      <c r="H104" s="35"/>
      <c r="I104" s="35"/>
      <c r="J104" s="35"/>
      <c r="K104" s="35"/>
      <c r="L104" s="35"/>
      <c r="M104" s="35"/>
      <c r="N104" s="35"/>
      <c r="O104" s="35"/>
      <c r="P104" s="35"/>
    </row>
    <row r="105" spans="3:16" x14ac:dyDescent="0.25">
      <c r="C105" s="35"/>
      <c r="D105" s="35"/>
      <c r="E105" s="35"/>
      <c r="F105" s="35"/>
      <c r="G105" s="35"/>
      <c r="H105" s="35"/>
      <c r="I105" s="35"/>
      <c r="J105" s="35"/>
      <c r="K105" s="35"/>
      <c r="L105" s="35"/>
      <c r="M105" s="35"/>
      <c r="N105" s="35"/>
      <c r="O105" s="35"/>
      <c r="P105" s="35"/>
    </row>
    <row r="106" spans="3:16" x14ac:dyDescent="0.25">
      <c r="C106" s="35"/>
      <c r="D106" s="35"/>
      <c r="E106" s="35"/>
      <c r="F106" s="35"/>
      <c r="G106" s="35"/>
      <c r="H106" s="35"/>
      <c r="I106" s="35"/>
      <c r="J106" s="35"/>
      <c r="K106" s="35"/>
      <c r="L106" s="35"/>
      <c r="M106" s="35"/>
      <c r="N106" s="35"/>
      <c r="O106" s="35"/>
      <c r="P106" s="35"/>
    </row>
    <row r="107" spans="3:16" x14ac:dyDescent="0.25">
      <c r="C107" s="35"/>
      <c r="D107" s="35"/>
      <c r="E107" s="35"/>
      <c r="F107" s="35"/>
      <c r="G107" s="35"/>
      <c r="H107" s="35"/>
      <c r="I107" s="35"/>
      <c r="J107" s="35"/>
      <c r="K107" s="35"/>
      <c r="L107" s="35"/>
      <c r="M107" s="35"/>
      <c r="N107" s="35"/>
      <c r="O107" s="35"/>
      <c r="P107" s="35"/>
    </row>
    <row r="108" spans="3:16" x14ac:dyDescent="0.25">
      <c r="C108" s="35"/>
      <c r="D108" s="35"/>
      <c r="E108" s="35"/>
      <c r="F108" s="35"/>
      <c r="G108" s="35"/>
      <c r="H108" s="35"/>
      <c r="I108" s="35"/>
      <c r="J108" s="35"/>
      <c r="K108" s="35"/>
      <c r="L108" s="35"/>
      <c r="M108" s="35"/>
      <c r="N108" s="35"/>
      <c r="O108" s="35"/>
      <c r="P108" s="35"/>
    </row>
    <row r="109" spans="3:16" x14ac:dyDescent="0.25">
      <c r="C109" s="35"/>
      <c r="D109" s="35"/>
      <c r="E109" s="35"/>
      <c r="F109" s="35"/>
      <c r="G109" s="35"/>
      <c r="H109" s="35"/>
      <c r="I109" s="35"/>
      <c r="J109" s="35"/>
      <c r="K109" s="35"/>
      <c r="L109" s="35"/>
      <c r="M109" s="35"/>
      <c r="N109" s="35"/>
      <c r="O109" s="35"/>
      <c r="P109" s="35"/>
    </row>
    <row r="110" spans="3:16" x14ac:dyDescent="0.25">
      <c r="C110" s="35"/>
      <c r="D110" s="35"/>
      <c r="E110" s="35"/>
      <c r="F110" s="35"/>
      <c r="G110" s="35"/>
      <c r="H110" s="35"/>
      <c r="I110" s="35"/>
      <c r="J110" s="35"/>
      <c r="K110" s="35"/>
      <c r="L110" s="35"/>
      <c r="M110" s="35"/>
      <c r="N110" s="35"/>
      <c r="O110" s="35"/>
      <c r="P110" s="35"/>
    </row>
    <row r="111" spans="3:16" x14ac:dyDescent="0.25">
      <c r="C111" s="35"/>
      <c r="D111" s="35"/>
      <c r="E111" s="35"/>
      <c r="F111" s="35"/>
      <c r="G111" s="35"/>
      <c r="H111" s="35"/>
      <c r="I111" s="35"/>
      <c r="J111" s="35"/>
      <c r="K111" s="35"/>
      <c r="L111" s="35"/>
      <c r="M111" s="35"/>
      <c r="N111" s="35"/>
      <c r="O111" s="35"/>
      <c r="P111" s="35"/>
    </row>
    <row r="112" spans="3:16" x14ac:dyDescent="0.25">
      <c r="C112" s="35"/>
      <c r="D112" s="35"/>
      <c r="E112" s="35"/>
      <c r="F112" s="35"/>
      <c r="G112" s="35"/>
      <c r="H112" s="35"/>
      <c r="I112" s="35"/>
      <c r="J112" s="35"/>
      <c r="K112" s="35"/>
      <c r="L112" s="35"/>
      <c r="M112" s="35"/>
      <c r="N112" s="35"/>
      <c r="O112" s="35"/>
      <c r="P112" s="3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49A58-3E44-411E-B7CE-A2C7836094BA}">
  <sheetPr codeName="Sheet12"/>
  <dimension ref="A1:CM271"/>
  <sheetViews>
    <sheetView zoomScale="90" zoomScaleNormal="90" zoomScaleSheetLayoutView="70" workbookViewId="0">
      <pane xSplit="5" ySplit="1" topLeftCell="F2" activePane="bottomRight" state="frozen"/>
      <selection activeCell="AA22" sqref="AA22"/>
      <selection pane="topRight" activeCell="AA22" sqref="AA22"/>
      <selection pane="bottomLeft" activeCell="AA22" sqref="AA22"/>
      <selection pane="bottomRight" activeCell="AA22" sqref="AA22"/>
    </sheetView>
  </sheetViews>
  <sheetFormatPr defaultRowHeight="15" x14ac:dyDescent="0.25"/>
  <cols>
    <col min="1" max="1" width="34.85546875" customWidth="1"/>
    <col min="2" max="2" width="46.42578125" bestFit="1" customWidth="1"/>
    <col min="3" max="3" width="40.42578125" customWidth="1"/>
    <col min="4" max="4" width="36.42578125" bestFit="1" customWidth="1"/>
    <col min="5" max="5" width="19.85546875" bestFit="1" customWidth="1"/>
  </cols>
  <sheetData>
    <row r="1" spans="1:66" s="9" customFormat="1" x14ac:dyDescent="0.25">
      <c r="A1" s="11" t="s">
        <v>511</v>
      </c>
      <c r="B1" s="11" t="s">
        <v>512</v>
      </c>
      <c r="C1" s="11" t="s">
        <v>513</v>
      </c>
      <c r="D1" s="11" t="s">
        <v>514</v>
      </c>
      <c r="E1" s="11" t="s">
        <v>515</v>
      </c>
      <c r="F1" s="11">
        <v>1990</v>
      </c>
      <c r="G1" s="11">
        <v>1991</v>
      </c>
      <c r="H1" s="11">
        <v>1992</v>
      </c>
      <c r="I1" s="11">
        <v>1993</v>
      </c>
      <c r="J1" s="11">
        <v>1994</v>
      </c>
      <c r="K1" s="11">
        <v>1995</v>
      </c>
      <c r="L1" s="11">
        <v>1996</v>
      </c>
      <c r="M1" s="11">
        <v>1997</v>
      </c>
      <c r="N1" s="11">
        <v>1998</v>
      </c>
      <c r="O1" s="11">
        <v>1999</v>
      </c>
      <c r="P1" s="11">
        <v>2000</v>
      </c>
      <c r="Q1" s="11">
        <v>2001</v>
      </c>
      <c r="R1" s="11">
        <v>2002</v>
      </c>
      <c r="S1" s="11">
        <v>2003</v>
      </c>
      <c r="T1" s="11">
        <v>2004</v>
      </c>
      <c r="U1" s="11">
        <v>2005</v>
      </c>
      <c r="V1" s="11">
        <v>2006</v>
      </c>
      <c r="W1" s="11">
        <v>2007</v>
      </c>
      <c r="X1" s="11">
        <v>2008</v>
      </c>
      <c r="Y1" s="11">
        <v>2009</v>
      </c>
      <c r="Z1" s="11">
        <v>2010</v>
      </c>
      <c r="AA1" s="11">
        <v>2011</v>
      </c>
      <c r="AB1" s="11">
        <v>2012</v>
      </c>
      <c r="AC1" s="11">
        <v>2013</v>
      </c>
      <c r="AD1" s="11">
        <v>2014</v>
      </c>
      <c r="AE1" s="11">
        <v>2015</v>
      </c>
      <c r="AF1" s="11">
        <v>2016</v>
      </c>
      <c r="AG1" s="11">
        <v>2017</v>
      </c>
      <c r="AH1" s="11">
        <v>2018</v>
      </c>
      <c r="AI1" s="11">
        <v>2019</v>
      </c>
      <c r="AJ1" s="11">
        <v>2020</v>
      </c>
      <c r="AK1" s="11">
        <v>2021</v>
      </c>
      <c r="AL1" s="11">
        <v>2022</v>
      </c>
      <c r="AM1" s="11">
        <v>2023</v>
      </c>
      <c r="AN1" s="11">
        <v>2024</v>
      </c>
      <c r="AO1" s="11">
        <v>2025</v>
      </c>
      <c r="AP1" s="11">
        <v>2026</v>
      </c>
      <c r="AQ1" s="11">
        <v>2027</v>
      </c>
      <c r="AR1" s="11">
        <v>2028</v>
      </c>
      <c r="AS1" s="11">
        <v>2029</v>
      </c>
      <c r="AT1" s="11">
        <v>2030</v>
      </c>
      <c r="AU1" s="11">
        <v>2031</v>
      </c>
      <c r="AV1" s="11">
        <v>2032</v>
      </c>
      <c r="AW1" s="11">
        <v>2033</v>
      </c>
      <c r="AX1" s="11">
        <v>2034</v>
      </c>
      <c r="AY1" s="11">
        <v>2035</v>
      </c>
      <c r="AZ1" s="11">
        <v>2036</v>
      </c>
      <c r="BA1" s="11">
        <v>2037</v>
      </c>
      <c r="BB1" s="11">
        <v>2038</v>
      </c>
      <c r="BC1" s="11">
        <v>2039</v>
      </c>
      <c r="BD1" s="11">
        <v>2040</v>
      </c>
      <c r="BE1" s="11">
        <v>2041</v>
      </c>
      <c r="BF1" s="11">
        <v>2042</v>
      </c>
      <c r="BG1" s="11">
        <v>2043</v>
      </c>
      <c r="BH1" s="11">
        <v>2044</v>
      </c>
      <c r="BI1" s="11">
        <v>2045</v>
      </c>
      <c r="BJ1" s="11">
        <v>2046</v>
      </c>
      <c r="BK1" s="11">
        <v>2047</v>
      </c>
      <c r="BL1" s="11">
        <v>2048</v>
      </c>
      <c r="BM1" s="11">
        <v>2049</v>
      </c>
      <c r="BN1" s="11">
        <v>2050</v>
      </c>
    </row>
    <row r="2" spans="1:66" x14ac:dyDescent="0.25">
      <c r="A2" t="s">
        <v>199</v>
      </c>
      <c r="B2" t="s">
        <v>516</v>
      </c>
      <c r="C2" t="s">
        <v>517</v>
      </c>
      <c r="D2" t="s">
        <v>518</v>
      </c>
      <c r="E2" t="s">
        <v>519</v>
      </c>
      <c r="F2">
        <v>0</v>
      </c>
      <c r="G2">
        <v>0</v>
      </c>
      <c r="H2">
        <v>0</v>
      </c>
      <c r="I2">
        <v>0</v>
      </c>
      <c r="J2">
        <v>0</v>
      </c>
      <c r="K2">
        <v>0</v>
      </c>
      <c r="L2">
        <v>0</v>
      </c>
      <c r="M2">
        <v>0</v>
      </c>
      <c r="N2">
        <v>0</v>
      </c>
      <c r="O2">
        <v>0</v>
      </c>
      <c r="P2">
        <v>0</v>
      </c>
      <c r="Q2">
        <v>0</v>
      </c>
      <c r="R2">
        <v>0</v>
      </c>
      <c r="S2">
        <v>0</v>
      </c>
      <c r="T2">
        <v>0</v>
      </c>
      <c r="U2">
        <v>0</v>
      </c>
      <c r="V2">
        <v>0</v>
      </c>
      <c r="W2">
        <v>0</v>
      </c>
      <c r="X2">
        <v>0</v>
      </c>
      <c r="Y2">
        <v>0</v>
      </c>
      <c r="Z2">
        <v>11.416538041464802</v>
      </c>
      <c r="AA2">
        <v>8.7327708333333316</v>
      </c>
      <c r="AB2">
        <v>2.2770791666666668</v>
      </c>
      <c r="AC2">
        <v>1.3566666666666667</v>
      </c>
      <c r="AD2">
        <v>1.9666666666666663</v>
      </c>
      <c r="AE2">
        <v>4.4622309027777769</v>
      </c>
      <c r="AF2">
        <v>7.7698003472222208</v>
      </c>
      <c r="AG2">
        <v>11.941235920833332</v>
      </c>
      <c r="AH2">
        <v>18.817684762500001</v>
      </c>
      <c r="AI2">
        <v>24.5</v>
      </c>
      <c r="AJ2">
        <v>30</v>
      </c>
      <c r="AK2">
        <v>35</v>
      </c>
      <c r="AL2">
        <v>35</v>
      </c>
      <c r="AM2">
        <v>35</v>
      </c>
      <c r="AN2">
        <v>35</v>
      </c>
      <c r="AO2">
        <v>35</v>
      </c>
      <c r="AP2">
        <v>35</v>
      </c>
      <c r="AQ2">
        <v>35</v>
      </c>
      <c r="AR2">
        <v>35</v>
      </c>
      <c r="AS2">
        <v>35</v>
      </c>
      <c r="AT2">
        <v>35</v>
      </c>
      <c r="AU2">
        <v>35</v>
      </c>
      <c r="AV2">
        <v>35</v>
      </c>
      <c r="AW2">
        <v>35</v>
      </c>
      <c r="AX2">
        <v>35</v>
      </c>
      <c r="AY2">
        <v>35</v>
      </c>
      <c r="AZ2">
        <v>35</v>
      </c>
      <c r="BA2">
        <v>35</v>
      </c>
      <c r="BB2">
        <v>35</v>
      </c>
      <c r="BC2">
        <v>35</v>
      </c>
      <c r="BD2">
        <v>35</v>
      </c>
      <c r="BE2">
        <v>35</v>
      </c>
      <c r="BF2">
        <v>35</v>
      </c>
      <c r="BG2">
        <v>35</v>
      </c>
      <c r="BH2">
        <v>35</v>
      </c>
      <c r="BI2">
        <v>35</v>
      </c>
      <c r="BJ2">
        <v>35</v>
      </c>
      <c r="BK2">
        <v>35</v>
      </c>
      <c r="BL2">
        <v>35</v>
      </c>
      <c r="BM2">
        <v>35</v>
      </c>
      <c r="BN2">
        <v>35</v>
      </c>
    </row>
    <row r="3" spans="1:66" x14ac:dyDescent="0.25">
      <c r="A3" t="s">
        <v>199</v>
      </c>
      <c r="B3" t="s">
        <v>516</v>
      </c>
      <c r="C3" t="s">
        <v>517</v>
      </c>
      <c r="D3" t="s">
        <v>520</v>
      </c>
      <c r="E3" t="s">
        <v>521</v>
      </c>
      <c r="F3">
        <v>8126.1945618773643</v>
      </c>
      <c r="G3">
        <v>8106.661121873205</v>
      </c>
      <c r="H3">
        <v>8469.9964545997555</v>
      </c>
      <c r="I3">
        <v>8922.6885824844103</v>
      </c>
      <c r="J3">
        <v>9583.8002483498967</v>
      </c>
      <c r="K3">
        <v>10247.564720783123</v>
      </c>
      <c r="L3">
        <v>10378.724398951666</v>
      </c>
      <c r="M3">
        <v>10605.333888617772</v>
      </c>
      <c r="N3">
        <v>10810.458340752642</v>
      </c>
      <c r="O3">
        <v>11096.605458727845</v>
      </c>
      <c r="P3">
        <v>11648.310343290637</v>
      </c>
      <c r="Q3">
        <v>11705.871223077451</v>
      </c>
      <c r="R3">
        <v>12162.021231248526</v>
      </c>
      <c r="S3">
        <v>12697.797549640931</v>
      </c>
      <c r="T3">
        <v>12992.367162928625</v>
      </c>
      <c r="U3">
        <v>13063.440862686894</v>
      </c>
      <c r="V3">
        <v>13182.198504199005</v>
      </c>
      <c r="W3">
        <v>13284.806809600492</v>
      </c>
      <c r="X3">
        <v>13293.959706338926</v>
      </c>
      <c r="Y3">
        <v>13101.086214174264</v>
      </c>
      <c r="Z3">
        <v>13348.937535477718</v>
      </c>
      <c r="AA3">
        <v>13331.827621000642</v>
      </c>
      <c r="AB3">
        <v>13006.487718579234</v>
      </c>
      <c r="AC3">
        <v>13081.360160828839</v>
      </c>
      <c r="AD3">
        <v>13339.646613066796</v>
      </c>
      <c r="AE3">
        <v>13805.025309105527</v>
      </c>
      <c r="AF3">
        <v>13906.520809611657</v>
      </c>
      <c r="AG3">
        <v>14803.702978914342</v>
      </c>
      <c r="AH3">
        <v>15126.124771992951</v>
      </c>
      <c r="AI3">
        <v>14654.704680232724</v>
      </c>
      <c r="AJ3">
        <v>13175.66592208733</v>
      </c>
      <c r="AK3">
        <v>14394.791851582964</v>
      </c>
      <c r="AL3">
        <v>15140.265259996118</v>
      </c>
      <c r="AM3">
        <v>15362.634241297063</v>
      </c>
      <c r="AN3">
        <v>15411.853216975163</v>
      </c>
      <c r="AO3">
        <v>15439.957772643442</v>
      </c>
      <c r="AP3">
        <v>15464.39986047041</v>
      </c>
      <c r="AQ3">
        <v>15459.410553025085</v>
      </c>
      <c r="AR3">
        <v>15408.544359356772</v>
      </c>
      <c r="AS3">
        <v>15308.574350898249</v>
      </c>
      <c r="AT3">
        <v>15204.131988598185</v>
      </c>
      <c r="AU3">
        <v>15052.30748579924</v>
      </c>
      <c r="AV3">
        <v>14859.334651530886</v>
      </c>
      <c r="AW3">
        <v>14608.520120619491</v>
      </c>
      <c r="AX3">
        <v>14307.818800629859</v>
      </c>
      <c r="AY3">
        <v>13979.681295824417</v>
      </c>
      <c r="AZ3">
        <v>13570.962086277796</v>
      </c>
      <c r="BA3">
        <v>13193.364585992662</v>
      </c>
      <c r="BB3">
        <v>12727.103228419008</v>
      </c>
      <c r="BC3">
        <v>12267.954843576324</v>
      </c>
      <c r="BD3">
        <v>11760.201738205411</v>
      </c>
      <c r="BE3">
        <v>11213.048249656971</v>
      </c>
      <c r="BF3">
        <v>10681.689522277311</v>
      </c>
      <c r="BG3">
        <v>10091.440324232382</v>
      </c>
      <c r="BH3">
        <v>9584.5311393793017</v>
      </c>
      <c r="BI3">
        <v>9020.1523329331922</v>
      </c>
      <c r="BJ3">
        <v>8390.0096776042246</v>
      </c>
      <c r="BK3">
        <v>7779.4250243551405</v>
      </c>
      <c r="BL3">
        <v>7186.1050085689149</v>
      </c>
      <c r="BM3">
        <v>6538.4981434189594</v>
      </c>
      <c r="BN3">
        <v>6012.4657141952848</v>
      </c>
    </row>
    <row r="4" spans="1:66" x14ac:dyDescent="0.25">
      <c r="A4" t="s">
        <v>199</v>
      </c>
      <c r="B4" t="s">
        <v>516</v>
      </c>
      <c r="C4" t="s">
        <v>517</v>
      </c>
      <c r="D4" t="s">
        <v>522</v>
      </c>
      <c r="E4" t="s">
        <v>521</v>
      </c>
      <c r="F4">
        <v>15640.940843035291</v>
      </c>
      <c r="G4">
        <v>16150.546759988883</v>
      </c>
      <c r="H4">
        <v>17648.388786263939</v>
      </c>
      <c r="I4">
        <v>16725.370693795405</v>
      </c>
      <c r="J4">
        <v>16380.548324839787</v>
      </c>
      <c r="K4">
        <v>15499.119986501893</v>
      </c>
      <c r="L4">
        <v>16964.973485962018</v>
      </c>
      <c r="M4">
        <v>18776.307489236842</v>
      </c>
      <c r="N4">
        <v>16990.87642543549</v>
      </c>
      <c r="O4">
        <v>18068.06638576484</v>
      </c>
      <c r="P4">
        <v>18247.587022073894</v>
      </c>
      <c r="Q4">
        <v>20209.470689366266</v>
      </c>
      <c r="R4">
        <v>19699.848793804682</v>
      </c>
      <c r="S4">
        <v>20589.961823411428</v>
      </c>
      <c r="T4">
        <v>19932.694122895617</v>
      </c>
      <c r="U4">
        <v>21455.132172136808</v>
      </c>
      <c r="V4">
        <v>21734.471668911941</v>
      </c>
      <c r="W4">
        <v>20224.013693454704</v>
      </c>
      <c r="X4">
        <v>21356.548009904149</v>
      </c>
      <c r="Y4">
        <v>18870.840564758502</v>
      </c>
      <c r="Z4">
        <v>18772.299934571802</v>
      </c>
      <c r="AA4">
        <v>18114.081314169005</v>
      </c>
      <c r="AB4">
        <v>19820.47191931152</v>
      </c>
      <c r="AC4">
        <v>18884.997469550366</v>
      </c>
      <c r="AD4">
        <v>18698.599087495157</v>
      </c>
      <c r="AE4">
        <v>18478.836391393874</v>
      </c>
      <c r="AF4">
        <v>16973.70962476591</v>
      </c>
      <c r="AG4">
        <v>17531.475135032353</v>
      </c>
      <c r="AH4">
        <v>17282.73541087965</v>
      </c>
      <c r="AI4">
        <v>19152.571947895391</v>
      </c>
      <c r="AJ4">
        <v>18178.313197265285</v>
      </c>
      <c r="AK4">
        <v>18484.351630628691</v>
      </c>
      <c r="AL4">
        <v>17426.9103872374</v>
      </c>
      <c r="AM4">
        <v>16823.599077655919</v>
      </c>
      <c r="AN4">
        <v>16259.534310059818</v>
      </c>
      <c r="AO4">
        <v>15881.890889895709</v>
      </c>
      <c r="AP4">
        <v>15740.580680280005</v>
      </c>
      <c r="AQ4">
        <v>15641.701918320292</v>
      </c>
      <c r="AR4">
        <v>15573.585881256467</v>
      </c>
      <c r="AS4">
        <v>15755.640425782251</v>
      </c>
      <c r="AT4">
        <v>15151.086249872906</v>
      </c>
      <c r="AU4">
        <v>15337.13963031361</v>
      </c>
      <c r="AV4">
        <v>14895.351849718731</v>
      </c>
      <c r="AW4">
        <v>14898.482105229315</v>
      </c>
      <c r="AX4">
        <v>14894.202499548659</v>
      </c>
      <c r="AY4">
        <v>14884.430449342164</v>
      </c>
      <c r="AZ4">
        <v>14875.383549424228</v>
      </c>
      <c r="BA4">
        <v>14860.991825893339</v>
      </c>
      <c r="BB4">
        <v>14839.292720900419</v>
      </c>
      <c r="BC4">
        <v>14807.506071294709</v>
      </c>
      <c r="BD4">
        <v>14001.855196312388</v>
      </c>
      <c r="BE4">
        <v>13965.643647001527</v>
      </c>
      <c r="BF4">
        <v>13911.908572916336</v>
      </c>
      <c r="BG4">
        <v>13841.985509957112</v>
      </c>
      <c r="BH4">
        <v>13761.389516636376</v>
      </c>
      <c r="BI4">
        <v>13667.095829169521</v>
      </c>
      <c r="BJ4">
        <v>13547.399389601906</v>
      </c>
      <c r="BK4">
        <v>13400.623859202082</v>
      </c>
      <c r="BL4">
        <v>13232.586241381598</v>
      </c>
      <c r="BM4">
        <v>13065.890823185078</v>
      </c>
      <c r="BN4">
        <v>12905.138446537352</v>
      </c>
    </row>
    <row r="5" spans="1:66" x14ac:dyDescent="0.25">
      <c r="A5" t="s">
        <v>199</v>
      </c>
      <c r="B5" t="s">
        <v>516</v>
      </c>
      <c r="C5" t="s">
        <v>517</v>
      </c>
      <c r="D5" t="s">
        <v>523</v>
      </c>
      <c r="E5" t="s">
        <v>521</v>
      </c>
      <c r="F5">
        <v>3429.1023206090149</v>
      </c>
      <c r="G5">
        <v>3582.0933132143959</v>
      </c>
      <c r="H5">
        <v>3230.4006797977117</v>
      </c>
      <c r="I5">
        <v>3072.4080540294026</v>
      </c>
      <c r="J5">
        <v>2943.5832063652938</v>
      </c>
      <c r="K5">
        <v>3036.6428253355557</v>
      </c>
      <c r="L5">
        <v>3231.1178764295346</v>
      </c>
      <c r="M5">
        <v>3121.0509253025539</v>
      </c>
      <c r="N5">
        <v>3108.4252054479571</v>
      </c>
      <c r="O5">
        <v>3287.2502963250704</v>
      </c>
      <c r="P5">
        <v>3324.3535917273935</v>
      </c>
      <c r="Q5">
        <v>3441.9326499549325</v>
      </c>
      <c r="R5">
        <v>3562.3255597822995</v>
      </c>
      <c r="S5">
        <v>3798.3629146741546</v>
      </c>
      <c r="T5">
        <v>3833.9993752516589</v>
      </c>
      <c r="U5">
        <v>3949.7863117346769</v>
      </c>
      <c r="V5">
        <v>4067.1636114352182</v>
      </c>
      <c r="W5">
        <v>4324.6641433976283</v>
      </c>
      <c r="X5">
        <v>4207.5754142911601</v>
      </c>
      <c r="Y5">
        <v>4156.3376144420381</v>
      </c>
      <c r="Z5">
        <v>4471.2064224286651</v>
      </c>
      <c r="AA5">
        <v>4511.1732699008671</v>
      </c>
      <c r="AB5">
        <v>4584.743425822363</v>
      </c>
      <c r="AC5">
        <v>4716.1203271304976</v>
      </c>
      <c r="AD5">
        <v>4887.0741014170871</v>
      </c>
      <c r="AE5">
        <v>5014.426570819578</v>
      </c>
      <c r="AF5">
        <v>4761.4486978313562</v>
      </c>
      <c r="AG5">
        <v>4803.9943473754338</v>
      </c>
      <c r="AH5">
        <v>4679.6792337008401</v>
      </c>
      <c r="AI5">
        <v>4713.1761267541115</v>
      </c>
      <c r="AJ5">
        <v>4482.2708369643005</v>
      </c>
      <c r="AK5">
        <v>4684.6924221093332</v>
      </c>
      <c r="AL5">
        <v>4615.5306846943831</v>
      </c>
      <c r="AM5">
        <v>4627.3460078688622</v>
      </c>
      <c r="AN5">
        <v>4662.5529949191377</v>
      </c>
      <c r="AO5">
        <v>4630.681012688412</v>
      </c>
      <c r="AP5">
        <v>4618.9889637299475</v>
      </c>
      <c r="AQ5">
        <v>4573.473853613119</v>
      </c>
      <c r="AR5">
        <v>4533.4814850424418</v>
      </c>
      <c r="AS5">
        <v>4513.6164325152704</v>
      </c>
      <c r="AT5">
        <v>4440.779918378651</v>
      </c>
      <c r="AU5">
        <v>4400.086677542703</v>
      </c>
      <c r="AV5">
        <v>4361.2936300883912</v>
      </c>
      <c r="AW5">
        <v>4311.5480219655219</v>
      </c>
      <c r="AX5">
        <v>4269.7601097866573</v>
      </c>
      <c r="AY5">
        <v>4243.7574182344697</v>
      </c>
      <c r="AZ5">
        <v>4208.7630297520154</v>
      </c>
      <c r="BA5">
        <v>4185.0333188688801</v>
      </c>
      <c r="BB5">
        <v>4163.3266284028632</v>
      </c>
      <c r="BC5">
        <v>4143.7292662565387</v>
      </c>
      <c r="BD5">
        <v>4082.9559247444722</v>
      </c>
      <c r="BE5">
        <v>4069.4659482485649</v>
      </c>
      <c r="BF5">
        <v>4058.8095715619593</v>
      </c>
      <c r="BG5">
        <v>4053.5334869423887</v>
      </c>
      <c r="BH5">
        <v>4051.2984233633301</v>
      </c>
      <c r="BI5">
        <v>4051.7525630399155</v>
      </c>
      <c r="BJ5">
        <v>4055.6824017922945</v>
      </c>
      <c r="BK5">
        <v>4063.2127355089469</v>
      </c>
      <c r="BL5">
        <v>4072.9161527516931</v>
      </c>
      <c r="BM5">
        <v>4083.872349570695</v>
      </c>
      <c r="BN5">
        <v>4097.9882312689524</v>
      </c>
    </row>
    <row r="6" spans="1:66" x14ac:dyDescent="0.25">
      <c r="A6" t="s">
        <v>199</v>
      </c>
      <c r="B6" t="s">
        <v>516</v>
      </c>
      <c r="C6" t="s">
        <v>517</v>
      </c>
      <c r="D6" t="s">
        <v>524</v>
      </c>
      <c r="E6" t="s">
        <v>521</v>
      </c>
      <c r="F6">
        <v>1816.6596733237263</v>
      </c>
      <c r="G6">
        <v>1893.7218802684215</v>
      </c>
      <c r="H6">
        <v>1971.3222733100288</v>
      </c>
      <c r="I6">
        <v>2049.4503492491226</v>
      </c>
      <c r="J6">
        <v>1947.5325263313807</v>
      </c>
      <c r="K6">
        <v>2023.8252549837712</v>
      </c>
      <c r="L6">
        <v>2102.1656796823004</v>
      </c>
      <c r="M6">
        <v>2125.7547716447093</v>
      </c>
      <c r="N6">
        <v>2086.8629737313777</v>
      </c>
      <c r="O6">
        <v>2084.0346339247499</v>
      </c>
      <c r="P6">
        <v>2103.6901401299438</v>
      </c>
      <c r="Q6">
        <v>2134.2537068539705</v>
      </c>
      <c r="R6">
        <v>2173.5947283527944</v>
      </c>
      <c r="S6">
        <v>2101.4028129686244</v>
      </c>
      <c r="T6">
        <v>2124.9026062551302</v>
      </c>
      <c r="U6">
        <v>2134.5667014321762</v>
      </c>
      <c r="V6">
        <v>1957.2003317893241</v>
      </c>
      <c r="W6">
        <v>1922.5694677164029</v>
      </c>
      <c r="X6">
        <v>1846.56179242198</v>
      </c>
      <c r="Y6">
        <v>1723.3205496528278</v>
      </c>
      <c r="Z6">
        <v>1665.7456629024559</v>
      </c>
      <c r="AA6">
        <v>1519.6605558608351</v>
      </c>
      <c r="AB6">
        <v>1410.5413176396301</v>
      </c>
      <c r="AC6">
        <v>1359.9084848190901</v>
      </c>
      <c r="AD6">
        <v>1314.1708670740722</v>
      </c>
      <c r="AE6">
        <v>1275.9271345153275</v>
      </c>
      <c r="AF6">
        <v>1246.0586846922251</v>
      </c>
      <c r="AG6">
        <v>1214.8602401561525</v>
      </c>
      <c r="AH6">
        <v>1156.3598029499428</v>
      </c>
      <c r="AI6">
        <v>1114.3950725962225</v>
      </c>
      <c r="AJ6">
        <v>1075.3643344180375</v>
      </c>
      <c r="AK6">
        <v>1058.4109684228663</v>
      </c>
      <c r="AL6">
        <v>1037.4549522386469</v>
      </c>
      <c r="AM6">
        <v>1023.9028782895074</v>
      </c>
      <c r="AN6">
        <v>1015.4581388464945</v>
      </c>
      <c r="AO6">
        <v>1008.8792188039987</v>
      </c>
      <c r="AP6">
        <v>1003.192442959614</v>
      </c>
      <c r="AQ6">
        <v>998.59582539268888</v>
      </c>
      <c r="AR6">
        <v>995.0277547228925</v>
      </c>
      <c r="AS6">
        <v>992.37444226389221</v>
      </c>
      <c r="AT6">
        <v>990.40749782431203</v>
      </c>
      <c r="AU6">
        <v>988.97989294316244</v>
      </c>
      <c r="AV6">
        <v>988.04679981535378</v>
      </c>
      <c r="AW6">
        <v>987.62950698164093</v>
      </c>
      <c r="AX6">
        <v>987.65130218716342</v>
      </c>
      <c r="AY6">
        <v>988.37489247769508</v>
      </c>
      <c r="AZ6">
        <v>989.38853727230617</v>
      </c>
      <c r="BA6">
        <v>990.79052027546948</v>
      </c>
      <c r="BB6">
        <v>992.62774659473371</v>
      </c>
      <c r="BC6">
        <v>994.77881142629872</v>
      </c>
      <c r="BD6">
        <v>997.5465403029508</v>
      </c>
      <c r="BE6">
        <v>1000.739182874303</v>
      </c>
      <c r="BF6">
        <v>1004.2786387251333</v>
      </c>
      <c r="BG6">
        <v>1008.2052833573213</v>
      </c>
      <c r="BH6">
        <v>1012.4133063445258</v>
      </c>
      <c r="BI6">
        <v>1017.1361097781114</v>
      </c>
      <c r="BJ6">
        <v>1022.0860513258131</v>
      </c>
      <c r="BK6">
        <v>1026.9569539956246</v>
      </c>
      <c r="BL6">
        <v>1031.9338323093339</v>
      </c>
      <c r="BM6">
        <v>1037.1102629393763</v>
      </c>
      <c r="BN6">
        <v>1042.5304745613107</v>
      </c>
    </row>
    <row r="7" spans="1:66" x14ac:dyDescent="0.25">
      <c r="A7" t="s">
        <v>199</v>
      </c>
      <c r="B7" t="s">
        <v>516</v>
      </c>
      <c r="C7" t="s">
        <v>517</v>
      </c>
      <c r="D7" t="s">
        <v>525</v>
      </c>
      <c r="E7" t="s">
        <v>521</v>
      </c>
      <c r="F7">
        <v>29012.897398845394</v>
      </c>
      <c r="G7">
        <v>29733.023075344903</v>
      </c>
      <c r="H7">
        <v>31320.108193971439</v>
      </c>
      <c r="I7">
        <v>30769.917679558341</v>
      </c>
      <c r="J7">
        <v>30855.464305886358</v>
      </c>
      <c r="K7">
        <v>30807.15278760434</v>
      </c>
      <c r="L7">
        <v>32676.98144102552</v>
      </c>
      <c r="M7">
        <v>34628.447074801872</v>
      </c>
      <c r="N7">
        <v>32996.622945367468</v>
      </c>
      <c r="O7">
        <v>34535.956774742503</v>
      </c>
      <c r="P7">
        <v>35323.941097221861</v>
      </c>
      <c r="Q7">
        <v>37491.528269252616</v>
      </c>
      <c r="R7">
        <v>37597.790313188299</v>
      </c>
      <c r="S7">
        <v>39187.525100695137</v>
      </c>
      <c r="T7">
        <v>38883.963267331026</v>
      </c>
      <c r="U7">
        <v>40602.92604799055</v>
      </c>
      <c r="V7">
        <v>40941.03411633549</v>
      </c>
      <c r="W7">
        <v>39756.054114169223</v>
      </c>
      <c r="X7">
        <v>40704.644922956213</v>
      </c>
      <c r="Y7">
        <v>37851.584943027628</v>
      </c>
      <c r="Z7">
        <v>38258.189555380639</v>
      </c>
      <c r="AA7">
        <v>37476.742760931345</v>
      </c>
      <c r="AB7">
        <v>38822.24438135275</v>
      </c>
      <c r="AC7">
        <v>38042.386442328796</v>
      </c>
      <c r="AD7">
        <v>38239.490669053106</v>
      </c>
      <c r="AE7">
        <v>38574.2154058343</v>
      </c>
      <c r="AF7">
        <v>36887.73781690115</v>
      </c>
      <c r="AG7">
        <v>38354.032701478282</v>
      </c>
      <c r="AH7">
        <v>38244.89921952338</v>
      </c>
      <c r="AI7">
        <v>39634.847827478443</v>
      </c>
      <c r="AJ7">
        <v>36911.614290734949</v>
      </c>
      <c r="AK7">
        <v>38622.246872743861</v>
      </c>
      <c r="AL7">
        <v>38220.161284166548</v>
      </c>
      <c r="AM7">
        <v>37837.482205111344</v>
      </c>
      <c r="AN7">
        <v>37349.398660800616</v>
      </c>
      <c r="AO7">
        <v>36961.408894031556</v>
      </c>
      <c r="AP7">
        <v>36827.161947439978</v>
      </c>
      <c r="AQ7">
        <v>36673.182150351182</v>
      </c>
      <c r="AR7">
        <v>36510.639480378573</v>
      </c>
      <c r="AS7">
        <v>36570.205651459662</v>
      </c>
      <c r="AT7">
        <v>35786.405654674054</v>
      </c>
      <c r="AU7">
        <v>35778.513686598715</v>
      </c>
      <c r="AV7">
        <v>35104.026931153363</v>
      </c>
      <c r="AW7">
        <v>34806.179754795972</v>
      </c>
      <c r="AX7">
        <v>34459.432712152338</v>
      </c>
      <c r="AY7">
        <v>34096.244055878749</v>
      </c>
      <c r="AZ7">
        <v>33644.49720272635</v>
      </c>
      <c r="BA7">
        <v>33230.180251030353</v>
      </c>
      <c r="BB7">
        <v>32722.350324317027</v>
      </c>
      <c r="BC7">
        <v>32213.96899255387</v>
      </c>
      <c r="BD7">
        <v>30842.559399565223</v>
      </c>
      <c r="BE7">
        <v>30248.897027781368</v>
      </c>
      <c r="BF7">
        <v>29656.68630548074</v>
      </c>
      <c r="BG7">
        <v>28995.164604489208</v>
      </c>
      <c r="BH7">
        <v>28409.632385723533</v>
      </c>
      <c r="BI7">
        <v>27756.136834920737</v>
      </c>
      <c r="BJ7">
        <v>27015.177520324236</v>
      </c>
      <c r="BK7">
        <v>26270.218573061793</v>
      </c>
      <c r="BL7">
        <v>25523.541235011537</v>
      </c>
      <c r="BM7">
        <v>24725.371579114108</v>
      </c>
      <c r="BN7">
        <v>24058.122866562899</v>
      </c>
    </row>
    <row r="8" spans="1:66" x14ac:dyDescent="0.25">
      <c r="A8" t="s">
        <v>200</v>
      </c>
      <c r="B8" t="s">
        <v>516</v>
      </c>
      <c r="C8" t="s">
        <v>526</v>
      </c>
      <c r="D8" t="s">
        <v>518</v>
      </c>
      <c r="E8" t="s">
        <v>519</v>
      </c>
      <c r="F8">
        <v>0</v>
      </c>
      <c r="G8">
        <v>0</v>
      </c>
      <c r="H8">
        <v>0</v>
      </c>
      <c r="I8">
        <v>0</v>
      </c>
      <c r="J8">
        <v>0</v>
      </c>
      <c r="K8">
        <v>0</v>
      </c>
      <c r="L8">
        <v>0</v>
      </c>
      <c r="M8">
        <v>0</v>
      </c>
      <c r="N8">
        <v>0</v>
      </c>
      <c r="O8">
        <v>0</v>
      </c>
      <c r="P8">
        <v>0</v>
      </c>
      <c r="Q8">
        <v>0</v>
      </c>
      <c r="R8">
        <v>0</v>
      </c>
      <c r="S8">
        <v>0</v>
      </c>
      <c r="T8">
        <v>0</v>
      </c>
      <c r="U8">
        <v>0</v>
      </c>
      <c r="V8">
        <v>0</v>
      </c>
      <c r="W8">
        <v>0</v>
      </c>
      <c r="X8">
        <v>0</v>
      </c>
      <c r="Y8">
        <v>0</v>
      </c>
      <c r="Z8">
        <v>11.416538041464802</v>
      </c>
      <c r="AA8">
        <v>8.7327708333333316</v>
      </c>
      <c r="AB8">
        <v>2.2770791666666668</v>
      </c>
      <c r="AC8">
        <v>1.3566666666666667</v>
      </c>
      <c r="AD8">
        <v>1.9666666666666663</v>
      </c>
      <c r="AE8">
        <v>4.4622309027777769</v>
      </c>
      <c r="AF8">
        <v>7.7698003472222208</v>
      </c>
      <c r="AG8">
        <v>11.941235920833332</v>
      </c>
      <c r="AH8">
        <v>18.817684762500001</v>
      </c>
      <c r="AI8">
        <v>24.5</v>
      </c>
      <c r="AJ8">
        <v>30</v>
      </c>
      <c r="AK8">
        <v>46.305643178011259</v>
      </c>
      <c r="AL8">
        <v>69.696559398715706</v>
      </c>
      <c r="AM8">
        <v>0.01</v>
      </c>
      <c r="AN8">
        <v>0.01</v>
      </c>
      <c r="AO8">
        <v>0.01</v>
      </c>
      <c r="AP8">
        <v>0.01</v>
      </c>
      <c r="AQ8">
        <v>0.01</v>
      </c>
      <c r="AR8">
        <v>0.01</v>
      </c>
      <c r="AS8">
        <v>0.01</v>
      </c>
      <c r="AT8">
        <v>0.01</v>
      </c>
      <c r="AU8">
        <v>0.01</v>
      </c>
      <c r="AV8">
        <v>0.01</v>
      </c>
      <c r="AW8">
        <v>0.01</v>
      </c>
      <c r="AX8">
        <v>0.01</v>
      </c>
      <c r="AY8">
        <v>0.01</v>
      </c>
      <c r="AZ8">
        <v>0.01</v>
      </c>
      <c r="BA8">
        <v>0.01</v>
      </c>
      <c r="BB8">
        <v>0.01</v>
      </c>
      <c r="BC8">
        <v>0.01</v>
      </c>
      <c r="BD8">
        <v>0.01</v>
      </c>
      <c r="BE8">
        <v>0.01</v>
      </c>
      <c r="BF8">
        <v>0.01</v>
      </c>
      <c r="BG8">
        <v>0.01</v>
      </c>
      <c r="BH8">
        <v>0.01</v>
      </c>
      <c r="BI8">
        <v>0.01</v>
      </c>
      <c r="BJ8">
        <v>0.01</v>
      </c>
      <c r="BK8">
        <v>0.01</v>
      </c>
      <c r="BL8">
        <v>0.01</v>
      </c>
      <c r="BM8">
        <v>0.01</v>
      </c>
      <c r="BN8">
        <v>0.01</v>
      </c>
    </row>
    <row r="9" spans="1:66" x14ac:dyDescent="0.25">
      <c r="A9" t="s">
        <v>200</v>
      </c>
      <c r="B9" t="s">
        <v>516</v>
      </c>
      <c r="C9" t="s">
        <v>526</v>
      </c>
      <c r="D9" t="s">
        <v>520</v>
      </c>
      <c r="E9" t="s">
        <v>521</v>
      </c>
      <c r="F9">
        <v>8126.1945618773643</v>
      </c>
      <c r="G9">
        <v>8106.661121873205</v>
      </c>
      <c r="H9">
        <v>8469.9964545997555</v>
      </c>
      <c r="I9">
        <v>8922.6885824844103</v>
      </c>
      <c r="J9">
        <v>9583.8002483498967</v>
      </c>
      <c r="K9">
        <v>10247.564720783123</v>
      </c>
      <c r="L9">
        <v>10378.724398951666</v>
      </c>
      <c r="M9">
        <v>10605.333888617772</v>
      </c>
      <c r="N9">
        <v>10810.458340752642</v>
      </c>
      <c r="O9">
        <v>11096.605458727845</v>
      </c>
      <c r="P9">
        <v>11648.310343290637</v>
      </c>
      <c r="Q9">
        <v>11705.871223077451</v>
      </c>
      <c r="R9">
        <v>12162.021231248526</v>
      </c>
      <c r="S9">
        <v>12697.797549640931</v>
      </c>
      <c r="T9">
        <v>12992.367162928625</v>
      </c>
      <c r="U9">
        <v>13063.440862686894</v>
      </c>
      <c r="V9">
        <v>13182.198504199005</v>
      </c>
      <c r="W9">
        <v>13284.806809600492</v>
      </c>
      <c r="X9">
        <v>13293.959706338926</v>
      </c>
      <c r="Y9">
        <v>13101.086214174264</v>
      </c>
      <c r="Z9">
        <v>13348.937535477718</v>
      </c>
      <c r="AA9">
        <v>13331.827621000642</v>
      </c>
      <c r="AB9">
        <v>13006.487718579234</v>
      </c>
      <c r="AC9">
        <v>13081.360160828839</v>
      </c>
      <c r="AD9">
        <v>13339.646613066796</v>
      </c>
      <c r="AE9">
        <v>13805.025309105527</v>
      </c>
      <c r="AF9">
        <v>13906.520809611657</v>
      </c>
      <c r="AG9">
        <v>14803.702978914342</v>
      </c>
      <c r="AH9">
        <v>15126.124771992951</v>
      </c>
      <c r="AI9">
        <v>14654.704680232724</v>
      </c>
      <c r="AJ9">
        <v>13175.66592208733</v>
      </c>
      <c r="AK9">
        <v>14394.791851582964</v>
      </c>
      <c r="AL9">
        <v>15140.212759771835</v>
      </c>
      <c r="AM9">
        <v>15363.964772702962</v>
      </c>
      <c r="AN9">
        <v>15415.081882753759</v>
      </c>
      <c r="AO9">
        <v>15445.087004211249</v>
      </c>
      <c r="AP9">
        <v>15474.068410517788</v>
      </c>
      <c r="AQ9">
        <v>15475.072926558589</v>
      </c>
      <c r="AR9">
        <v>15433.871435635248</v>
      </c>
      <c r="AS9">
        <v>15350.215250584064</v>
      </c>
      <c r="AT9">
        <v>15243.853643244527</v>
      </c>
      <c r="AU9">
        <v>15099.267732576873</v>
      </c>
      <c r="AV9">
        <v>14925.927089454286</v>
      </c>
      <c r="AW9">
        <v>14677.591553050472</v>
      </c>
      <c r="AX9">
        <v>14406.413478223494</v>
      </c>
      <c r="AY9">
        <v>14073.649108387708</v>
      </c>
      <c r="AZ9">
        <v>13702.100688518949</v>
      </c>
      <c r="BA9">
        <v>13317.377781258039</v>
      </c>
      <c r="BB9">
        <v>12883.296825781867</v>
      </c>
      <c r="BC9">
        <v>12410.684150010438</v>
      </c>
      <c r="BD9">
        <v>11951.800485040436</v>
      </c>
      <c r="BE9">
        <v>11375.571690419247</v>
      </c>
      <c r="BF9">
        <v>10865.991247858756</v>
      </c>
      <c r="BG9">
        <v>10341.908629283405</v>
      </c>
      <c r="BH9">
        <v>9764.2682904692247</v>
      </c>
      <c r="BI9">
        <v>9203.2646483317149</v>
      </c>
      <c r="BJ9">
        <v>8596.8901431055165</v>
      </c>
      <c r="BK9">
        <v>8012.4794964715202</v>
      </c>
      <c r="BL9">
        <v>7411.9024669617738</v>
      </c>
      <c r="BM9">
        <v>6806.5692209278777</v>
      </c>
      <c r="BN9">
        <v>6235.369507272696</v>
      </c>
    </row>
    <row r="10" spans="1:66" x14ac:dyDescent="0.25">
      <c r="A10" t="s">
        <v>200</v>
      </c>
      <c r="B10" t="s">
        <v>516</v>
      </c>
      <c r="C10" t="s">
        <v>526</v>
      </c>
      <c r="D10" t="s">
        <v>522</v>
      </c>
      <c r="E10" t="s">
        <v>521</v>
      </c>
      <c r="F10">
        <v>15640.940843035291</v>
      </c>
      <c r="G10">
        <v>16150.546759988883</v>
      </c>
      <c r="H10">
        <v>17648.388786263939</v>
      </c>
      <c r="I10">
        <v>16725.370693795405</v>
      </c>
      <c r="J10">
        <v>16380.548324839787</v>
      </c>
      <c r="K10">
        <v>15499.119986501893</v>
      </c>
      <c r="L10">
        <v>16964.973485962018</v>
      </c>
      <c r="M10">
        <v>18776.307489236842</v>
      </c>
      <c r="N10">
        <v>16990.87642543549</v>
      </c>
      <c r="O10">
        <v>18068.06638576484</v>
      </c>
      <c r="P10">
        <v>18247.587022073894</v>
      </c>
      <c r="Q10">
        <v>20209.470689366266</v>
      </c>
      <c r="R10">
        <v>19699.848793804682</v>
      </c>
      <c r="S10">
        <v>20589.961823411428</v>
      </c>
      <c r="T10">
        <v>19932.694122895617</v>
      </c>
      <c r="U10">
        <v>21455.132172136808</v>
      </c>
      <c r="V10">
        <v>21734.471668911941</v>
      </c>
      <c r="W10">
        <v>20224.013693454704</v>
      </c>
      <c r="X10">
        <v>21356.548009904149</v>
      </c>
      <c r="Y10">
        <v>18870.840564758502</v>
      </c>
      <c r="Z10">
        <v>18772.299934571802</v>
      </c>
      <c r="AA10">
        <v>18114.081314169005</v>
      </c>
      <c r="AB10">
        <v>19820.47191931152</v>
      </c>
      <c r="AC10">
        <v>18884.997469550366</v>
      </c>
      <c r="AD10">
        <v>18698.599087495157</v>
      </c>
      <c r="AE10">
        <v>18478.836391393874</v>
      </c>
      <c r="AF10">
        <v>16973.70962476591</v>
      </c>
      <c r="AG10">
        <v>17531.475135032353</v>
      </c>
      <c r="AH10">
        <v>17282.73541087965</v>
      </c>
      <c r="AI10">
        <v>19152.571947895391</v>
      </c>
      <c r="AJ10">
        <v>18178.313197265285</v>
      </c>
      <c r="AK10">
        <v>18470.243108479452</v>
      </c>
      <c r="AL10">
        <v>17310.487642300024</v>
      </c>
      <c r="AM10">
        <v>16929.570847918993</v>
      </c>
      <c r="AN10">
        <v>16372.449218564432</v>
      </c>
      <c r="AO10">
        <v>16261.913399078485</v>
      </c>
      <c r="AP10">
        <v>16478.944606452878</v>
      </c>
      <c r="AQ10">
        <v>16688.001695072955</v>
      </c>
      <c r="AR10">
        <v>16881.177423966001</v>
      </c>
      <c r="AS10">
        <v>17067.777258989576</v>
      </c>
      <c r="AT10">
        <v>16477.097480843811</v>
      </c>
      <c r="AU10">
        <v>16688.885897320175</v>
      </c>
      <c r="AV10">
        <v>16907.935794176432</v>
      </c>
      <c r="AW10">
        <v>17150.999355809334</v>
      </c>
      <c r="AX10">
        <v>17389.775551411603</v>
      </c>
      <c r="AY10">
        <v>17667.77758066939</v>
      </c>
      <c r="AZ10">
        <v>17995.829253561409</v>
      </c>
      <c r="BA10">
        <v>18351.820383253511</v>
      </c>
      <c r="BB10">
        <v>18784.88249419268</v>
      </c>
      <c r="BC10">
        <v>14964.576425235877</v>
      </c>
      <c r="BD10">
        <v>14167.090209877491</v>
      </c>
      <c r="BE10">
        <v>14143.078290948399</v>
      </c>
      <c r="BF10">
        <v>14110.18818627208</v>
      </c>
      <c r="BG10">
        <v>14067.49475409528</v>
      </c>
      <c r="BH10">
        <v>14013.485764907327</v>
      </c>
      <c r="BI10">
        <v>13943.631620253154</v>
      </c>
      <c r="BJ10">
        <v>13850.897289109191</v>
      </c>
      <c r="BK10">
        <v>13733.283823904043</v>
      </c>
      <c r="BL10">
        <v>13586.829886291753</v>
      </c>
      <c r="BM10">
        <v>13424.296760120136</v>
      </c>
      <c r="BN10">
        <v>13261.026036673995</v>
      </c>
    </row>
    <row r="11" spans="1:66" x14ac:dyDescent="0.25">
      <c r="A11" t="s">
        <v>200</v>
      </c>
      <c r="B11" t="s">
        <v>516</v>
      </c>
      <c r="C11" t="s">
        <v>526</v>
      </c>
      <c r="D11" t="s">
        <v>523</v>
      </c>
      <c r="E11" t="s">
        <v>521</v>
      </c>
      <c r="F11">
        <v>3429.1023206090149</v>
      </c>
      <c r="G11">
        <v>3582.0933132143959</v>
      </c>
      <c r="H11">
        <v>3230.4006797977117</v>
      </c>
      <c r="I11">
        <v>3072.4080540294026</v>
      </c>
      <c r="J11">
        <v>2943.5832063652938</v>
      </c>
      <c r="K11">
        <v>3036.6428253355557</v>
      </c>
      <c r="L11">
        <v>3231.1178764295346</v>
      </c>
      <c r="M11">
        <v>3121.0509253025539</v>
      </c>
      <c r="N11">
        <v>3108.4252054479571</v>
      </c>
      <c r="O11">
        <v>3287.2502963250704</v>
      </c>
      <c r="P11">
        <v>3324.3535917273935</v>
      </c>
      <c r="Q11">
        <v>3441.9326499549325</v>
      </c>
      <c r="R11">
        <v>3562.3255597822995</v>
      </c>
      <c r="S11">
        <v>3798.3629146741546</v>
      </c>
      <c r="T11">
        <v>3833.9993752516589</v>
      </c>
      <c r="U11">
        <v>3949.7863117346769</v>
      </c>
      <c r="V11">
        <v>4067.1636114352182</v>
      </c>
      <c r="W11">
        <v>4324.6641433976283</v>
      </c>
      <c r="X11">
        <v>4207.5754142911601</v>
      </c>
      <c r="Y11">
        <v>4156.3376144420381</v>
      </c>
      <c r="Z11">
        <v>4471.2064224286651</v>
      </c>
      <c r="AA11">
        <v>4511.1732699008671</v>
      </c>
      <c r="AB11">
        <v>4584.743425822363</v>
      </c>
      <c r="AC11">
        <v>4716.1203271304976</v>
      </c>
      <c r="AD11">
        <v>4887.0741014170871</v>
      </c>
      <c r="AE11">
        <v>5014.426570819578</v>
      </c>
      <c r="AF11">
        <v>4761.4486978313562</v>
      </c>
      <c r="AG11">
        <v>4803.9943473754338</v>
      </c>
      <c r="AH11">
        <v>4679.6792337008401</v>
      </c>
      <c r="AI11">
        <v>4713.1761267541115</v>
      </c>
      <c r="AJ11">
        <v>4482.2708369643005</v>
      </c>
      <c r="AK11">
        <v>4684.6924221093332</v>
      </c>
      <c r="AL11">
        <v>4615.5306846943822</v>
      </c>
      <c r="AM11">
        <v>4627.3460078688631</v>
      </c>
      <c r="AN11">
        <v>4662.5529949191387</v>
      </c>
      <c r="AO11">
        <v>4630.6810126884129</v>
      </c>
      <c r="AP11">
        <v>4618.9889637299475</v>
      </c>
      <c r="AQ11">
        <v>4573.473853613119</v>
      </c>
      <c r="AR11">
        <v>4533.4814850424427</v>
      </c>
      <c r="AS11">
        <v>4513.6164325152704</v>
      </c>
      <c r="AT11">
        <v>4440.779918378651</v>
      </c>
      <c r="AU11">
        <v>4400.086677542703</v>
      </c>
      <c r="AV11">
        <v>4361.2936300883921</v>
      </c>
      <c r="AW11">
        <v>4311.5480219655219</v>
      </c>
      <c r="AX11">
        <v>4269.7601097866564</v>
      </c>
      <c r="AY11">
        <v>4243.7574182344706</v>
      </c>
      <c r="AZ11">
        <v>4208.7630297520154</v>
      </c>
      <c r="BA11">
        <v>4185.033318868881</v>
      </c>
      <c r="BB11">
        <v>4163.3266284028632</v>
      </c>
      <c r="BC11">
        <v>4143.7292662565396</v>
      </c>
      <c r="BD11">
        <v>4082.9559247444722</v>
      </c>
      <c r="BE11">
        <v>4069.4659482485645</v>
      </c>
      <c r="BF11">
        <v>4058.8095715619588</v>
      </c>
      <c r="BG11">
        <v>4053.5334869423891</v>
      </c>
      <c r="BH11">
        <v>4051.2984233633306</v>
      </c>
      <c r="BI11">
        <v>4051.7525630399155</v>
      </c>
      <c r="BJ11">
        <v>4055.682401792295</v>
      </c>
      <c r="BK11">
        <v>4063.2127355089469</v>
      </c>
      <c r="BL11">
        <v>4072.916152751694</v>
      </c>
      <c r="BM11">
        <v>4083.872349570695</v>
      </c>
      <c r="BN11">
        <v>4097.9882312689533</v>
      </c>
    </row>
    <row r="12" spans="1:66" x14ac:dyDescent="0.25">
      <c r="A12" t="s">
        <v>200</v>
      </c>
      <c r="B12" t="s">
        <v>516</v>
      </c>
      <c r="C12" t="s">
        <v>526</v>
      </c>
      <c r="D12" t="s">
        <v>524</v>
      </c>
      <c r="E12" t="s">
        <v>521</v>
      </c>
      <c r="F12">
        <v>1816.6596733237263</v>
      </c>
      <c r="G12">
        <v>1893.7218802684215</v>
      </c>
      <c r="H12">
        <v>1971.3222733100288</v>
      </c>
      <c r="I12">
        <v>2049.4503492491226</v>
      </c>
      <c r="J12">
        <v>1947.5325263313807</v>
      </c>
      <c r="K12">
        <v>2023.8252549837712</v>
      </c>
      <c r="L12">
        <v>2102.1656796823004</v>
      </c>
      <c r="M12">
        <v>2125.7547716447093</v>
      </c>
      <c r="N12">
        <v>2086.8629737313777</v>
      </c>
      <c r="O12">
        <v>2084.0346339247499</v>
      </c>
      <c r="P12">
        <v>2103.6901401299438</v>
      </c>
      <c r="Q12">
        <v>2134.2537068539705</v>
      </c>
      <c r="R12">
        <v>2173.5947283527944</v>
      </c>
      <c r="S12">
        <v>2101.4028129686244</v>
      </c>
      <c r="T12">
        <v>2124.9026062551302</v>
      </c>
      <c r="U12">
        <v>2134.5667014321762</v>
      </c>
      <c r="V12">
        <v>1957.2003317893241</v>
      </c>
      <c r="W12">
        <v>1922.5694677164029</v>
      </c>
      <c r="X12">
        <v>1846.56179242198</v>
      </c>
      <c r="Y12">
        <v>1723.3205496528278</v>
      </c>
      <c r="Z12">
        <v>1665.7456629024559</v>
      </c>
      <c r="AA12">
        <v>1519.6605558608351</v>
      </c>
      <c r="AB12">
        <v>1410.5413176396301</v>
      </c>
      <c r="AC12">
        <v>1359.9084848190901</v>
      </c>
      <c r="AD12">
        <v>1314.1708670740722</v>
      </c>
      <c r="AE12">
        <v>1275.9271345153275</v>
      </c>
      <c r="AF12">
        <v>1246.0586846922251</v>
      </c>
      <c r="AG12">
        <v>1214.8602401561525</v>
      </c>
      <c r="AH12">
        <v>1156.3598029499428</v>
      </c>
      <c r="AI12">
        <v>1114.3950725962225</v>
      </c>
      <c r="AJ12">
        <v>1075.3643344180375</v>
      </c>
      <c r="AK12">
        <v>1058.4109684228663</v>
      </c>
      <c r="AL12">
        <v>1037.4549522386469</v>
      </c>
      <c r="AM12">
        <v>1023.9028782895074</v>
      </c>
      <c r="AN12">
        <v>1015.4581388464945</v>
      </c>
      <c r="AO12">
        <v>1008.8792188039987</v>
      </c>
      <c r="AP12">
        <v>1003.192442959614</v>
      </c>
      <c r="AQ12">
        <v>998.59582539268888</v>
      </c>
      <c r="AR12">
        <v>995.0277547228925</v>
      </c>
      <c r="AS12">
        <v>992.37444226389221</v>
      </c>
      <c r="AT12">
        <v>990.40749782431203</v>
      </c>
      <c r="AU12">
        <v>988.97989294316244</v>
      </c>
      <c r="AV12">
        <v>988.04679981535378</v>
      </c>
      <c r="AW12">
        <v>987.62950698164093</v>
      </c>
      <c r="AX12">
        <v>987.65130218716342</v>
      </c>
      <c r="AY12">
        <v>988.37489247769508</v>
      </c>
      <c r="AZ12">
        <v>989.38853727230617</v>
      </c>
      <c r="BA12">
        <v>990.79052027546948</v>
      </c>
      <c r="BB12">
        <v>992.62774659473371</v>
      </c>
      <c r="BC12">
        <v>994.77881142629872</v>
      </c>
      <c r="BD12">
        <v>997.5465403029508</v>
      </c>
      <c r="BE12">
        <v>1000.739182874303</v>
      </c>
      <c r="BF12">
        <v>1004.2786387251333</v>
      </c>
      <c r="BG12">
        <v>1008.2052833573213</v>
      </c>
      <c r="BH12">
        <v>1012.4133063445258</v>
      </c>
      <c r="BI12">
        <v>1017.1361097781114</v>
      </c>
      <c r="BJ12">
        <v>1022.0860513258131</v>
      </c>
      <c r="BK12">
        <v>1026.9569539956246</v>
      </c>
      <c r="BL12">
        <v>1031.9338323093339</v>
      </c>
      <c r="BM12">
        <v>1037.1102629393763</v>
      </c>
      <c r="BN12">
        <v>1042.5304745613107</v>
      </c>
    </row>
    <row r="13" spans="1:66" x14ac:dyDescent="0.25">
      <c r="A13" t="s">
        <v>200</v>
      </c>
      <c r="B13" t="s">
        <v>516</v>
      </c>
      <c r="C13" t="s">
        <v>526</v>
      </c>
      <c r="D13" t="s">
        <v>525</v>
      </c>
      <c r="E13" t="s">
        <v>521</v>
      </c>
      <c r="F13">
        <v>29012.897398845394</v>
      </c>
      <c r="G13">
        <v>29733.023075344903</v>
      </c>
      <c r="H13">
        <v>31320.108193971439</v>
      </c>
      <c r="I13">
        <v>30769.917679558341</v>
      </c>
      <c r="J13">
        <v>30855.464305886358</v>
      </c>
      <c r="K13">
        <v>30807.15278760434</v>
      </c>
      <c r="L13">
        <v>32676.98144102552</v>
      </c>
      <c r="M13">
        <v>34628.447074801872</v>
      </c>
      <c r="N13">
        <v>32996.622945367468</v>
      </c>
      <c r="O13">
        <v>34535.956774742503</v>
      </c>
      <c r="P13">
        <v>35323.941097221861</v>
      </c>
      <c r="Q13">
        <v>37491.528269252616</v>
      </c>
      <c r="R13">
        <v>37597.790313188299</v>
      </c>
      <c r="S13">
        <v>39187.525100695137</v>
      </c>
      <c r="T13">
        <v>38883.963267331026</v>
      </c>
      <c r="U13">
        <v>40602.92604799055</v>
      </c>
      <c r="V13">
        <v>40941.03411633549</v>
      </c>
      <c r="W13">
        <v>39756.054114169223</v>
      </c>
      <c r="X13">
        <v>40704.644922956213</v>
      </c>
      <c r="Y13">
        <v>37851.584943027628</v>
      </c>
      <c r="Z13">
        <v>38258.189555380639</v>
      </c>
      <c r="AA13">
        <v>37476.742760931345</v>
      </c>
      <c r="AB13">
        <v>38822.24438135275</v>
      </c>
      <c r="AC13">
        <v>38042.386442328796</v>
      </c>
      <c r="AD13">
        <v>38239.490669053106</v>
      </c>
      <c r="AE13">
        <v>38574.2154058343</v>
      </c>
      <c r="AF13">
        <v>36887.73781690115</v>
      </c>
      <c r="AG13">
        <v>38354.032701478282</v>
      </c>
      <c r="AH13">
        <v>38244.89921952338</v>
      </c>
      <c r="AI13">
        <v>39634.847827478443</v>
      </c>
      <c r="AJ13">
        <v>36911.614290734949</v>
      </c>
      <c r="AK13">
        <v>38608.138350594621</v>
      </c>
      <c r="AL13">
        <v>38103.68603900489</v>
      </c>
      <c r="AM13">
        <v>37944.784506780321</v>
      </c>
      <c r="AN13">
        <v>37465.542235083827</v>
      </c>
      <c r="AO13">
        <v>37346.560634782145</v>
      </c>
      <c r="AP13">
        <v>37575.194423660228</v>
      </c>
      <c r="AQ13">
        <v>37735.144300637352</v>
      </c>
      <c r="AR13">
        <v>37843.558099366586</v>
      </c>
      <c r="AS13">
        <v>37923.983384352803</v>
      </c>
      <c r="AT13">
        <v>37152.1385402913</v>
      </c>
      <c r="AU13">
        <v>37177.220200382915</v>
      </c>
      <c r="AV13">
        <v>37183.203313534461</v>
      </c>
      <c r="AW13">
        <v>37127.768437806968</v>
      </c>
      <c r="AX13">
        <v>37053.60044160892</v>
      </c>
      <c r="AY13">
        <v>36973.558999769266</v>
      </c>
      <c r="AZ13">
        <v>36896.081509104682</v>
      </c>
      <c r="BA13">
        <v>36845.022003655904</v>
      </c>
      <c r="BB13">
        <v>36824.133694972144</v>
      </c>
      <c r="BC13">
        <v>32513.76865292915</v>
      </c>
      <c r="BD13">
        <v>31199.393159965352</v>
      </c>
      <c r="BE13">
        <v>30588.855112490513</v>
      </c>
      <c r="BF13">
        <v>30039.267644417927</v>
      </c>
      <c r="BG13">
        <v>29471.142153678396</v>
      </c>
      <c r="BH13">
        <v>28841.465785084409</v>
      </c>
      <c r="BI13">
        <v>28215.784941402893</v>
      </c>
      <c r="BJ13">
        <v>27525.555885332815</v>
      </c>
      <c r="BK13">
        <v>26835.933009880133</v>
      </c>
      <c r="BL13">
        <v>26103.582338314554</v>
      </c>
      <c r="BM13">
        <v>25351.848593558083</v>
      </c>
      <c r="BN13">
        <v>24636.914249776957</v>
      </c>
    </row>
    <row r="14" spans="1:66" x14ac:dyDescent="0.25">
      <c r="A14" t="s">
        <v>203</v>
      </c>
      <c r="B14" t="s">
        <v>527</v>
      </c>
      <c r="C14" t="s">
        <v>528</v>
      </c>
      <c r="D14" t="s">
        <v>518</v>
      </c>
      <c r="E14" t="s">
        <v>519</v>
      </c>
      <c r="F14">
        <v>0</v>
      </c>
      <c r="G14">
        <v>0</v>
      </c>
      <c r="H14">
        <v>0</v>
      </c>
      <c r="I14">
        <v>0</v>
      </c>
      <c r="J14">
        <v>0</v>
      </c>
      <c r="K14">
        <v>0</v>
      </c>
      <c r="L14">
        <v>0</v>
      </c>
      <c r="M14">
        <v>0</v>
      </c>
      <c r="N14">
        <v>0</v>
      </c>
      <c r="O14">
        <v>0</v>
      </c>
      <c r="P14">
        <v>0</v>
      </c>
      <c r="Q14">
        <v>0</v>
      </c>
      <c r="R14">
        <v>0</v>
      </c>
      <c r="S14">
        <v>0</v>
      </c>
      <c r="T14">
        <v>0</v>
      </c>
      <c r="U14">
        <v>0</v>
      </c>
      <c r="V14">
        <v>0</v>
      </c>
      <c r="W14">
        <v>0</v>
      </c>
      <c r="X14">
        <v>0</v>
      </c>
      <c r="Y14">
        <v>0</v>
      </c>
      <c r="Z14">
        <v>11.416538041464802</v>
      </c>
      <c r="AA14">
        <v>8.7327708333333316</v>
      </c>
      <c r="AB14">
        <v>2.2770791666666668</v>
      </c>
      <c r="AC14">
        <v>1.3566666666666667</v>
      </c>
      <c r="AD14">
        <v>1.9666666666666663</v>
      </c>
      <c r="AE14">
        <v>4.4622309027777769</v>
      </c>
      <c r="AF14">
        <v>7.7698003472222208</v>
      </c>
      <c r="AG14">
        <v>11.941235920833332</v>
      </c>
      <c r="AH14">
        <v>18.817684762500001</v>
      </c>
      <c r="AI14">
        <v>24.5</v>
      </c>
      <c r="AJ14">
        <v>30</v>
      </c>
      <c r="AK14">
        <v>46.305643178011259</v>
      </c>
      <c r="AL14">
        <v>69.696559398715706</v>
      </c>
      <c r="AM14">
        <v>100</v>
      </c>
      <c r="AN14">
        <v>103</v>
      </c>
      <c r="AO14">
        <v>106.09</v>
      </c>
      <c r="AP14">
        <v>109.2727</v>
      </c>
      <c r="AQ14">
        <v>112.550881</v>
      </c>
      <c r="AR14">
        <v>115.92740743</v>
      </c>
      <c r="AS14">
        <v>119.4052296529</v>
      </c>
      <c r="AT14">
        <v>122.987386542487</v>
      </c>
      <c r="AU14">
        <v>126.67700813876162</v>
      </c>
      <c r="AV14">
        <v>130.47731838292447</v>
      </c>
      <c r="AW14">
        <v>134.39163793441222</v>
      </c>
      <c r="AX14">
        <v>138.4233870724446</v>
      </c>
      <c r="AY14">
        <v>142.57608868461793</v>
      </c>
      <c r="AZ14">
        <v>146.85337134515646</v>
      </c>
      <c r="BA14">
        <v>151.25897248551115</v>
      </c>
      <c r="BB14">
        <v>155.79674166007649</v>
      </c>
      <c r="BC14">
        <v>160.47064390987879</v>
      </c>
      <c r="BD14">
        <v>165.28476322717515</v>
      </c>
      <c r="BE14">
        <v>170.24330612399041</v>
      </c>
      <c r="BF14">
        <v>175.35060530771011</v>
      </c>
      <c r="BG14">
        <v>180.61112346694142</v>
      </c>
      <c r="BH14">
        <v>186.02945717094966</v>
      </c>
      <c r="BI14">
        <v>191.61034088607815</v>
      </c>
      <c r="BJ14">
        <v>197.35865111266051</v>
      </c>
      <c r="BK14">
        <v>203.27941064604033</v>
      </c>
      <c r="BL14">
        <v>209.37779296542155</v>
      </c>
      <c r="BM14">
        <v>215.6591267543842</v>
      </c>
      <c r="BN14">
        <v>222.12890055701573</v>
      </c>
    </row>
    <row r="15" spans="1:66" x14ac:dyDescent="0.25">
      <c r="A15" t="s">
        <v>203</v>
      </c>
      <c r="B15" t="s">
        <v>527</v>
      </c>
      <c r="C15" t="s">
        <v>528</v>
      </c>
      <c r="D15" t="s">
        <v>520</v>
      </c>
      <c r="E15" t="s">
        <v>521</v>
      </c>
      <c r="F15">
        <v>8126.1945618773643</v>
      </c>
      <c r="G15">
        <v>8106.661121873205</v>
      </c>
      <c r="H15">
        <v>8469.9964545997555</v>
      </c>
      <c r="I15">
        <v>8922.6885824844103</v>
      </c>
      <c r="J15">
        <v>9583.8002483498967</v>
      </c>
      <c r="K15">
        <v>10247.564720783123</v>
      </c>
      <c r="L15">
        <v>10378.724398951666</v>
      </c>
      <c r="M15">
        <v>10605.333888617772</v>
      </c>
      <c r="N15">
        <v>10810.458340752642</v>
      </c>
      <c r="O15">
        <v>11096.605458727845</v>
      </c>
      <c r="P15">
        <v>11648.310343290637</v>
      </c>
      <c r="Q15">
        <v>11705.871223077451</v>
      </c>
      <c r="R15">
        <v>12162.021231248526</v>
      </c>
      <c r="S15">
        <v>12697.797549640931</v>
      </c>
      <c r="T15">
        <v>12992.367162928625</v>
      </c>
      <c r="U15">
        <v>13063.440862686894</v>
      </c>
      <c r="V15">
        <v>13182.198504199005</v>
      </c>
      <c r="W15">
        <v>13284.806809600492</v>
      </c>
      <c r="X15">
        <v>13293.959706338926</v>
      </c>
      <c r="Y15">
        <v>13101.086214174264</v>
      </c>
      <c r="Z15">
        <v>13348.937535477718</v>
      </c>
      <c r="AA15">
        <v>13331.827621000642</v>
      </c>
      <c r="AB15">
        <v>13006.487718579234</v>
      </c>
      <c r="AC15">
        <v>13081.360160828839</v>
      </c>
      <c r="AD15">
        <v>13339.646613066796</v>
      </c>
      <c r="AE15">
        <v>13805.025309105527</v>
      </c>
      <c r="AF15">
        <v>13906.520809611657</v>
      </c>
      <c r="AG15">
        <v>14803.702978914342</v>
      </c>
      <c r="AH15">
        <v>15126.124771992951</v>
      </c>
      <c r="AI15">
        <v>14654.704680232724</v>
      </c>
      <c r="AJ15">
        <v>13175.66592208733</v>
      </c>
      <c r="AK15">
        <v>14392.458510567654</v>
      </c>
      <c r="AL15">
        <v>15136.117123307644</v>
      </c>
      <c r="AM15">
        <v>15266.399055258429</v>
      </c>
      <c r="AN15">
        <v>15146.539417210377</v>
      </c>
      <c r="AO15">
        <v>14991.860751610089</v>
      </c>
      <c r="AP15">
        <v>14743.917547805198</v>
      </c>
      <c r="AQ15">
        <v>14447.961402462332</v>
      </c>
      <c r="AR15">
        <v>14034.001659391644</v>
      </c>
      <c r="AS15">
        <v>13498.010139906211</v>
      </c>
      <c r="AT15">
        <v>12847.859072644838</v>
      </c>
      <c r="AU15">
        <v>12058.989369479112</v>
      </c>
      <c r="AV15">
        <v>11252.834973027375</v>
      </c>
      <c r="AW15">
        <v>10418.816589575528</v>
      </c>
      <c r="AX15">
        <v>9632.3476212666028</v>
      </c>
      <c r="AY15">
        <v>8796.8066840437532</v>
      </c>
      <c r="AZ15">
        <v>8031.7841496505644</v>
      </c>
      <c r="BA15">
        <v>7248.7340640963585</v>
      </c>
      <c r="BB15">
        <v>6560.2891144090036</v>
      </c>
      <c r="BC15">
        <v>5944.5285690687197</v>
      </c>
      <c r="BD15">
        <v>5313.6892507197144</v>
      </c>
      <c r="BE15">
        <v>4798.1678779564454</v>
      </c>
      <c r="BF15">
        <v>4289.6059231060517</v>
      </c>
      <c r="BG15">
        <v>3839.8260444052207</v>
      </c>
      <c r="BH15">
        <v>3352.4956589282228</v>
      </c>
      <c r="BI15">
        <v>2889.6993435410805</v>
      </c>
      <c r="BJ15">
        <v>2592.3690605553893</v>
      </c>
      <c r="BK15">
        <v>2231.7213483843821</v>
      </c>
      <c r="BL15">
        <v>1910.3253896380616</v>
      </c>
      <c r="BM15">
        <v>1675.9900889051082</v>
      </c>
      <c r="BN15">
        <v>1478.2509807892984</v>
      </c>
    </row>
    <row r="16" spans="1:66" x14ac:dyDescent="0.25">
      <c r="A16" t="s">
        <v>203</v>
      </c>
      <c r="B16" t="s">
        <v>527</v>
      </c>
      <c r="C16" t="s">
        <v>528</v>
      </c>
      <c r="D16" t="s">
        <v>522</v>
      </c>
      <c r="E16" t="s">
        <v>521</v>
      </c>
      <c r="F16">
        <v>15640.940843035291</v>
      </c>
      <c r="G16">
        <v>16150.546759988883</v>
      </c>
      <c r="H16">
        <v>17648.388786263939</v>
      </c>
      <c r="I16">
        <v>16725.370693795405</v>
      </c>
      <c r="J16">
        <v>16380.548324839787</v>
      </c>
      <c r="K16">
        <v>15499.119986501893</v>
      </c>
      <c r="L16">
        <v>16964.973485962018</v>
      </c>
      <c r="M16">
        <v>18776.307489236842</v>
      </c>
      <c r="N16">
        <v>16990.87642543549</v>
      </c>
      <c r="O16">
        <v>18068.06638576484</v>
      </c>
      <c r="P16">
        <v>18247.587022073894</v>
      </c>
      <c r="Q16">
        <v>20209.470689366266</v>
      </c>
      <c r="R16">
        <v>19699.848793804682</v>
      </c>
      <c r="S16">
        <v>20589.961823411428</v>
      </c>
      <c r="T16">
        <v>19932.694122895617</v>
      </c>
      <c r="U16">
        <v>21455.132172136808</v>
      </c>
      <c r="V16">
        <v>21734.471668911941</v>
      </c>
      <c r="W16">
        <v>20224.013693454704</v>
      </c>
      <c r="X16">
        <v>21356.548009904149</v>
      </c>
      <c r="Y16">
        <v>18870.840564758502</v>
      </c>
      <c r="Z16">
        <v>18772.299934571802</v>
      </c>
      <c r="AA16">
        <v>18114.081314169005</v>
      </c>
      <c r="AB16">
        <v>19820.47191931152</v>
      </c>
      <c r="AC16">
        <v>18884.997469550366</v>
      </c>
      <c r="AD16">
        <v>18698.599087495157</v>
      </c>
      <c r="AE16">
        <v>18478.836391393874</v>
      </c>
      <c r="AF16">
        <v>16973.70962476591</v>
      </c>
      <c r="AG16">
        <v>17531.475135032353</v>
      </c>
      <c r="AH16">
        <v>17282.73541087965</v>
      </c>
      <c r="AI16">
        <v>19152.571947895391</v>
      </c>
      <c r="AJ16">
        <v>18178.313197265285</v>
      </c>
      <c r="AK16">
        <v>18330.87507391792</v>
      </c>
      <c r="AL16">
        <v>16975.048226800784</v>
      </c>
      <c r="AM16">
        <v>15984.59879073461</v>
      </c>
      <c r="AN16">
        <v>14944.890909623895</v>
      </c>
      <c r="AO16">
        <v>14095.745448455069</v>
      </c>
      <c r="AP16">
        <v>13852.459919418501</v>
      </c>
      <c r="AQ16">
        <v>13612.004153164689</v>
      </c>
      <c r="AR16">
        <v>13372.343152495454</v>
      </c>
      <c r="AS16">
        <v>13184.464216997041</v>
      </c>
      <c r="AT16">
        <v>12273.6595622078</v>
      </c>
      <c r="AU16">
        <v>12007.747898680134</v>
      </c>
      <c r="AV16">
        <v>11690.315833308274</v>
      </c>
      <c r="AW16">
        <v>11460.107363916613</v>
      </c>
      <c r="AX16">
        <v>11211.083712870191</v>
      </c>
      <c r="AY16">
        <v>10884.34062396938</v>
      </c>
      <c r="AZ16">
        <v>10485.927993758663</v>
      </c>
      <c r="BA16">
        <v>10045.264448709593</v>
      </c>
      <c r="BB16">
        <v>9570.7521109687659</v>
      </c>
      <c r="BC16">
        <v>9061.3148891745495</v>
      </c>
      <c r="BD16">
        <v>7769.9525537969394</v>
      </c>
      <c r="BE16">
        <v>7255.520131033365</v>
      </c>
      <c r="BF16">
        <v>6734.8130434924324</v>
      </c>
      <c r="BG16">
        <v>6385.6464803999861</v>
      </c>
      <c r="BH16">
        <v>6038.2720595762421</v>
      </c>
      <c r="BI16">
        <v>5634.5718225124301</v>
      </c>
      <c r="BJ16">
        <v>5189.9393293137891</v>
      </c>
      <c r="BK16">
        <v>4836.3525054007914</v>
      </c>
      <c r="BL16">
        <v>4505.9449134236584</v>
      </c>
      <c r="BM16">
        <v>4277.0337387104446</v>
      </c>
      <c r="BN16">
        <v>4037.2862101381447</v>
      </c>
    </row>
    <row r="17" spans="1:66" x14ac:dyDescent="0.25">
      <c r="A17" t="s">
        <v>203</v>
      </c>
      <c r="B17" t="s">
        <v>527</v>
      </c>
      <c r="C17" t="s">
        <v>528</v>
      </c>
      <c r="D17" t="s">
        <v>523</v>
      </c>
      <c r="E17" t="s">
        <v>521</v>
      </c>
      <c r="F17">
        <v>3429.1023206090149</v>
      </c>
      <c r="G17">
        <v>3582.0933132143959</v>
      </c>
      <c r="H17">
        <v>3230.4006797977117</v>
      </c>
      <c r="I17">
        <v>3072.4080540294026</v>
      </c>
      <c r="J17">
        <v>2943.5832063652938</v>
      </c>
      <c r="K17">
        <v>3036.6428253355557</v>
      </c>
      <c r="L17">
        <v>3231.1178764295346</v>
      </c>
      <c r="M17">
        <v>3121.0509253025539</v>
      </c>
      <c r="N17">
        <v>3108.4252054479571</v>
      </c>
      <c r="O17">
        <v>3287.2502963250704</v>
      </c>
      <c r="P17">
        <v>3324.3535917273935</v>
      </c>
      <c r="Q17">
        <v>3441.9326499549325</v>
      </c>
      <c r="R17">
        <v>3562.3255597822995</v>
      </c>
      <c r="S17">
        <v>3798.3629146741546</v>
      </c>
      <c r="T17">
        <v>3833.9993752516589</v>
      </c>
      <c r="U17">
        <v>3949.7863117346769</v>
      </c>
      <c r="V17">
        <v>4067.1636114352182</v>
      </c>
      <c r="W17">
        <v>4324.6641433976283</v>
      </c>
      <c r="X17">
        <v>4207.5754142911601</v>
      </c>
      <c r="Y17">
        <v>4156.3376144420381</v>
      </c>
      <c r="Z17">
        <v>4471.2064224286651</v>
      </c>
      <c r="AA17">
        <v>4511.1732699008671</v>
      </c>
      <c r="AB17">
        <v>4584.743425822363</v>
      </c>
      <c r="AC17">
        <v>4716.1203271304976</v>
      </c>
      <c r="AD17">
        <v>4887.0741014170871</v>
      </c>
      <c r="AE17">
        <v>5014.426570819578</v>
      </c>
      <c r="AF17">
        <v>4761.4486978313562</v>
      </c>
      <c r="AG17">
        <v>4803.9943473754338</v>
      </c>
      <c r="AH17">
        <v>4679.6792337008401</v>
      </c>
      <c r="AI17">
        <v>4713.1761267541115</v>
      </c>
      <c r="AJ17">
        <v>4482.2708369643005</v>
      </c>
      <c r="AK17">
        <v>4684.6924221093341</v>
      </c>
      <c r="AL17">
        <v>4615.5306846943822</v>
      </c>
      <c r="AM17">
        <v>4527.0774901879577</v>
      </c>
      <c r="AN17">
        <v>4561.4447140260781</v>
      </c>
      <c r="AO17">
        <v>4531.5830099871318</v>
      </c>
      <c r="AP17">
        <v>4520.2431432731046</v>
      </c>
      <c r="AQ17">
        <v>4475.9232009926691</v>
      </c>
      <c r="AR17">
        <v>4437.3438495564887</v>
      </c>
      <c r="AS17">
        <v>4418.4714579346737</v>
      </c>
      <c r="AT17">
        <v>4189.6175136617467</v>
      </c>
      <c r="AU17">
        <v>4152.7025661890148</v>
      </c>
      <c r="AV17">
        <v>4118.1638381475095</v>
      </c>
      <c r="AW17">
        <v>4074.2373670370248</v>
      </c>
      <c r="AX17">
        <v>4037.0588209614434</v>
      </c>
      <c r="AY17">
        <v>4032.1997556739379</v>
      </c>
      <c r="AZ17">
        <v>3995.9161703264608</v>
      </c>
      <c r="BA17">
        <v>3975.3458681184584</v>
      </c>
      <c r="BB17">
        <v>3956.6216979861979</v>
      </c>
      <c r="BC17">
        <v>3939.8745394675066</v>
      </c>
      <c r="BD17">
        <v>3868.9310985478323</v>
      </c>
      <c r="BE17">
        <v>3857.8291521529131</v>
      </c>
      <c r="BF17">
        <v>3849.1543209366041</v>
      </c>
      <c r="BG17">
        <v>3844.9585287107939</v>
      </c>
      <c r="BH17">
        <v>3843.2882370622556</v>
      </c>
      <c r="BI17">
        <v>3843.9088929607183</v>
      </c>
      <c r="BJ17">
        <v>3847.400115947531</v>
      </c>
      <c r="BK17">
        <v>3853.83891593199</v>
      </c>
      <c r="BL17">
        <v>3862.0590012565413</v>
      </c>
      <c r="BM17">
        <v>3871.3081527366885</v>
      </c>
      <c r="BN17">
        <v>3883.1322715546034</v>
      </c>
    </row>
    <row r="18" spans="1:66" x14ac:dyDescent="0.25">
      <c r="A18" t="s">
        <v>203</v>
      </c>
      <c r="B18" t="s">
        <v>527</v>
      </c>
      <c r="C18" t="s">
        <v>528</v>
      </c>
      <c r="D18" t="s">
        <v>524</v>
      </c>
      <c r="E18" t="s">
        <v>521</v>
      </c>
      <c r="F18">
        <v>1816.6596733237263</v>
      </c>
      <c r="G18">
        <v>1893.7218802684215</v>
      </c>
      <c r="H18">
        <v>1971.3222733100288</v>
      </c>
      <c r="I18">
        <v>2049.4503492491226</v>
      </c>
      <c r="J18">
        <v>1947.5325263313807</v>
      </c>
      <c r="K18">
        <v>2023.8252549837712</v>
      </c>
      <c r="L18">
        <v>2102.1656796823004</v>
      </c>
      <c r="M18">
        <v>2125.7547716447093</v>
      </c>
      <c r="N18">
        <v>2086.8629737313777</v>
      </c>
      <c r="O18">
        <v>2084.0346339247499</v>
      </c>
      <c r="P18">
        <v>2103.6901401299438</v>
      </c>
      <c r="Q18">
        <v>2134.2537068539705</v>
      </c>
      <c r="R18">
        <v>2173.5947283527944</v>
      </c>
      <c r="S18">
        <v>2101.4028129686244</v>
      </c>
      <c r="T18">
        <v>2124.9026062551302</v>
      </c>
      <c r="U18">
        <v>2134.5667014321762</v>
      </c>
      <c r="V18">
        <v>1957.2003317893241</v>
      </c>
      <c r="W18">
        <v>1922.5694677164029</v>
      </c>
      <c r="X18">
        <v>1846.56179242198</v>
      </c>
      <c r="Y18">
        <v>1723.3205496528278</v>
      </c>
      <c r="Z18">
        <v>1665.7456629024559</v>
      </c>
      <c r="AA18">
        <v>1519.6605558608351</v>
      </c>
      <c r="AB18">
        <v>1410.5413176396301</v>
      </c>
      <c r="AC18">
        <v>1359.9084848190901</v>
      </c>
      <c r="AD18">
        <v>1314.1708670740722</v>
      </c>
      <c r="AE18">
        <v>1275.9271345153275</v>
      </c>
      <c r="AF18">
        <v>1246.0586846922251</v>
      </c>
      <c r="AG18">
        <v>1214.8602401561525</v>
      </c>
      <c r="AH18">
        <v>1156.3598029499428</v>
      </c>
      <c r="AI18">
        <v>1114.3950725962225</v>
      </c>
      <c r="AJ18">
        <v>1075.3643344180375</v>
      </c>
      <c r="AK18">
        <v>1058.4109684228663</v>
      </c>
      <c r="AL18">
        <v>1033.212300658286</v>
      </c>
      <c r="AM18">
        <v>996.3164129459052</v>
      </c>
      <c r="AN18">
        <v>960.78960512158892</v>
      </c>
      <c r="AO18">
        <v>925.04832155596773</v>
      </c>
      <c r="AP18">
        <v>889.02457419959956</v>
      </c>
      <c r="AQ18">
        <v>853.30502435548965</v>
      </c>
      <c r="AR18">
        <v>818.06085119369118</v>
      </c>
      <c r="AS18">
        <v>783.33888514538035</v>
      </c>
      <c r="AT18">
        <v>749.00661600423484</v>
      </c>
      <c r="AU18">
        <v>713.12299893040836</v>
      </c>
      <c r="AV18">
        <v>681.75265381906581</v>
      </c>
      <c r="AW18">
        <v>653.07251772298503</v>
      </c>
      <c r="AX18">
        <v>626.11264777642305</v>
      </c>
      <c r="AY18">
        <v>600.52316314937514</v>
      </c>
      <c r="AZ18">
        <v>575.86587763045134</v>
      </c>
      <c r="BA18">
        <v>552.05563434795374</v>
      </c>
      <c r="BB18">
        <v>529.03379695458602</v>
      </c>
      <c r="BC18">
        <v>506.69177205864327</v>
      </c>
      <c r="BD18">
        <v>485.08300206828466</v>
      </c>
      <c r="BE18">
        <v>465.02988086753226</v>
      </c>
      <c r="BF18">
        <v>445.48055289878113</v>
      </c>
      <c r="BG18">
        <v>426.42962227669557</v>
      </c>
      <c r="BH18">
        <v>407.82667776884568</v>
      </c>
      <c r="BI18">
        <v>389.73655503451369</v>
      </c>
      <c r="BJ18">
        <v>372.05944067249334</v>
      </c>
      <c r="BK18">
        <v>354.75156639017149</v>
      </c>
      <c r="BL18">
        <v>337.84939136662678</v>
      </c>
      <c r="BM18">
        <v>321.36782763857866</v>
      </c>
      <c r="BN18">
        <v>305.31110019557548</v>
      </c>
    </row>
    <row r="19" spans="1:66" x14ac:dyDescent="0.25">
      <c r="A19" t="s">
        <v>203</v>
      </c>
      <c r="B19" t="s">
        <v>527</v>
      </c>
      <c r="C19" t="s">
        <v>528</v>
      </c>
      <c r="D19" t="s">
        <v>525</v>
      </c>
      <c r="E19" t="s">
        <v>521</v>
      </c>
      <c r="F19">
        <v>29012.897398845394</v>
      </c>
      <c r="G19">
        <v>29733.023075344903</v>
      </c>
      <c r="H19">
        <v>31320.108193971439</v>
      </c>
      <c r="I19">
        <v>30769.917679558341</v>
      </c>
      <c r="J19">
        <v>30855.464305886358</v>
      </c>
      <c r="K19">
        <v>30807.15278760434</v>
      </c>
      <c r="L19">
        <v>32676.98144102552</v>
      </c>
      <c r="M19">
        <v>34628.447074801872</v>
      </c>
      <c r="N19">
        <v>32996.622945367468</v>
      </c>
      <c r="O19">
        <v>34535.956774742503</v>
      </c>
      <c r="P19">
        <v>35323.941097221861</v>
      </c>
      <c r="Q19">
        <v>37491.528269252616</v>
      </c>
      <c r="R19">
        <v>37597.790313188299</v>
      </c>
      <c r="S19">
        <v>39187.525100695137</v>
      </c>
      <c r="T19">
        <v>38883.963267331026</v>
      </c>
      <c r="U19">
        <v>40602.92604799055</v>
      </c>
      <c r="V19">
        <v>40941.03411633549</v>
      </c>
      <c r="W19">
        <v>39756.054114169223</v>
      </c>
      <c r="X19">
        <v>40704.644922956213</v>
      </c>
      <c r="Y19">
        <v>37851.584943027628</v>
      </c>
      <c r="Z19">
        <v>38258.189555380639</v>
      </c>
      <c r="AA19">
        <v>37476.742760931345</v>
      </c>
      <c r="AB19">
        <v>38822.24438135275</v>
      </c>
      <c r="AC19">
        <v>38042.386442328796</v>
      </c>
      <c r="AD19">
        <v>38239.490669053106</v>
      </c>
      <c r="AE19">
        <v>38574.2154058343</v>
      </c>
      <c r="AF19">
        <v>36887.73781690115</v>
      </c>
      <c r="AG19">
        <v>38354.032701478282</v>
      </c>
      <c r="AH19">
        <v>38244.89921952338</v>
      </c>
      <c r="AI19">
        <v>39634.847827478443</v>
      </c>
      <c r="AJ19">
        <v>36911.614290734949</v>
      </c>
      <c r="AK19">
        <v>38466.436975017779</v>
      </c>
      <c r="AL19">
        <v>37759.908335461092</v>
      </c>
      <c r="AM19">
        <v>36774.391749126902</v>
      </c>
      <c r="AN19">
        <v>35613.664645981939</v>
      </c>
      <c r="AO19">
        <v>34544.237531608254</v>
      </c>
      <c r="AP19">
        <v>34005.645184696397</v>
      </c>
      <c r="AQ19">
        <v>33389.193780975183</v>
      </c>
      <c r="AR19">
        <v>32661.749512637278</v>
      </c>
      <c r="AS19">
        <v>31884.284699983305</v>
      </c>
      <c r="AT19">
        <v>30060.14276451862</v>
      </c>
      <c r="AU19">
        <v>28932.562833278669</v>
      </c>
      <c r="AV19">
        <v>27743.067298302223</v>
      </c>
      <c r="AW19">
        <v>26606.233838252152</v>
      </c>
      <c r="AX19">
        <v>25506.602802874662</v>
      </c>
      <c r="AY19">
        <v>24313.870226836443</v>
      </c>
      <c r="AZ19">
        <v>23089.494191366139</v>
      </c>
      <c r="BA19">
        <v>21821.400015272367</v>
      </c>
      <c r="BB19">
        <v>20616.696720318552</v>
      </c>
      <c r="BC19">
        <v>19452.40976976942</v>
      </c>
      <c r="BD19">
        <v>17437.655905132771</v>
      </c>
      <c r="BE19">
        <v>16376.547042010257</v>
      </c>
      <c r="BF19">
        <v>15319.053840433871</v>
      </c>
      <c r="BG19">
        <v>14496.860675792695</v>
      </c>
      <c r="BH19">
        <v>13641.882633335566</v>
      </c>
      <c r="BI19">
        <v>12757.916614048741</v>
      </c>
      <c r="BJ19">
        <v>12001.767946489204</v>
      </c>
      <c r="BK19">
        <v>11276.664336107337</v>
      </c>
      <c r="BL19">
        <v>10616.178695684886</v>
      </c>
      <c r="BM19">
        <v>10145.699807990819</v>
      </c>
      <c r="BN19">
        <v>9703.9805626776215</v>
      </c>
    </row>
    <row r="20" spans="1:66" x14ac:dyDescent="0.25">
      <c r="A20" t="s">
        <v>204</v>
      </c>
      <c r="B20" t="s">
        <v>527</v>
      </c>
      <c r="C20" t="s">
        <v>529</v>
      </c>
      <c r="D20" t="s">
        <v>518</v>
      </c>
      <c r="E20" t="s">
        <v>519</v>
      </c>
      <c r="F20">
        <v>0</v>
      </c>
      <c r="G20">
        <v>0</v>
      </c>
      <c r="H20">
        <v>0</v>
      </c>
      <c r="I20">
        <v>0</v>
      </c>
      <c r="J20">
        <v>0</v>
      </c>
      <c r="K20">
        <v>0</v>
      </c>
      <c r="L20">
        <v>0</v>
      </c>
      <c r="M20">
        <v>0</v>
      </c>
      <c r="N20">
        <v>0</v>
      </c>
      <c r="O20">
        <v>0</v>
      </c>
      <c r="P20">
        <v>0</v>
      </c>
      <c r="Q20">
        <v>0</v>
      </c>
      <c r="R20">
        <v>0</v>
      </c>
      <c r="S20">
        <v>0</v>
      </c>
      <c r="T20">
        <v>0</v>
      </c>
      <c r="U20">
        <v>0</v>
      </c>
      <c r="V20">
        <v>0</v>
      </c>
      <c r="W20">
        <v>0</v>
      </c>
      <c r="X20">
        <v>0</v>
      </c>
      <c r="Y20">
        <v>0</v>
      </c>
      <c r="Z20">
        <v>11.416538041464802</v>
      </c>
      <c r="AA20">
        <v>8.7327708333333316</v>
      </c>
      <c r="AB20">
        <v>2.2770791666666668</v>
      </c>
      <c r="AC20">
        <v>1.3566666666666667</v>
      </c>
      <c r="AD20">
        <v>1.9666666666666663</v>
      </c>
      <c r="AE20">
        <v>4.4622309027777769</v>
      </c>
      <c r="AF20">
        <v>7.7698003472222208</v>
      </c>
      <c r="AG20">
        <v>11.941235920833332</v>
      </c>
      <c r="AH20">
        <v>18.817684762500001</v>
      </c>
      <c r="AI20">
        <v>24.5</v>
      </c>
      <c r="AJ20">
        <v>30</v>
      </c>
      <c r="AK20">
        <v>46.305643178011259</v>
      </c>
      <c r="AL20">
        <v>69.696559398715706</v>
      </c>
      <c r="AM20">
        <v>150</v>
      </c>
      <c r="AN20">
        <v>154.5</v>
      </c>
      <c r="AO20">
        <v>159.13499999999999</v>
      </c>
      <c r="AP20">
        <v>163.90905000000001</v>
      </c>
      <c r="AQ20">
        <v>168.82632150000001</v>
      </c>
      <c r="AR20">
        <v>173.891111145</v>
      </c>
      <c r="AS20">
        <v>179.10784447935001</v>
      </c>
      <c r="AT20">
        <v>184.4810798137305</v>
      </c>
      <c r="AU20">
        <v>190.01551220814241</v>
      </c>
      <c r="AV20">
        <v>195.7159775743867</v>
      </c>
      <c r="AW20">
        <v>201.58745690161831</v>
      </c>
      <c r="AX20">
        <v>207.63508060866687</v>
      </c>
      <c r="AY20">
        <v>213.86413302692688</v>
      </c>
      <c r="AZ20">
        <v>220.28005701773469</v>
      </c>
      <c r="BA20">
        <v>226.88845872826673</v>
      </c>
      <c r="BB20">
        <v>233.69511249011472</v>
      </c>
      <c r="BC20">
        <v>240.70596586481818</v>
      </c>
      <c r="BD20">
        <v>247.92714484076274</v>
      </c>
      <c r="BE20">
        <v>255.36495918598561</v>
      </c>
      <c r="BF20">
        <v>263.02590796156517</v>
      </c>
      <c r="BG20">
        <v>270.91668520041213</v>
      </c>
      <c r="BH20">
        <v>279.0441857564245</v>
      </c>
      <c r="BI20">
        <v>287.41551132911724</v>
      </c>
      <c r="BJ20">
        <v>296.03797666899078</v>
      </c>
      <c r="BK20">
        <v>304.9191159690605</v>
      </c>
      <c r="BL20">
        <v>314.06668944813231</v>
      </c>
      <c r="BM20">
        <v>323.48869013157628</v>
      </c>
      <c r="BN20">
        <v>333.19335083552357</v>
      </c>
    </row>
    <row r="21" spans="1:66" x14ac:dyDescent="0.25">
      <c r="A21" t="s">
        <v>204</v>
      </c>
      <c r="B21" t="s">
        <v>527</v>
      </c>
      <c r="C21" t="s">
        <v>529</v>
      </c>
      <c r="D21" t="s">
        <v>520</v>
      </c>
      <c r="E21" t="s">
        <v>521</v>
      </c>
      <c r="F21">
        <v>8126.1945618773643</v>
      </c>
      <c r="G21">
        <v>8106.661121873205</v>
      </c>
      <c r="H21">
        <v>8469.9964545997555</v>
      </c>
      <c r="I21">
        <v>8922.6885824844103</v>
      </c>
      <c r="J21">
        <v>9583.8002483498967</v>
      </c>
      <c r="K21">
        <v>10247.564720783123</v>
      </c>
      <c r="L21">
        <v>10378.724398951666</v>
      </c>
      <c r="M21">
        <v>10605.333888617772</v>
      </c>
      <c r="N21">
        <v>10810.458340752642</v>
      </c>
      <c r="O21">
        <v>11096.605458727845</v>
      </c>
      <c r="P21">
        <v>11648.310343290637</v>
      </c>
      <c r="Q21">
        <v>11705.871223077451</v>
      </c>
      <c r="R21">
        <v>12162.021231248526</v>
      </c>
      <c r="S21">
        <v>12697.797549640931</v>
      </c>
      <c r="T21">
        <v>12992.367162928625</v>
      </c>
      <c r="U21">
        <v>13063.440862686894</v>
      </c>
      <c r="V21">
        <v>13182.198504199005</v>
      </c>
      <c r="W21">
        <v>13284.806809600492</v>
      </c>
      <c r="X21">
        <v>13293.959706338926</v>
      </c>
      <c r="Y21">
        <v>13101.086214174264</v>
      </c>
      <c r="Z21">
        <v>13348.937535477718</v>
      </c>
      <c r="AA21">
        <v>13331.827621000642</v>
      </c>
      <c r="AB21">
        <v>13006.487718579234</v>
      </c>
      <c r="AC21">
        <v>13081.360160828839</v>
      </c>
      <c r="AD21">
        <v>13339.646613066796</v>
      </c>
      <c r="AE21">
        <v>13805.025309105527</v>
      </c>
      <c r="AF21">
        <v>13906.520809611657</v>
      </c>
      <c r="AG21">
        <v>14803.702978914342</v>
      </c>
      <c r="AH21">
        <v>15126.124771992951</v>
      </c>
      <c r="AI21">
        <v>14654.704680232724</v>
      </c>
      <c r="AJ21">
        <v>13175.66592208733</v>
      </c>
      <c r="AK21">
        <v>14392.458510567654</v>
      </c>
      <c r="AL21">
        <v>15135.987806022233</v>
      </c>
      <c r="AM21">
        <v>15264.373513942353</v>
      </c>
      <c r="AN21">
        <v>15140.64708259856</v>
      </c>
      <c r="AO21">
        <v>14974.843299845392</v>
      </c>
      <c r="AP21">
        <v>14711.93504002838</v>
      </c>
      <c r="AQ21">
        <v>14384.18931877694</v>
      </c>
      <c r="AR21">
        <v>13949.018462995977</v>
      </c>
      <c r="AS21">
        <v>13355.186682138048</v>
      </c>
      <c r="AT21">
        <v>12695.755769082913</v>
      </c>
      <c r="AU21">
        <v>11885.774369489434</v>
      </c>
      <c r="AV21">
        <v>11068.734473064796</v>
      </c>
      <c r="AW21">
        <v>10223.342350810923</v>
      </c>
      <c r="AX21">
        <v>9365.2647559002144</v>
      </c>
      <c r="AY21">
        <v>8554.7359293248683</v>
      </c>
      <c r="AZ21">
        <v>7779.9778617629381</v>
      </c>
      <c r="BA21">
        <v>6982.2480684314851</v>
      </c>
      <c r="BB21">
        <v>6410.6247208132099</v>
      </c>
      <c r="BC21">
        <v>5723.7907516103687</v>
      </c>
      <c r="BD21">
        <v>5132.6421946599794</v>
      </c>
      <c r="BE21">
        <v>4580.6503306623945</v>
      </c>
      <c r="BF21">
        <v>4125.0632687538282</v>
      </c>
      <c r="BG21">
        <v>3651.3440992404499</v>
      </c>
      <c r="BH21">
        <v>3181.7436801000572</v>
      </c>
      <c r="BI21">
        <v>2805.7291963881262</v>
      </c>
      <c r="BJ21">
        <v>2431.3321836133568</v>
      </c>
      <c r="BK21">
        <v>2128.4498253697366</v>
      </c>
      <c r="BL21">
        <v>1861.0918867470866</v>
      </c>
      <c r="BM21">
        <v>1600.899985745717</v>
      </c>
      <c r="BN21">
        <v>1391.4324350887177</v>
      </c>
    </row>
    <row r="22" spans="1:66" x14ac:dyDescent="0.25">
      <c r="A22" t="s">
        <v>204</v>
      </c>
      <c r="B22" t="s">
        <v>527</v>
      </c>
      <c r="C22" t="s">
        <v>529</v>
      </c>
      <c r="D22" t="s">
        <v>522</v>
      </c>
      <c r="E22" t="s">
        <v>521</v>
      </c>
      <c r="F22">
        <v>15640.940843035291</v>
      </c>
      <c r="G22">
        <v>16150.546759988883</v>
      </c>
      <c r="H22">
        <v>17648.388786263939</v>
      </c>
      <c r="I22">
        <v>16725.370693795405</v>
      </c>
      <c r="J22">
        <v>16380.548324839787</v>
      </c>
      <c r="K22">
        <v>15499.119986501893</v>
      </c>
      <c r="L22">
        <v>16964.973485962018</v>
      </c>
      <c r="M22">
        <v>18776.307489236842</v>
      </c>
      <c r="N22">
        <v>16990.87642543549</v>
      </c>
      <c r="O22">
        <v>18068.06638576484</v>
      </c>
      <c r="P22">
        <v>18247.587022073894</v>
      </c>
      <c r="Q22">
        <v>20209.470689366266</v>
      </c>
      <c r="R22">
        <v>19699.848793804682</v>
      </c>
      <c r="S22">
        <v>20589.961823411428</v>
      </c>
      <c r="T22">
        <v>19932.694122895617</v>
      </c>
      <c r="U22">
        <v>21455.132172136808</v>
      </c>
      <c r="V22">
        <v>21734.471668911941</v>
      </c>
      <c r="W22">
        <v>20224.013693454704</v>
      </c>
      <c r="X22">
        <v>21356.548009904149</v>
      </c>
      <c r="Y22">
        <v>18870.840564758502</v>
      </c>
      <c r="Z22">
        <v>18772.299934571802</v>
      </c>
      <c r="AA22">
        <v>18114.081314169005</v>
      </c>
      <c r="AB22">
        <v>19820.47191931152</v>
      </c>
      <c r="AC22">
        <v>18884.997469550366</v>
      </c>
      <c r="AD22">
        <v>18698.599087495157</v>
      </c>
      <c r="AE22">
        <v>18478.836391393874</v>
      </c>
      <c r="AF22">
        <v>16973.70962476591</v>
      </c>
      <c r="AG22">
        <v>17531.475135032353</v>
      </c>
      <c r="AH22">
        <v>17282.73541087965</v>
      </c>
      <c r="AI22">
        <v>19152.571947895391</v>
      </c>
      <c r="AJ22">
        <v>18178.313197265285</v>
      </c>
      <c r="AK22">
        <v>18330.87507391792</v>
      </c>
      <c r="AL22">
        <v>16925.167202303164</v>
      </c>
      <c r="AM22">
        <v>15839.628351918853</v>
      </c>
      <c r="AN22">
        <v>14498.460437944157</v>
      </c>
      <c r="AO22">
        <v>13481.798913014381</v>
      </c>
      <c r="AP22">
        <v>13117.717422970101</v>
      </c>
      <c r="AQ22">
        <v>12667.995553206922</v>
      </c>
      <c r="AR22">
        <v>12246.631593023798</v>
      </c>
      <c r="AS22">
        <v>11949.413230469812</v>
      </c>
      <c r="AT22">
        <v>10922.197866996241</v>
      </c>
      <c r="AU22">
        <v>10620.147426504709</v>
      </c>
      <c r="AV22">
        <v>10242.264707590351</v>
      </c>
      <c r="AW22">
        <v>9929.2547999883955</v>
      </c>
      <c r="AX22">
        <v>9601.4795560649709</v>
      </c>
      <c r="AY22">
        <v>9273.5912969450073</v>
      </c>
      <c r="AZ22">
        <v>8916.7007462646434</v>
      </c>
      <c r="BA22">
        <v>8545.4765931050424</v>
      </c>
      <c r="BB22">
        <v>8132.8336120953118</v>
      </c>
      <c r="BC22">
        <v>7697.6745681365692</v>
      </c>
      <c r="BD22">
        <v>6527.0244325405438</v>
      </c>
      <c r="BE22">
        <v>6178.4438748816638</v>
      </c>
      <c r="BF22">
        <v>5800.7006932507174</v>
      </c>
      <c r="BG22">
        <v>5502.0483205732216</v>
      </c>
      <c r="BH22">
        <v>5184.7250270680588</v>
      </c>
      <c r="BI22">
        <v>4747.1850082944729</v>
      </c>
      <c r="BJ22">
        <v>4344.74494474311</v>
      </c>
      <c r="BK22">
        <v>3958.8019141292625</v>
      </c>
      <c r="BL22">
        <v>3545.356293316107</v>
      </c>
      <c r="BM22">
        <v>3261.3072642763545</v>
      </c>
      <c r="BN22">
        <v>3054.1186629005119</v>
      </c>
    </row>
    <row r="23" spans="1:66" x14ac:dyDescent="0.25">
      <c r="A23" t="s">
        <v>204</v>
      </c>
      <c r="B23" t="s">
        <v>527</v>
      </c>
      <c r="C23" t="s">
        <v>529</v>
      </c>
      <c r="D23" t="s">
        <v>523</v>
      </c>
      <c r="E23" t="s">
        <v>521</v>
      </c>
      <c r="F23">
        <v>3429.1023206090149</v>
      </c>
      <c r="G23">
        <v>3582.0933132143959</v>
      </c>
      <c r="H23">
        <v>3230.4006797977117</v>
      </c>
      <c r="I23">
        <v>3072.4080540294026</v>
      </c>
      <c r="J23">
        <v>2943.5832063652938</v>
      </c>
      <c r="K23">
        <v>3036.6428253355557</v>
      </c>
      <c r="L23">
        <v>3231.1178764295346</v>
      </c>
      <c r="M23">
        <v>3121.0509253025539</v>
      </c>
      <c r="N23">
        <v>3108.4252054479571</v>
      </c>
      <c r="O23">
        <v>3287.2502963250704</v>
      </c>
      <c r="P23">
        <v>3324.3535917273935</v>
      </c>
      <c r="Q23">
        <v>3441.9326499549325</v>
      </c>
      <c r="R23">
        <v>3562.3255597822995</v>
      </c>
      <c r="S23">
        <v>3798.3629146741546</v>
      </c>
      <c r="T23">
        <v>3833.9993752516589</v>
      </c>
      <c r="U23">
        <v>3949.7863117346769</v>
      </c>
      <c r="V23">
        <v>4067.1636114352182</v>
      </c>
      <c r="W23">
        <v>4324.6641433976283</v>
      </c>
      <c r="X23">
        <v>4207.5754142911601</v>
      </c>
      <c r="Y23">
        <v>4156.3376144420381</v>
      </c>
      <c r="Z23">
        <v>4471.2064224286651</v>
      </c>
      <c r="AA23">
        <v>4511.1732699008671</v>
      </c>
      <c r="AB23">
        <v>4584.743425822363</v>
      </c>
      <c r="AC23">
        <v>4716.1203271304976</v>
      </c>
      <c r="AD23">
        <v>4887.0741014170871</v>
      </c>
      <c r="AE23">
        <v>5014.426570819578</v>
      </c>
      <c r="AF23">
        <v>4761.4486978313562</v>
      </c>
      <c r="AG23">
        <v>4803.9943473754338</v>
      </c>
      <c r="AH23">
        <v>4679.6792337008401</v>
      </c>
      <c r="AI23">
        <v>4713.1761267541115</v>
      </c>
      <c r="AJ23">
        <v>4482.2708369643005</v>
      </c>
      <c r="AK23">
        <v>4684.6924221093341</v>
      </c>
      <c r="AL23">
        <v>4615.5306846943822</v>
      </c>
      <c r="AM23">
        <v>4527.0774901879577</v>
      </c>
      <c r="AN23">
        <v>4561.4447140260781</v>
      </c>
      <c r="AO23">
        <v>4531.5830099871328</v>
      </c>
      <c r="AP23">
        <v>4520.2431432731055</v>
      </c>
      <c r="AQ23">
        <v>4475.9232009926691</v>
      </c>
      <c r="AR23">
        <v>4437.3438495564887</v>
      </c>
      <c r="AS23">
        <v>4418.4714579346737</v>
      </c>
      <c r="AT23">
        <v>4189.6175136617458</v>
      </c>
      <c r="AU23">
        <v>4152.7025661890148</v>
      </c>
      <c r="AV23">
        <v>4118.1638381475086</v>
      </c>
      <c r="AW23">
        <v>4074.2373670370253</v>
      </c>
      <c r="AX23">
        <v>4037.0588209614434</v>
      </c>
      <c r="AY23">
        <v>4032.1997556739379</v>
      </c>
      <c r="AZ23">
        <v>3995.9161703264613</v>
      </c>
      <c r="BA23">
        <v>3975.3458681184584</v>
      </c>
      <c r="BB23">
        <v>3956.6216979861983</v>
      </c>
      <c r="BC23">
        <v>3939.8745394675066</v>
      </c>
      <c r="BD23">
        <v>3868.9310985478314</v>
      </c>
      <c r="BE23">
        <v>3857.8291521529131</v>
      </c>
      <c r="BF23">
        <v>3849.1543209366041</v>
      </c>
      <c r="BG23">
        <v>3844.9585287107934</v>
      </c>
      <c r="BH23">
        <v>3843.2882370622556</v>
      </c>
      <c r="BI23">
        <v>3843.9088929607178</v>
      </c>
      <c r="BJ23">
        <v>3847.400115947531</v>
      </c>
      <c r="BK23">
        <v>3853.8389159319895</v>
      </c>
      <c r="BL23">
        <v>3862.0590012565413</v>
      </c>
      <c r="BM23">
        <v>3871.308152736688</v>
      </c>
      <c r="BN23">
        <v>3883.1322715546034</v>
      </c>
    </row>
    <row r="24" spans="1:66" x14ac:dyDescent="0.25">
      <c r="A24" t="s">
        <v>204</v>
      </c>
      <c r="B24" t="s">
        <v>527</v>
      </c>
      <c r="C24" t="s">
        <v>529</v>
      </c>
      <c r="D24" t="s">
        <v>524</v>
      </c>
      <c r="E24" t="s">
        <v>521</v>
      </c>
      <c r="F24">
        <v>1816.6596733237263</v>
      </c>
      <c r="G24">
        <v>1893.7218802684215</v>
      </c>
      <c r="H24">
        <v>1971.3222733100288</v>
      </c>
      <c r="I24">
        <v>2049.4503492491226</v>
      </c>
      <c r="J24">
        <v>1947.5325263313807</v>
      </c>
      <c r="K24">
        <v>2023.8252549837712</v>
      </c>
      <c r="L24">
        <v>2102.1656796823004</v>
      </c>
      <c r="M24">
        <v>2125.7547716447093</v>
      </c>
      <c r="N24">
        <v>2086.8629737313777</v>
      </c>
      <c r="O24">
        <v>2084.0346339247499</v>
      </c>
      <c r="P24">
        <v>2103.6901401299438</v>
      </c>
      <c r="Q24">
        <v>2134.2537068539705</v>
      </c>
      <c r="R24">
        <v>2173.5947283527944</v>
      </c>
      <c r="S24">
        <v>2101.4028129686244</v>
      </c>
      <c r="T24">
        <v>2124.9026062551302</v>
      </c>
      <c r="U24">
        <v>2134.5667014321762</v>
      </c>
      <c r="V24">
        <v>1957.2003317893241</v>
      </c>
      <c r="W24">
        <v>1922.5694677164029</v>
      </c>
      <c r="X24">
        <v>1846.56179242198</v>
      </c>
      <c r="Y24">
        <v>1723.3205496528278</v>
      </c>
      <c r="Z24">
        <v>1665.7456629024559</v>
      </c>
      <c r="AA24">
        <v>1519.6605558608351</v>
      </c>
      <c r="AB24">
        <v>1410.5413176396301</v>
      </c>
      <c r="AC24">
        <v>1359.9084848190901</v>
      </c>
      <c r="AD24">
        <v>1314.1708670740722</v>
      </c>
      <c r="AE24">
        <v>1275.9271345153275</v>
      </c>
      <c r="AF24">
        <v>1246.0586846922251</v>
      </c>
      <c r="AG24">
        <v>1214.8602401561525</v>
      </c>
      <c r="AH24">
        <v>1156.3598029499428</v>
      </c>
      <c r="AI24">
        <v>1114.3950725962225</v>
      </c>
      <c r="AJ24">
        <v>1075.3643344180375</v>
      </c>
      <c r="AK24">
        <v>1058.4109684228663</v>
      </c>
      <c r="AL24">
        <v>1033.212300658286</v>
      </c>
      <c r="AM24">
        <v>996.3164129459052</v>
      </c>
      <c r="AN24">
        <v>960.78960512158892</v>
      </c>
      <c r="AO24">
        <v>925.04832155596773</v>
      </c>
      <c r="AP24">
        <v>889.02457419959956</v>
      </c>
      <c r="AQ24">
        <v>853.30502435548965</v>
      </c>
      <c r="AR24">
        <v>818.06085119369118</v>
      </c>
      <c r="AS24">
        <v>783.33888514538035</v>
      </c>
      <c r="AT24">
        <v>749.00661600423484</v>
      </c>
      <c r="AU24">
        <v>713.12299893040836</v>
      </c>
      <c r="AV24">
        <v>681.75265381906581</v>
      </c>
      <c r="AW24">
        <v>653.07251772298503</v>
      </c>
      <c r="AX24">
        <v>626.11264777642305</v>
      </c>
      <c r="AY24">
        <v>600.52316314937514</v>
      </c>
      <c r="AZ24">
        <v>575.86587763045134</v>
      </c>
      <c r="BA24">
        <v>552.05563434795374</v>
      </c>
      <c r="BB24">
        <v>529.03379695458602</v>
      </c>
      <c r="BC24">
        <v>506.69177205864327</v>
      </c>
      <c r="BD24">
        <v>485.08300206828466</v>
      </c>
      <c r="BE24">
        <v>465.02988086753226</v>
      </c>
      <c r="BF24">
        <v>445.48055289878113</v>
      </c>
      <c r="BG24">
        <v>426.42962227669557</v>
      </c>
      <c r="BH24">
        <v>407.82667776884568</v>
      </c>
      <c r="BI24">
        <v>389.73655503451369</v>
      </c>
      <c r="BJ24">
        <v>372.05944067249334</v>
      </c>
      <c r="BK24">
        <v>354.75156639017149</v>
      </c>
      <c r="BL24">
        <v>337.84939136662678</v>
      </c>
      <c r="BM24">
        <v>321.36782763857866</v>
      </c>
      <c r="BN24">
        <v>305.31110019557548</v>
      </c>
    </row>
    <row r="25" spans="1:66" x14ac:dyDescent="0.25">
      <c r="A25" t="s">
        <v>204</v>
      </c>
      <c r="B25" t="s">
        <v>527</v>
      </c>
      <c r="C25" t="s">
        <v>529</v>
      </c>
      <c r="D25" t="s">
        <v>525</v>
      </c>
      <c r="E25" t="s">
        <v>521</v>
      </c>
      <c r="F25">
        <v>29012.897398845394</v>
      </c>
      <c r="G25">
        <v>29733.023075344903</v>
      </c>
      <c r="H25">
        <v>31320.108193971439</v>
      </c>
      <c r="I25">
        <v>30769.917679558341</v>
      </c>
      <c r="J25">
        <v>30855.464305886358</v>
      </c>
      <c r="K25">
        <v>30807.15278760434</v>
      </c>
      <c r="L25">
        <v>32676.98144102552</v>
      </c>
      <c r="M25">
        <v>34628.447074801872</v>
      </c>
      <c r="N25">
        <v>32996.622945367468</v>
      </c>
      <c r="O25">
        <v>34535.956774742503</v>
      </c>
      <c r="P25">
        <v>35323.941097221861</v>
      </c>
      <c r="Q25">
        <v>37491.528269252616</v>
      </c>
      <c r="R25">
        <v>37597.790313188299</v>
      </c>
      <c r="S25">
        <v>39187.525100695137</v>
      </c>
      <c r="T25">
        <v>38883.963267331026</v>
      </c>
      <c r="U25">
        <v>40602.92604799055</v>
      </c>
      <c r="V25">
        <v>40941.03411633549</v>
      </c>
      <c r="W25">
        <v>39756.054114169223</v>
      </c>
      <c r="X25">
        <v>40704.644922956213</v>
      </c>
      <c r="Y25">
        <v>37851.584943027628</v>
      </c>
      <c r="Z25">
        <v>38258.189555380639</v>
      </c>
      <c r="AA25">
        <v>37476.742760931345</v>
      </c>
      <c r="AB25">
        <v>38822.24438135275</v>
      </c>
      <c r="AC25">
        <v>38042.386442328796</v>
      </c>
      <c r="AD25">
        <v>38239.490669053106</v>
      </c>
      <c r="AE25">
        <v>38574.2154058343</v>
      </c>
      <c r="AF25">
        <v>36887.73781690115</v>
      </c>
      <c r="AG25">
        <v>38354.032701478282</v>
      </c>
      <c r="AH25">
        <v>38244.89921952338</v>
      </c>
      <c r="AI25">
        <v>39634.847827478443</v>
      </c>
      <c r="AJ25">
        <v>36911.614290734949</v>
      </c>
      <c r="AK25">
        <v>38466.436975017779</v>
      </c>
      <c r="AL25">
        <v>37709.897993678067</v>
      </c>
      <c r="AM25">
        <v>36627.395768995069</v>
      </c>
      <c r="AN25">
        <v>35161.34183969038</v>
      </c>
      <c r="AO25">
        <v>33913.273544402873</v>
      </c>
      <c r="AP25">
        <v>33238.920180471185</v>
      </c>
      <c r="AQ25">
        <v>32381.413097332021</v>
      </c>
      <c r="AR25">
        <v>31451.054756769954</v>
      </c>
      <c r="AS25">
        <v>30506.410255687915</v>
      </c>
      <c r="AT25">
        <v>28556.577765745133</v>
      </c>
      <c r="AU25">
        <v>27371.747361113568</v>
      </c>
      <c r="AV25">
        <v>26110.915672621722</v>
      </c>
      <c r="AW25">
        <v>24879.907035559325</v>
      </c>
      <c r="AX25">
        <v>23629.915780703053</v>
      </c>
      <c r="AY25">
        <v>22461.050145093184</v>
      </c>
      <c r="AZ25">
        <v>21268.460655984494</v>
      </c>
      <c r="BA25">
        <v>20055.126164002941</v>
      </c>
      <c r="BB25">
        <v>19029.113827849309</v>
      </c>
      <c r="BC25">
        <v>17868.031631273087</v>
      </c>
      <c r="BD25">
        <v>16013.68072781664</v>
      </c>
      <c r="BE25">
        <v>15081.953238564503</v>
      </c>
      <c r="BF25">
        <v>14220.398835839931</v>
      </c>
      <c r="BG25">
        <v>13424.78057080116</v>
      </c>
      <c r="BH25">
        <v>12617.583621999218</v>
      </c>
      <c r="BI25">
        <v>11786.55965267783</v>
      </c>
      <c r="BJ25">
        <v>10995.536684976492</v>
      </c>
      <c r="BK25">
        <v>10295.84222182116</v>
      </c>
      <c r="BL25">
        <v>9606.3565726863617</v>
      </c>
      <c r="BM25">
        <v>9054.8832303973377</v>
      </c>
      <c r="BN25">
        <v>8633.9944697394076</v>
      </c>
    </row>
    <row r="26" spans="1:66" x14ac:dyDescent="0.25">
      <c r="A26" t="s">
        <v>205</v>
      </c>
      <c r="B26" t="s">
        <v>527</v>
      </c>
      <c r="C26" t="s">
        <v>530</v>
      </c>
      <c r="D26" t="s">
        <v>518</v>
      </c>
      <c r="E26" t="s">
        <v>519</v>
      </c>
      <c r="F26">
        <v>0</v>
      </c>
      <c r="G26">
        <v>0</v>
      </c>
      <c r="H26">
        <v>0</v>
      </c>
      <c r="I26">
        <v>0</v>
      </c>
      <c r="J26">
        <v>0</v>
      </c>
      <c r="K26">
        <v>0</v>
      </c>
      <c r="L26">
        <v>0</v>
      </c>
      <c r="M26">
        <v>0</v>
      </c>
      <c r="N26">
        <v>0</v>
      </c>
      <c r="O26">
        <v>0</v>
      </c>
      <c r="P26">
        <v>0</v>
      </c>
      <c r="Q26">
        <v>0</v>
      </c>
      <c r="R26">
        <v>0</v>
      </c>
      <c r="S26">
        <v>0</v>
      </c>
      <c r="T26">
        <v>0</v>
      </c>
      <c r="U26">
        <v>0</v>
      </c>
      <c r="V26">
        <v>0</v>
      </c>
      <c r="W26">
        <v>0</v>
      </c>
      <c r="X26">
        <v>0</v>
      </c>
      <c r="Y26">
        <v>0</v>
      </c>
      <c r="Z26">
        <v>11.416538041464802</v>
      </c>
      <c r="AA26">
        <v>8.7327708333333316</v>
      </c>
      <c r="AB26">
        <v>2.2770791666666668</v>
      </c>
      <c r="AC26">
        <v>1.3566666666666667</v>
      </c>
      <c r="AD26">
        <v>1.9666666666666663</v>
      </c>
      <c r="AE26">
        <v>4.4622309027777769</v>
      </c>
      <c r="AF26">
        <v>7.7698003472222208</v>
      </c>
      <c r="AG26">
        <v>11.941235920833332</v>
      </c>
      <c r="AH26">
        <v>18.817684762500001</v>
      </c>
      <c r="AI26">
        <v>24.5</v>
      </c>
      <c r="AJ26">
        <v>30</v>
      </c>
      <c r="AK26">
        <v>46.305643178011259</v>
      </c>
      <c r="AL26">
        <v>69.696559398715706</v>
      </c>
      <c r="AM26">
        <v>200</v>
      </c>
      <c r="AN26">
        <v>206</v>
      </c>
      <c r="AO26">
        <v>212.18</v>
      </c>
      <c r="AP26">
        <v>218.5454</v>
      </c>
      <c r="AQ26">
        <v>225.10176200000001</v>
      </c>
      <c r="AR26">
        <v>231.85481486</v>
      </c>
      <c r="AS26">
        <v>238.81045930580001</v>
      </c>
      <c r="AT26">
        <v>245.974773084974</v>
      </c>
      <c r="AU26">
        <v>253.35401627752324</v>
      </c>
      <c r="AV26">
        <v>260.95463676584893</v>
      </c>
      <c r="AW26">
        <v>268.78327586882443</v>
      </c>
      <c r="AX26">
        <v>276.8467741448892</v>
      </c>
      <c r="AY26">
        <v>285.15217736923586</v>
      </c>
      <c r="AZ26">
        <v>293.70674269031292</v>
      </c>
      <c r="BA26">
        <v>302.5179449710223</v>
      </c>
      <c r="BB26">
        <v>311.59348332015298</v>
      </c>
      <c r="BC26">
        <v>320.94128781975758</v>
      </c>
      <c r="BD26">
        <v>330.5695264543503</v>
      </c>
      <c r="BE26">
        <v>340.48661224798082</v>
      </c>
      <c r="BF26">
        <v>350.70121061542022</v>
      </c>
      <c r="BG26">
        <v>361.22224693388284</v>
      </c>
      <c r="BH26">
        <v>372.05891434189931</v>
      </c>
      <c r="BI26">
        <v>383.2206817721563</v>
      </c>
      <c r="BJ26">
        <v>394.71730222532102</v>
      </c>
      <c r="BK26">
        <v>406.55882129208067</v>
      </c>
      <c r="BL26">
        <v>418.7555859308431</v>
      </c>
      <c r="BM26">
        <v>431.31825350876841</v>
      </c>
      <c r="BN26">
        <v>444.25780111403145</v>
      </c>
    </row>
    <row r="27" spans="1:66" x14ac:dyDescent="0.25">
      <c r="A27" t="s">
        <v>205</v>
      </c>
      <c r="B27" t="s">
        <v>527</v>
      </c>
      <c r="C27" t="s">
        <v>530</v>
      </c>
      <c r="D27" t="s">
        <v>520</v>
      </c>
      <c r="E27" t="s">
        <v>521</v>
      </c>
      <c r="F27">
        <v>8126.1945618773643</v>
      </c>
      <c r="G27">
        <v>8106.661121873205</v>
      </c>
      <c r="H27">
        <v>8469.9964545997555</v>
      </c>
      <c r="I27">
        <v>8922.6885824844103</v>
      </c>
      <c r="J27">
        <v>9583.8002483498967</v>
      </c>
      <c r="K27">
        <v>10247.564720783123</v>
      </c>
      <c r="L27">
        <v>10378.724398951666</v>
      </c>
      <c r="M27">
        <v>10605.333888617772</v>
      </c>
      <c r="N27">
        <v>10810.458340752642</v>
      </c>
      <c r="O27">
        <v>11096.605458727845</v>
      </c>
      <c r="P27">
        <v>11648.310343290637</v>
      </c>
      <c r="Q27">
        <v>11705.871223077451</v>
      </c>
      <c r="R27">
        <v>12162.021231248526</v>
      </c>
      <c r="S27">
        <v>12697.797549640931</v>
      </c>
      <c r="T27">
        <v>12992.367162928625</v>
      </c>
      <c r="U27">
        <v>13063.440862686894</v>
      </c>
      <c r="V27">
        <v>13182.198504199005</v>
      </c>
      <c r="W27">
        <v>13284.806809600492</v>
      </c>
      <c r="X27">
        <v>13293.959706338926</v>
      </c>
      <c r="Y27">
        <v>13101.086214174264</v>
      </c>
      <c r="Z27">
        <v>13348.937535477718</v>
      </c>
      <c r="AA27">
        <v>13331.827621000642</v>
      </c>
      <c r="AB27">
        <v>13006.487718579234</v>
      </c>
      <c r="AC27">
        <v>13081.360160828839</v>
      </c>
      <c r="AD27">
        <v>13339.646613066796</v>
      </c>
      <c r="AE27">
        <v>13805.025309105527</v>
      </c>
      <c r="AF27">
        <v>13906.520809611657</v>
      </c>
      <c r="AG27">
        <v>14803.702978914342</v>
      </c>
      <c r="AH27">
        <v>15126.124771992951</v>
      </c>
      <c r="AI27">
        <v>14654.704680232724</v>
      </c>
      <c r="AJ27">
        <v>13175.66592208733</v>
      </c>
      <c r="AK27">
        <v>14392.458510567654</v>
      </c>
      <c r="AL27">
        <v>15135.806626621414</v>
      </c>
      <c r="AM27">
        <v>15262.823210811872</v>
      </c>
      <c r="AN27">
        <v>15130.791444487246</v>
      </c>
      <c r="AO27">
        <v>14946.834352382009</v>
      </c>
      <c r="AP27">
        <v>14665.004212439928</v>
      </c>
      <c r="AQ27">
        <v>14316.56282966905</v>
      </c>
      <c r="AR27">
        <v>13834.27693452918</v>
      </c>
      <c r="AS27">
        <v>13204.56554311778</v>
      </c>
      <c r="AT27">
        <v>12495.373058971782</v>
      </c>
      <c r="AU27">
        <v>11687.930208066417</v>
      </c>
      <c r="AV27">
        <v>10882.151156937636</v>
      </c>
      <c r="AW27">
        <v>10050.185549644057</v>
      </c>
      <c r="AX27">
        <v>9176.564259241848</v>
      </c>
      <c r="AY27">
        <v>8350.4772058172966</v>
      </c>
      <c r="AZ27">
        <v>7537.3286204471169</v>
      </c>
      <c r="BA27">
        <v>6795.0662996509582</v>
      </c>
      <c r="BB27">
        <v>6141.7997831612302</v>
      </c>
      <c r="BC27">
        <v>5513.7194588572929</v>
      </c>
      <c r="BD27">
        <v>4937.9618441072053</v>
      </c>
      <c r="BE27">
        <v>4462.6195905958421</v>
      </c>
      <c r="BF27">
        <v>3955.3446669856726</v>
      </c>
      <c r="BG27">
        <v>3509.2592217875344</v>
      </c>
      <c r="BH27">
        <v>3041.2532541030123</v>
      </c>
      <c r="BI27">
        <v>2675.6793358033942</v>
      </c>
      <c r="BJ27">
        <v>2344.9238421321984</v>
      </c>
      <c r="BK27">
        <v>2047.2954131645558</v>
      </c>
      <c r="BL27">
        <v>1759.9470811244496</v>
      </c>
      <c r="BM27">
        <v>1544.2936272227041</v>
      </c>
      <c r="BN27">
        <v>1366.689318211404</v>
      </c>
    </row>
    <row r="28" spans="1:66" x14ac:dyDescent="0.25">
      <c r="A28" t="s">
        <v>205</v>
      </c>
      <c r="B28" t="s">
        <v>527</v>
      </c>
      <c r="C28" t="s">
        <v>530</v>
      </c>
      <c r="D28" t="s">
        <v>522</v>
      </c>
      <c r="E28" t="s">
        <v>521</v>
      </c>
      <c r="F28">
        <v>15640.940843035291</v>
      </c>
      <c r="G28">
        <v>16150.546759988883</v>
      </c>
      <c r="H28">
        <v>17648.388786263939</v>
      </c>
      <c r="I28">
        <v>16725.370693795405</v>
      </c>
      <c r="J28">
        <v>16380.548324839787</v>
      </c>
      <c r="K28">
        <v>15499.119986501893</v>
      </c>
      <c r="L28">
        <v>16964.973485962018</v>
      </c>
      <c r="M28">
        <v>18776.307489236842</v>
      </c>
      <c r="N28">
        <v>16990.87642543549</v>
      </c>
      <c r="O28">
        <v>18068.06638576484</v>
      </c>
      <c r="P28">
        <v>18247.587022073894</v>
      </c>
      <c r="Q28">
        <v>20209.470689366266</v>
      </c>
      <c r="R28">
        <v>19699.848793804682</v>
      </c>
      <c r="S28">
        <v>20589.961823411428</v>
      </c>
      <c r="T28">
        <v>19932.694122895617</v>
      </c>
      <c r="U28">
        <v>21455.132172136808</v>
      </c>
      <c r="V28">
        <v>21734.471668911941</v>
      </c>
      <c r="W28">
        <v>20224.013693454704</v>
      </c>
      <c r="X28">
        <v>21356.548009904149</v>
      </c>
      <c r="Y28">
        <v>18870.840564758502</v>
      </c>
      <c r="Z28">
        <v>18772.299934571802</v>
      </c>
      <c r="AA28">
        <v>18114.081314169005</v>
      </c>
      <c r="AB28">
        <v>19820.47191931152</v>
      </c>
      <c r="AC28">
        <v>18884.997469550366</v>
      </c>
      <c r="AD28">
        <v>18698.599087495157</v>
      </c>
      <c r="AE28">
        <v>18478.836391393874</v>
      </c>
      <c r="AF28">
        <v>16973.70962476591</v>
      </c>
      <c r="AG28">
        <v>17531.475135032353</v>
      </c>
      <c r="AH28">
        <v>17282.73541087965</v>
      </c>
      <c r="AI28">
        <v>19152.571947895391</v>
      </c>
      <c r="AJ28">
        <v>18178.313197265285</v>
      </c>
      <c r="AK28">
        <v>18330.87507391792</v>
      </c>
      <c r="AL28">
        <v>16890.868184840368</v>
      </c>
      <c r="AM28">
        <v>16034.088446091297</v>
      </c>
      <c r="AN28">
        <v>13843.883432747678</v>
      </c>
      <c r="AO28">
        <v>12823.638875980731</v>
      </c>
      <c r="AP28">
        <v>12286.726544536099</v>
      </c>
      <c r="AQ28">
        <v>11782.808015269065</v>
      </c>
      <c r="AR28">
        <v>11345.621130251895</v>
      </c>
      <c r="AS28">
        <v>11037.380139954328</v>
      </c>
      <c r="AT28">
        <v>9947.217965701584</v>
      </c>
      <c r="AU28">
        <v>9555.1352060316003</v>
      </c>
      <c r="AV28">
        <v>9109.8451168871743</v>
      </c>
      <c r="AW28">
        <v>8782.2399933503166</v>
      </c>
      <c r="AX28">
        <v>8466.7489129602036</v>
      </c>
      <c r="AY28">
        <v>8162.129897411246</v>
      </c>
      <c r="AZ28">
        <v>7871.0251602379531</v>
      </c>
      <c r="BA28">
        <v>7549.5715400402823</v>
      </c>
      <c r="BB28">
        <v>7167.1993741428414</v>
      </c>
      <c r="BC28">
        <v>6769.3521271928521</v>
      </c>
      <c r="BD28">
        <v>5516.8025477487445</v>
      </c>
      <c r="BE28">
        <v>5132.8208864236058</v>
      </c>
      <c r="BF28">
        <v>4640.6981149708681</v>
      </c>
      <c r="BG28">
        <v>4352.5157798444043</v>
      </c>
      <c r="BH28">
        <v>4121.0926099621402</v>
      </c>
      <c r="BI28">
        <v>3875.1755987937004</v>
      </c>
      <c r="BJ28">
        <v>3343.0278221455751</v>
      </c>
      <c r="BK28">
        <v>3129.6256826064182</v>
      </c>
      <c r="BL28">
        <v>2953.9038146476296</v>
      </c>
      <c r="BM28">
        <v>2762.2481853488111</v>
      </c>
      <c r="BN28">
        <v>2581.090576008733</v>
      </c>
    </row>
    <row r="29" spans="1:66" x14ac:dyDescent="0.25">
      <c r="A29" t="s">
        <v>205</v>
      </c>
      <c r="B29" t="s">
        <v>527</v>
      </c>
      <c r="C29" t="s">
        <v>530</v>
      </c>
      <c r="D29" t="s">
        <v>523</v>
      </c>
      <c r="E29" t="s">
        <v>521</v>
      </c>
      <c r="F29">
        <v>3429.1023206090149</v>
      </c>
      <c r="G29">
        <v>3582.0933132143959</v>
      </c>
      <c r="H29">
        <v>3230.4006797977117</v>
      </c>
      <c r="I29">
        <v>3072.4080540294026</v>
      </c>
      <c r="J29">
        <v>2943.5832063652938</v>
      </c>
      <c r="K29">
        <v>3036.6428253355557</v>
      </c>
      <c r="L29">
        <v>3231.1178764295346</v>
      </c>
      <c r="M29">
        <v>3121.0509253025539</v>
      </c>
      <c r="N29">
        <v>3108.4252054479571</v>
      </c>
      <c r="O29">
        <v>3287.2502963250704</v>
      </c>
      <c r="P29">
        <v>3324.3535917273935</v>
      </c>
      <c r="Q29">
        <v>3441.9326499549325</v>
      </c>
      <c r="R29">
        <v>3562.3255597822995</v>
      </c>
      <c r="S29">
        <v>3798.3629146741546</v>
      </c>
      <c r="T29">
        <v>3833.9993752516589</v>
      </c>
      <c r="U29">
        <v>3949.7863117346769</v>
      </c>
      <c r="V29">
        <v>4067.1636114352182</v>
      </c>
      <c r="W29">
        <v>4324.6641433976283</v>
      </c>
      <c r="X29">
        <v>4207.5754142911601</v>
      </c>
      <c r="Y29">
        <v>4156.3376144420381</v>
      </c>
      <c r="Z29">
        <v>4471.2064224286651</v>
      </c>
      <c r="AA29">
        <v>4511.1732699008671</v>
      </c>
      <c r="AB29">
        <v>4584.743425822363</v>
      </c>
      <c r="AC29">
        <v>4716.1203271304976</v>
      </c>
      <c r="AD29">
        <v>4887.0741014170871</v>
      </c>
      <c r="AE29">
        <v>5014.426570819578</v>
      </c>
      <c r="AF29">
        <v>4761.4486978313562</v>
      </c>
      <c r="AG29">
        <v>4803.9943473754338</v>
      </c>
      <c r="AH29">
        <v>4679.6792337008401</v>
      </c>
      <c r="AI29">
        <v>4713.1761267541115</v>
      </c>
      <c r="AJ29">
        <v>4482.2708369643005</v>
      </c>
      <c r="AK29">
        <v>4684.6924221093341</v>
      </c>
      <c r="AL29">
        <v>4615.5306846943822</v>
      </c>
      <c r="AM29">
        <v>4527.0774901879586</v>
      </c>
      <c r="AN29">
        <v>4561.4447140260791</v>
      </c>
      <c r="AO29">
        <v>4531.5830099871328</v>
      </c>
      <c r="AP29">
        <v>4520.2431432731055</v>
      </c>
      <c r="AQ29">
        <v>4475.9232009926691</v>
      </c>
      <c r="AR29">
        <v>4437.3438495564878</v>
      </c>
      <c r="AS29">
        <v>4418.4714579346737</v>
      </c>
      <c r="AT29">
        <v>4189.6175136617467</v>
      </c>
      <c r="AU29">
        <v>4152.7025661890148</v>
      </c>
      <c r="AV29">
        <v>4118.1638381475086</v>
      </c>
      <c r="AW29">
        <v>4074.2373670370248</v>
      </c>
      <c r="AX29">
        <v>4037.0588209614439</v>
      </c>
      <c r="AY29">
        <v>4032.1997556739379</v>
      </c>
      <c r="AZ29">
        <v>3995.9161703264608</v>
      </c>
      <c r="BA29">
        <v>3975.3458681184588</v>
      </c>
      <c r="BB29">
        <v>3956.6216979861974</v>
      </c>
      <c r="BC29">
        <v>3939.874539467507</v>
      </c>
      <c r="BD29">
        <v>3868.9310985478323</v>
      </c>
      <c r="BE29">
        <v>3857.8291521529131</v>
      </c>
      <c r="BF29">
        <v>3849.1543209366041</v>
      </c>
      <c r="BG29">
        <v>3844.9585287107934</v>
      </c>
      <c r="BH29">
        <v>3843.2882370622556</v>
      </c>
      <c r="BI29">
        <v>3843.9088929607178</v>
      </c>
      <c r="BJ29">
        <v>3847.400115947531</v>
      </c>
      <c r="BK29">
        <v>3853.83891593199</v>
      </c>
      <c r="BL29">
        <v>3862.0590012565417</v>
      </c>
      <c r="BM29">
        <v>3871.308152736688</v>
      </c>
      <c r="BN29">
        <v>3883.132271554603</v>
      </c>
    </row>
    <row r="30" spans="1:66" x14ac:dyDescent="0.25">
      <c r="A30" t="s">
        <v>205</v>
      </c>
      <c r="B30" t="s">
        <v>527</v>
      </c>
      <c r="C30" t="s">
        <v>530</v>
      </c>
      <c r="D30" t="s">
        <v>524</v>
      </c>
      <c r="E30" t="s">
        <v>521</v>
      </c>
      <c r="F30">
        <v>1816.6596733237263</v>
      </c>
      <c r="G30">
        <v>1893.7218802684215</v>
      </c>
      <c r="H30">
        <v>1971.3222733100288</v>
      </c>
      <c r="I30">
        <v>2049.4503492491226</v>
      </c>
      <c r="J30">
        <v>1947.5325263313807</v>
      </c>
      <c r="K30">
        <v>2023.8252549837712</v>
      </c>
      <c r="L30">
        <v>2102.1656796823004</v>
      </c>
      <c r="M30">
        <v>2125.7547716447093</v>
      </c>
      <c r="N30">
        <v>2086.8629737313777</v>
      </c>
      <c r="O30">
        <v>2084.0346339247499</v>
      </c>
      <c r="P30">
        <v>2103.6901401299438</v>
      </c>
      <c r="Q30">
        <v>2134.2537068539705</v>
      </c>
      <c r="R30">
        <v>2173.5947283527944</v>
      </c>
      <c r="S30">
        <v>2101.4028129686244</v>
      </c>
      <c r="T30">
        <v>2124.9026062551302</v>
      </c>
      <c r="U30">
        <v>2134.5667014321762</v>
      </c>
      <c r="V30">
        <v>1957.2003317893241</v>
      </c>
      <c r="W30">
        <v>1922.5694677164029</v>
      </c>
      <c r="X30">
        <v>1846.56179242198</v>
      </c>
      <c r="Y30">
        <v>1723.3205496528278</v>
      </c>
      <c r="Z30">
        <v>1665.7456629024559</v>
      </c>
      <c r="AA30">
        <v>1519.6605558608351</v>
      </c>
      <c r="AB30">
        <v>1410.5413176396301</v>
      </c>
      <c r="AC30">
        <v>1359.9084848190901</v>
      </c>
      <c r="AD30">
        <v>1314.1708670740722</v>
      </c>
      <c r="AE30">
        <v>1275.9271345153275</v>
      </c>
      <c r="AF30">
        <v>1246.0586846922251</v>
      </c>
      <c r="AG30">
        <v>1214.8602401561525</v>
      </c>
      <c r="AH30">
        <v>1156.3598029499428</v>
      </c>
      <c r="AI30">
        <v>1114.3950725962225</v>
      </c>
      <c r="AJ30">
        <v>1075.3643344180375</v>
      </c>
      <c r="AK30">
        <v>1058.4109684228663</v>
      </c>
      <c r="AL30">
        <v>1033.212300658286</v>
      </c>
      <c r="AM30">
        <v>996.3164129459052</v>
      </c>
      <c r="AN30">
        <v>960.78960512158892</v>
      </c>
      <c r="AO30">
        <v>925.04832155596773</v>
      </c>
      <c r="AP30">
        <v>889.02457419959956</v>
      </c>
      <c r="AQ30">
        <v>853.30502435548965</v>
      </c>
      <c r="AR30">
        <v>818.06085119369118</v>
      </c>
      <c r="AS30">
        <v>783.33888514538035</v>
      </c>
      <c r="AT30">
        <v>749.00661600423484</v>
      </c>
      <c r="AU30">
        <v>713.12299893040836</v>
      </c>
      <c r="AV30">
        <v>681.75265381906581</v>
      </c>
      <c r="AW30">
        <v>653.07251772298503</v>
      </c>
      <c r="AX30">
        <v>626.11264777642305</v>
      </c>
      <c r="AY30">
        <v>600.52316314937514</v>
      </c>
      <c r="AZ30">
        <v>575.86587763045134</v>
      </c>
      <c r="BA30">
        <v>552.05563434795374</v>
      </c>
      <c r="BB30">
        <v>529.03379695458602</v>
      </c>
      <c r="BC30">
        <v>506.69177205864327</v>
      </c>
      <c r="BD30">
        <v>485.08300206828466</v>
      </c>
      <c r="BE30">
        <v>465.02988086753226</v>
      </c>
      <c r="BF30">
        <v>445.48055289878113</v>
      </c>
      <c r="BG30">
        <v>426.42962227669557</v>
      </c>
      <c r="BH30">
        <v>407.82667776884568</v>
      </c>
      <c r="BI30">
        <v>389.73655503451369</v>
      </c>
      <c r="BJ30">
        <v>372.05944067249334</v>
      </c>
      <c r="BK30">
        <v>354.75156639017149</v>
      </c>
      <c r="BL30">
        <v>337.84939136662678</v>
      </c>
      <c r="BM30">
        <v>321.36782763857866</v>
      </c>
      <c r="BN30">
        <v>305.31110019557548</v>
      </c>
    </row>
    <row r="31" spans="1:66" x14ac:dyDescent="0.25">
      <c r="A31" t="s">
        <v>205</v>
      </c>
      <c r="B31" t="s">
        <v>527</v>
      </c>
      <c r="C31" t="s">
        <v>530</v>
      </c>
      <c r="D31" t="s">
        <v>525</v>
      </c>
      <c r="E31" t="s">
        <v>521</v>
      </c>
      <c r="F31">
        <v>29012.897398845394</v>
      </c>
      <c r="G31">
        <v>29733.023075344903</v>
      </c>
      <c r="H31">
        <v>31320.108193971439</v>
      </c>
      <c r="I31">
        <v>30769.917679558341</v>
      </c>
      <c r="J31">
        <v>30855.464305886358</v>
      </c>
      <c r="K31">
        <v>30807.15278760434</v>
      </c>
      <c r="L31">
        <v>32676.98144102552</v>
      </c>
      <c r="M31">
        <v>34628.447074801872</v>
      </c>
      <c r="N31">
        <v>32996.622945367468</v>
      </c>
      <c r="O31">
        <v>34535.956774742503</v>
      </c>
      <c r="P31">
        <v>35323.941097221861</v>
      </c>
      <c r="Q31">
        <v>37491.528269252616</v>
      </c>
      <c r="R31">
        <v>37597.790313188299</v>
      </c>
      <c r="S31">
        <v>39187.525100695137</v>
      </c>
      <c r="T31">
        <v>38883.963267331026</v>
      </c>
      <c r="U31">
        <v>40602.92604799055</v>
      </c>
      <c r="V31">
        <v>40941.03411633549</v>
      </c>
      <c r="W31">
        <v>39756.054114169223</v>
      </c>
      <c r="X31">
        <v>40704.644922956213</v>
      </c>
      <c r="Y31">
        <v>37851.584943027628</v>
      </c>
      <c r="Z31">
        <v>38258.189555380639</v>
      </c>
      <c r="AA31">
        <v>37476.742760931345</v>
      </c>
      <c r="AB31">
        <v>38822.24438135275</v>
      </c>
      <c r="AC31">
        <v>38042.386442328796</v>
      </c>
      <c r="AD31">
        <v>38239.490669053106</v>
      </c>
      <c r="AE31">
        <v>38574.2154058343</v>
      </c>
      <c r="AF31">
        <v>36887.73781690115</v>
      </c>
      <c r="AG31">
        <v>38354.032701478282</v>
      </c>
      <c r="AH31">
        <v>38244.89921952338</v>
      </c>
      <c r="AI31">
        <v>39634.847827478443</v>
      </c>
      <c r="AJ31">
        <v>36911.614290734949</v>
      </c>
      <c r="AK31">
        <v>38466.436975017779</v>
      </c>
      <c r="AL31">
        <v>37675.41779681445</v>
      </c>
      <c r="AM31">
        <v>36820.305560037028</v>
      </c>
      <c r="AN31">
        <v>34496.909196382592</v>
      </c>
      <c r="AO31">
        <v>33227.104559905834</v>
      </c>
      <c r="AP31">
        <v>32360.998474448734</v>
      </c>
      <c r="AQ31">
        <v>31428.599070286276</v>
      </c>
      <c r="AR31">
        <v>30435.302765531254</v>
      </c>
      <c r="AS31">
        <v>29443.756026152165</v>
      </c>
      <c r="AT31">
        <v>27381.215154339345</v>
      </c>
      <c r="AU31">
        <v>26108.890979217442</v>
      </c>
      <c r="AV31">
        <v>24791.912765791385</v>
      </c>
      <c r="AW31">
        <v>23559.735427754382</v>
      </c>
      <c r="AX31">
        <v>22306.484640939918</v>
      </c>
      <c r="AY31">
        <v>21145.330022051854</v>
      </c>
      <c r="AZ31">
        <v>19980.135828641982</v>
      </c>
      <c r="BA31">
        <v>18872.039342157655</v>
      </c>
      <c r="BB31">
        <v>17794.654652244855</v>
      </c>
      <c r="BC31">
        <v>16729.637897576293</v>
      </c>
      <c r="BD31">
        <v>14808.778492472065</v>
      </c>
      <c r="BE31">
        <v>13918.299510039895</v>
      </c>
      <c r="BF31">
        <v>12890.677655791927</v>
      </c>
      <c r="BG31">
        <v>12133.163152619427</v>
      </c>
      <c r="BH31">
        <v>11413.460778896255</v>
      </c>
      <c r="BI31">
        <v>10784.500382592327</v>
      </c>
      <c r="BJ31">
        <v>9907.4112208977986</v>
      </c>
      <c r="BK31">
        <v>9385.5115780931355</v>
      </c>
      <c r="BL31">
        <v>8913.7592883952475</v>
      </c>
      <c r="BM31">
        <v>8499.2177929467816</v>
      </c>
      <c r="BN31">
        <v>8136.2232659703159</v>
      </c>
    </row>
    <row r="32" spans="1:66" x14ac:dyDescent="0.25">
      <c r="A32" t="s">
        <v>206</v>
      </c>
      <c r="B32" t="s">
        <v>527</v>
      </c>
      <c r="C32" t="s">
        <v>531</v>
      </c>
      <c r="D32" t="s">
        <v>518</v>
      </c>
      <c r="E32" t="s">
        <v>519</v>
      </c>
      <c r="F32">
        <v>0</v>
      </c>
      <c r="G32">
        <v>0</v>
      </c>
      <c r="H32">
        <v>0</v>
      </c>
      <c r="I32">
        <v>0</v>
      </c>
      <c r="J32">
        <v>0</v>
      </c>
      <c r="K32">
        <v>0</v>
      </c>
      <c r="L32">
        <v>0</v>
      </c>
      <c r="M32">
        <v>0</v>
      </c>
      <c r="N32">
        <v>0</v>
      </c>
      <c r="O32">
        <v>0</v>
      </c>
      <c r="P32">
        <v>0</v>
      </c>
      <c r="Q32">
        <v>0</v>
      </c>
      <c r="R32">
        <v>0</v>
      </c>
      <c r="S32">
        <v>0</v>
      </c>
      <c r="T32">
        <v>0</v>
      </c>
      <c r="U32">
        <v>0</v>
      </c>
      <c r="V32">
        <v>0</v>
      </c>
      <c r="W32">
        <v>0</v>
      </c>
      <c r="X32">
        <v>0</v>
      </c>
      <c r="Y32">
        <v>0</v>
      </c>
      <c r="Z32">
        <v>11.416538041464802</v>
      </c>
      <c r="AA32">
        <v>8.7327708333333316</v>
      </c>
      <c r="AB32">
        <v>2.2770791666666668</v>
      </c>
      <c r="AC32">
        <v>1.3566666666666667</v>
      </c>
      <c r="AD32">
        <v>1.9666666666666663</v>
      </c>
      <c r="AE32">
        <v>4.4622309027777769</v>
      </c>
      <c r="AF32">
        <v>7.7698003472222208</v>
      </c>
      <c r="AG32">
        <v>11.941235920833332</v>
      </c>
      <c r="AH32">
        <v>18.817684762500001</v>
      </c>
      <c r="AI32">
        <v>24.5</v>
      </c>
      <c r="AJ32">
        <v>30</v>
      </c>
      <c r="AK32">
        <v>46.305643178011259</v>
      </c>
      <c r="AL32">
        <v>69.696559398715706</v>
      </c>
      <c r="AM32">
        <v>250</v>
      </c>
      <c r="AN32">
        <v>257.5</v>
      </c>
      <c r="AO32">
        <v>265.22500000000002</v>
      </c>
      <c r="AP32">
        <v>273.18175000000002</v>
      </c>
      <c r="AQ32">
        <v>281.37720250000001</v>
      </c>
      <c r="AR32">
        <v>289.81851857500004</v>
      </c>
      <c r="AS32">
        <v>298.51307413225004</v>
      </c>
      <c r="AT32">
        <v>307.46846635621756</v>
      </c>
      <c r="AU32">
        <v>316.69252034690408</v>
      </c>
      <c r="AV32">
        <v>326.19329595731119</v>
      </c>
      <c r="AW32">
        <v>335.97909483603053</v>
      </c>
      <c r="AX32">
        <v>346.05846768111144</v>
      </c>
      <c r="AY32">
        <v>356.44022171154478</v>
      </c>
      <c r="AZ32">
        <v>367.13342836289115</v>
      </c>
      <c r="BA32">
        <v>378.14743121377791</v>
      </c>
      <c r="BB32">
        <v>389.49185415019127</v>
      </c>
      <c r="BC32">
        <v>401.176609774697</v>
      </c>
      <c r="BD32">
        <v>413.21190806793794</v>
      </c>
      <c r="BE32">
        <v>425.6082653099761</v>
      </c>
      <c r="BF32">
        <v>438.37651326927539</v>
      </c>
      <c r="BG32">
        <v>451.52780866735367</v>
      </c>
      <c r="BH32">
        <v>465.07364292737429</v>
      </c>
      <c r="BI32">
        <v>479.02585221519553</v>
      </c>
      <c r="BJ32">
        <v>493.39662778165143</v>
      </c>
      <c r="BK32">
        <v>508.198526615101</v>
      </c>
      <c r="BL32">
        <v>523.44448241355406</v>
      </c>
      <c r="BM32">
        <v>539.14781688596065</v>
      </c>
      <c r="BN32">
        <v>555.32225139253944</v>
      </c>
    </row>
    <row r="33" spans="1:91" x14ac:dyDescent="0.25">
      <c r="A33" t="s">
        <v>206</v>
      </c>
      <c r="B33" t="s">
        <v>527</v>
      </c>
      <c r="C33" t="s">
        <v>531</v>
      </c>
      <c r="D33" t="s">
        <v>520</v>
      </c>
      <c r="E33" t="s">
        <v>521</v>
      </c>
      <c r="F33">
        <v>8126.1945618773643</v>
      </c>
      <c r="G33">
        <v>8106.661121873205</v>
      </c>
      <c r="H33">
        <v>8469.9964545997555</v>
      </c>
      <c r="I33">
        <v>8922.6885824844103</v>
      </c>
      <c r="J33">
        <v>9583.8002483498967</v>
      </c>
      <c r="K33">
        <v>10247.564720783123</v>
      </c>
      <c r="L33">
        <v>10378.724398951666</v>
      </c>
      <c r="M33">
        <v>10605.333888617772</v>
      </c>
      <c r="N33">
        <v>10810.458340752642</v>
      </c>
      <c r="O33">
        <v>11096.605458727845</v>
      </c>
      <c r="P33">
        <v>11648.310343290637</v>
      </c>
      <c r="Q33">
        <v>11705.871223077451</v>
      </c>
      <c r="R33">
        <v>12162.021231248526</v>
      </c>
      <c r="S33">
        <v>12697.797549640931</v>
      </c>
      <c r="T33">
        <v>12992.367162928625</v>
      </c>
      <c r="U33">
        <v>13063.440862686894</v>
      </c>
      <c r="V33">
        <v>13182.198504199005</v>
      </c>
      <c r="W33">
        <v>13284.806809600492</v>
      </c>
      <c r="X33">
        <v>13293.959706338926</v>
      </c>
      <c r="Y33">
        <v>13101.086214174264</v>
      </c>
      <c r="Z33">
        <v>13348.937535477718</v>
      </c>
      <c r="AA33">
        <v>13331.827621000642</v>
      </c>
      <c r="AB33">
        <v>13006.487718579234</v>
      </c>
      <c r="AC33">
        <v>13081.360160828839</v>
      </c>
      <c r="AD33">
        <v>13339.646613066796</v>
      </c>
      <c r="AE33">
        <v>13805.025309105527</v>
      </c>
      <c r="AF33">
        <v>13906.520809611657</v>
      </c>
      <c r="AG33">
        <v>14803.702978914342</v>
      </c>
      <c r="AH33">
        <v>15126.124771992951</v>
      </c>
      <c r="AI33">
        <v>14654.704680232724</v>
      </c>
      <c r="AJ33">
        <v>13175.66592208733</v>
      </c>
      <c r="AK33">
        <v>14392.458510567654</v>
      </c>
      <c r="AL33">
        <v>15135.794348095102</v>
      </c>
      <c r="AM33">
        <v>15262.576418336424</v>
      </c>
      <c r="AN33">
        <v>15122.544494786263</v>
      </c>
      <c r="AO33">
        <v>14925.069424624826</v>
      </c>
      <c r="AP33">
        <v>14606.796044300803</v>
      </c>
      <c r="AQ33">
        <v>14225.260544879211</v>
      </c>
      <c r="AR33">
        <v>13704.121306008343</v>
      </c>
      <c r="AS33">
        <v>13044.784412391229</v>
      </c>
      <c r="AT33">
        <v>12314.730384593146</v>
      </c>
      <c r="AU33">
        <v>11485.948317234268</v>
      </c>
      <c r="AV33">
        <v>10674.126180022802</v>
      </c>
      <c r="AW33">
        <v>9837.3266476941681</v>
      </c>
      <c r="AX33">
        <v>8962.8806054349479</v>
      </c>
      <c r="AY33">
        <v>8102.4345759945045</v>
      </c>
      <c r="AZ33">
        <v>7304.4146420154457</v>
      </c>
      <c r="BA33">
        <v>6621.8165127402635</v>
      </c>
      <c r="BB33">
        <v>6003.8434479646112</v>
      </c>
      <c r="BC33">
        <v>5314.1237371824891</v>
      </c>
      <c r="BD33">
        <v>4786.4199222845837</v>
      </c>
      <c r="BE33">
        <v>4275.6435881020043</v>
      </c>
      <c r="BF33">
        <v>3867.8908277897713</v>
      </c>
      <c r="BG33">
        <v>3391.7224156383359</v>
      </c>
      <c r="BH33">
        <v>2960.6879826518389</v>
      </c>
      <c r="BI33">
        <v>2571.8911492100337</v>
      </c>
      <c r="BJ33">
        <v>2270.3776112256501</v>
      </c>
      <c r="BK33">
        <v>1996.6044362968105</v>
      </c>
      <c r="BL33">
        <v>1718.9121586761355</v>
      </c>
      <c r="BM33">
        <v>1489.1772908537368</v>
      </c>
      <c r="BN33">
        <v>1306.4510167691844</v>
      </c>
    </row>
    <row r="34" spans="1:91" x14ac:dyDescent="0.25">
      <c r="A34" t="s">
        <v>206</v>
      </c>
      <c r="B34" t="s">
        <v>527</v>
      </c>
      <c r="C34" t="s">
        <v>531</v>
      </c>
      <c r="D34" t="s">
        <v>522</v>
      </c>
      <c r="E34" t="s">
        <v>521</v>
      </c>
      <c r="F34">
        <v>15640.940843035291</v>
      </c>
      <c r="G34">
        <v>16150.546759988883</v>
      </c>
      <c r="H34">
        <v>17648.388786263939</v>
      </c>
      <c r="I34">
        <v>16725.370693795405</v>
      </c>
      <c r="J34">
        <v>16380.548324839787</v>
      </c>
      <c r="K34">
        <v>15499.119986501893</v>
      </c>
      <c r="L34">
        <v>16964.973485962018</v>
      </c>
      <c r="M34">
        <v>18776.307489236842</v>
      </c>
      <c r="N34">
        <v>16990.87642543549</v>
      </c>
      <c r="O34">
        <v>18068.06638576484</v>
      </c>
      <c r="P34">
        <v>18247.587022073894</v>
      </c>
      <c r="Q34">
        <v>20209.470689366266</v>
      </c>
      <c r="R34">
        <v>19699.848793804682</v>
      </c>
      <c r="S34">
        <v>20589.961823411428</v>
      </c>
      <c r="T34">
        <v>19932.694122895617</v>
      </c>
      <c r="U34">
        <v>21455.132172136808</v>
      </c>
      <c r="V34">
        <v>21734.471668911941</v>
      </c>
      <c r="W34">
        <v>20224.013693454704</v>
      </c>
      <c r="X34">
        <v>21356.548009904149</v>
      </c>
      <c r="Y34">
        <v>18870.840564758502</v>
      </c>
      <c r="Z34">
        <v>18772.299934571802</v>
      </c>
      <c r="AA34">
        <v>18114.081314169005</v>
      </c>
      <c r="AB34">
        <v>19820.47191931152</v>
      </c>
      <c r="AC34">
        <v>18884.997469550366</v>
      </c>
      <c r="AD34">
        <v>18698.599087495157</v>
      </c>
      <c r="AE34">
        <v>18478.836391393874</v>
      </c>
      <c r="AF34">
        <v>16973.70962476591</v>
      </c>
      <c r="AG34">
        <v>17531.475135032353</v>
      </c>
      <c r="AH34">
        <v>17282.73541087965</v>
      </c>
      <c r="AI34">
        <v>19152.571947895391</v>
      </c>
      <c r="AJ34">
        <v>18178.313197265285</v>
      </c>
      <c r="AK34">
        <v>18330.87507391792</v>
      </c>
      <c r="AL34">
        <v>16891.342242624993</v>
      </c>
      <c r="AM34">
        <v>15745.285260544319</v>
      </c>
      <c r="AN34">
        <v>13285.412410605184</v>
      </c>
      <c r="AO34">
        <v>12224.510324119001</v>
      </c>
      <c r="AP34">
        <v>11873.135070871738</v>
      </c>
      <c r="AQ34">
        <v>11469.662798391048</v>
      </c>
      <c r="AR34">
        <v>10933.966107791637</v>
      </c>
      <c r="AS34">
        <v>10571.080266140971</v>
      </c>
      <c r="AT34">
        <v>9371.8940480561032</v>
      </c>
      <c r="AU34">
        <v>8936.2105966463841</v>
      </c>
      <c r="AV34">
        <v>8510.043326923118</v>
      </c>
      <c r="AW34">
        <v>8143.86351767623</v>
      </c>
      <c r="AX34">
        <v>7761.6819632144561</v>
      </c>
      <c r="AY34">
        <v>7372.8616464367215</v>
      </c>
      <c r="AZ34">
        <v>6999.3590730328424</v>
      </c>
      <c r="BA34">
        <v>6671.0898800215755</v>
      </c>
      <c r="BB34">
        <v>6385.5234669257497</v>
      </c>
      <c r="BC34">
        <v>6083.6449689936953</v>
      </c>
      <c r="BD34">
        <v>4924.3426984568714</v>
      </c>
      <c r="BE34">
        <v>4651.5451743703779</v>
      </c>
      <c r="BF34">
        <v>4367.9177256052681</v>
      </c>
      <c r="BG34">
        <v>3815.3010179192579</v>
      </c>
      <c r="BH34">
        <v>3596.2594540556092</v>
      </c>
      <c r="BI34">
        <v>3379.7201033663036</v>
      </c>
      <c r="BJ34">
        <v>3172.6907868879616</v>
      </c>
      <c r="BK34">
        <v>2999.7503454696448</v>
      </c>
      <c r="BL34">
        <v>2807.4411337413867</v>
      </c>
      <c r="BM34">
        <v>2624.814869461828</v>
      </c>
      <c r="BN34">
        <v>2452.5477580353081</v>
      </c>
    </row>
    <row r="35" spans="1:91" x14ac:dyDescent="0.25">
      <c r="A35" t="s">
        <v>206</v>
      </c>
      <c r="B35" t="s">
        <v>527</v>
      </c>
      <c r="C35" t="s">
        <v>531</v>
      </c>
      <c r="D35" t="s">
        <v>523</v>
      </c>
      <c r="E35" t="s">
        <v>521</v>
      </c>
      <c r="F35">
        <v>3429.1023206090149</v>
      </c>
      <c r="G35">
        <v>3582.0933132143959</v>
      </c>
      <c r="H35">
        <v>3230.4006797977117</v>
      </c>
      <c r="I35">
        <v>3072.4080540294026</v>
      </c>
      <c r="J35">
        <v>2943.5832063652938</v>
      </c>
      <c r="K35">
        <v>3036.6428253355557</v>
      </c>
      <c r="L35">
        <v>3231.1178764295346</v>
      </c>
      <c r="M35">
        <v>3121.0509253025539</v>
      </c>
      <c r="N35">
        <v>3108.4252054479571</v>
      </c>
      <c r="O35">
        <v>3287.2502963250704</v>
      </c>
      <c r="P35">
        <v>3324.3535917273935</v>
      </c>
      <c r="Q35">
        <v>3441.9326499549325</v>
      </c>
      <c r="R35">
        <v>3562.3255597822995</v>
      </c>
      <c r="S35">
        <v>3798.3629146741546</v>
      </c>
      <c r="T35">
        <v>3833.9993752516589</v>
      </c>
      <c r="U35">
        <v>3949.7863117346769</v>
      </c>
      <c r="V35">
        <v>4067.1636114352182</v>
      </c>
      <c r="W35">
        <v>4324.6641433976283</v>
      </c>
      <c r="X35">
        <v>4207.5754142911601</v>
      </c>
      <c r="Y35">
        <v>4156.3376144420381</v>
      </c>
      <c r="Z35">
        <v>4471.2064224286651</v>
      </c>
      <c r="AA35">
        <v>4511.1732699008671</v>
      </c>
      <c r="AB35">
        <v>4584.743425822363</v>
      </c>
      <c r="AC35">
        <v>4716.1203271304976</v>
      </c>
      <c r="AD35">
        <v>4887.0741014170871</v>
      </c>
      <c r="AE35">
        <v>5014.426570819578</v>
      </c>
      <c r="AF35">
        <v>4761.4486978313562</v>
      </c>
      <c r="AG35">
        <v>4803.9943473754338</v>
      </c>
      <c r="AH35">
        <v>4679.6792337008401</v>
      </c>
      <c r="AI35">
        <v>4713.1761267541115</v>
      </c>
      <c r="AJ35">
        <v>4482.2708369643005</v>
      </c>
      <c r="AK35">
        <v>4684.6924221093341</v>
      </c>
      <c r="AL35">
        <v>4615.5306846943822</v>
      </c>
      <c r="AM35">
        <v>4527.0774901879586</v>
      </c>
      <c r="AN35">
        <v>4561.4447140260791</v>
      </c>
      <c r="AO35">
        <v>4531.5830099871318</v>
      </c>
      <c r="AP35">
        <v>4520.2431432731046</v>
      </c>
      <c r="AQ35">
        <v>4475.9232009926691</v>
      </c>
      <c r="AR35">
        <v>4437.3438495564878</v>
      </c>
      <c r="AS35">
        <v>4418.4714579346728</v>
      </c>
      <c r="AT35">
        <v>4189.6175136617467</v>
      </c>
      <c r="AU35">
        <v>4152.7025661890148</v>
      </c>
      <c r="AV35">
        <v>4118.1638381475086</v>
      </c>
      <c r="AW35">
        <v>4074.2373670370253</v>
      </c>
      <c r="AX35">
        <v>4037.0588209614439</v>
      </c>
      <c r="AY35">
        <v>4032.1997556739379</v>
      </c>
      <c r="AZ35">
        <v>3995.9161703264608</v>
      </c>
      <c r="BA35">
        <v>3975.3458681184588</v>
      </c>
      <c r="BB35">
        <v>3956.6216979861979</v>
      </c>
      <c r="BC35">
        <v>3939.8745394675066</v>
      </c>
      <c r="BD35">
        <v>3868.9310985478323</v>
      </c>
      <c r="BE35">
        <v>3857.8291521529131</v>
      </c>
      <c r="BF35">
        <v>3849.1543209366041</v>
      </c>
      <c r="BG35">
        <v>3844.9585287107939</v>
      </c>
      <c r="BH35">
        <v>3843.2882370622556</v>
      </c>
      <c r="BI35">
        <v>3843.9088929607178</v>
      </c>
      <c r="BJ35">
        <v>3847.4001159475315</v>
      </c>
      <c r="BK35">
        <v>3853.83891593199</v>
      </c>
      <c r="BL35">
        <v>3862.0590012565417</v>
      </c>
      <c r="BM35">
        <v>3871.308152736688</v>
      </c>
      <c r="BN35">
        <v>3883.1322715546034</v>
      </c>
    </row>
    <row r="36" spans="1:91" x14ac:dyDescent="0.25">
      <c r="A36" t="s">
        <v>206</v>
      </c>
      <c r="B36" t="s">
        <v>527</v>
      </c>
      <c r="C36" t="s">
        <v>531</v>
      </c>
      <c r="D36" t="s">
        <v>524</v>
      </c>
      <c r="E36" t="s">
        <v>521</v>
      </c>
      <c r="F36">
        <v>1816.6596733237263</v>
      </c>
      <c r="G36">
        <v>1893.7218802684215</v>
      </c>
      <c r="H36">
        <v>1971.3222733100288</v>
      </c>
      <c r="I36">
        <v>2049.4503492491226</v>
      </c>
      <c r="J36">
        <v>1947.5325263313807</v>
      </c>
      <c r="K36">
        <v>2023.8252549837712</v>
      </c>
      <c r="L36">
        <v>2102.1656796823004</v>
      </c>
      <c r="M36">
        <v>2125.7547716447093</v>
      </c>
      <c r="N36">
        <v>2086.8629737313777</v>
      </c>
      <c r="O36">
        <v>2084.0346339247499</v>
      </c>
      <c r="P36">
        <v>2103.6901401299438</v>
      </c>
      <c r="Q36">
        <v>2134.2537068539705</v>
      </c>
      <c r="R36">
        <v>2173.5947283527944</v>
      </c>
      <c r="S36">
        <v>2101.4028129686244</v>
      </c>
      <c r="T36">
        <v>2124.9026062551302</v>
      </c>
      <c r="U36">
        <v>2134.5667014321762</v>
      </c>
      <c r="V36">
        <v>1957.2003317893241</v>
      </c>
      <c r="W36">
        <v>1922.5694677164029</v>
      </c>
      <c r="X36">
        <v>1846.56179242198</v>
      </c>
      <c r="Y36">
        <v>1723.3205496528278</v>
      </c>
      <c r="Z36">
        <v>1665.7456629024559</v>
      </c>
      <c r="AA36">
        <v>1519.6605558608351</v>
      </c>
      <c r="AB36">
        <v>1410.5413176396301</v>
      </c>
      <c r="AC36">
        <v>1359.9084848190901</v>
      </c>
      <c r="AD36">
        <v>1314.1708670740722</v>
      </c>
      <c r="AE36">
        <v>1275.9271345153275</v>
      </c>
      <c r="AF36">
        <v>1246.0586846922251</v>
      </c>
      <c r="AG36">
        <v>1214.8602401561525</v>
      </c>
      <c r="AH36">
        <v>1156.3598029499428</v>
      </c>
      <c r="AI36">
        <v>1114.3950725962225</v>
      </c>
      <c r="AJ36">
        <v>1075.3643344180375</v>
      </c>
      <c r="AK36">
        <v>1058.4109684228663</v>
      </c>
      <c r="AL36">
        <v>1033.212300658286</v>
      </c>
      <c r="AM36">
        <v>996.3164129459052</v>
      </c>
      <c r="AN36">
        <v>960.78960512158892</v>
      </c>
      <c r="AO36">
        <v>925.04832155596773</v>
      </c>
      <c r="AP36">
        <v>889.02457419959956</v>
      </c>
      <c r="AQ36">
        <v>853.30502435548965</v>
      </c>
      <c r="AR36">
        <v>818.06085119369118</v>
      </c>
      <c r="AS36">
        <v>783.33888514538035</v>
      </c>
      <c r="AT36">
        <v>749.00661600423484</v>
      </c>
      <c r="AU36">
        <v>713.12299893040836</v>
      </c>
      <c r="AV36">
        <v>681.75265381906581</v>
      </c>
      <c r="AW36">
        <v>653.07251772298503</v>
      </c>
      <c r="AX36">
        <v>626.11264777642305</v>
      </c>
      <c r="AY36">
        <v>600.52316314937514</v>
      </c>
      <c r="AZ36">
        <v>575.86587763045134</v>
      </c>
      <c r="BA36">
        <v>552.05563434795374</v>
      </c>
      <c r="BB36">
        <v>529.03379695458602</v>
      </c>
      <c r="BC36">
        <v>506.69177205864327</v>
      </c>
      <c r="BD36">
        <v>485.08300206828466</v>
      </c>
      <c r="BE36">
        <v>465.02988086753226</v>
      </c>
      <c r="BF36">
        <v>445.48055289878113</v>
      </c>
      <c r="BG36">
        <v>426.42962227669557</v>
      </c>
      <c r="BH36">
        <v>407.82667776884568</v>
      </c>
      <c r="BI36">
        <v>389.73655503451369</v>
      </c>
      <c r="BJ36">
        <v>372.05944067249334</v>
      </c>
      <c r="BK36">
        <v>354.75156639017149</v>
      </c>
      <c r="BL36">
        <v>337.84939136662678</v>
      </c>
      <c r="BM36">
        <v>321.36782763857866</v>
      </c>
      <c r="BN36">
        <v>305.31110019557548</v>
      </c>
    </row>
    <row r="37" spans="1:91" x14ac:dyDescent="0.25">
      <c r="A37" t="s">
        <v>206</v>
      </c>
      <c r="B37" t="s">
        <v>527</v>
      </c>
      <c r="C37" t="s">
        <v>531</v>
      </c>
      <c r="D37" t="s">
        <v>525</v>
      </c>
      <c r="E37" t="s">
        <v>521</v>
      </c>
      <c r="F37">
        <v>29012.897398845394</v>
      </c>
      <c r="G37">
        <v>29733.023075344903</v>
      </c>
      <c r="H37">
        <v>31320.108193971439</v>
      </c>
      <c r="I37">
        <v>30769.917679558341</v>
      </c>
      <c r="J37">
        <v>30855.464305886358</v>
      </c>
      <c r="K37">
        <v>30807.15278760434</v>
      </c>
      <c r="L37">
        <v>32676.98144102552</v>
      </c>
      <c r="M37">
        <v>34628.447074801872</v>
      </c>
      <c r="N37">
        <v>32996.622945367468</v>
      </c>
      <c r="O37">
        <v>34535.956774742503</v>
      </c>
      <c r="P37">
        <v>35323.941097221861</v>
      </c>
      <c r="Q37">
        <v>37491.528269252616</v>
      </c>
      <c r="R37">
        <v>37597.790313188299</v>
      </c>
      <c r="S37">
        <v>39187.525100695137</v>
      </c>
      <c r="T37">
        <v>38883.963267331026</v>
      </c>
      <c r="U37">
        <v>40602.92604799055</v>
      </c>
      <c r="V37">
        <v>40941.03411633549</v>
      </c>
      <c r="W37">
        <v>39756.054114169223</v>
      </c>
      <c r="X37">
        <v>40704.644922956213</v>
      </c>
      <c r="Y37">
        <v>37851.584943027628</v>
      </c>
      <c r="Z37">
        <v>38258.189555380639</v>
      </c>
      <c r="AA37">
        <v>37476.742760931345</v>
      </c>
      <c r="AB37">
        <v>38822.24438135275</v>
      </c>
      <c r="AC37">
        <v>38042.386442328796</v>
      </c>
      <c r="AD37">
        <v>38239.490669053106</v>
      </c>
      <c r="AE37">
        <v>38574.2154058343</v>
      </c>
      <c r="AF37">
        <v>36887.73781690115</v>
      </c>
      <c r="AG37">
        <v>38354.032701478282</v>
      </c>
      <c r="AH37">
        <v>38244.89921952338</v>
      </c>
      <c r="AI37">
        <v>39634.847827478443</v>
      </c>
      <c r="AJ37">
        <v>36911.614290734949</v>
      </c>
      <c r="AK37">
        <v>38466.436975017779</v>
      </c>
      <c r="AL37">
        <v>37675.879576072766</v>
      </c>
      <c r="AM37">
        <v>36531.255582014601</v>
      </c>
      <c r="AN37">
        <v>33930.191224539114</v>
      </c>
      <c r="AO37">
        <v>32606.211080286925</v>
      </c>
      <c r="AP37">
        <v>31889.198832645245</v>
      </c>
      <c r="AQ37">
        <v>31024.151568618421</v>
      </c>
      <c r="AR37">
        <v>29893.492114550158</v>
      </c>
      <c r="AS37">
        <v>28817.675021612253</v>
      </c>
      <c r="AT37">
        <v>26625.248562315228</v>
      </c>
      <c r="AU37">
        <v>25287.984479000075</v>
      </c>
      <c r="AV37">
        <v>23984.085998912495</v>
      </c>
      <c r="AW37">
        <v>22708.500050130406</v>
      </c>
      <c r="AX37">
        <v>21387.734037387268</v>
      </c>
      <c r="AY37">
        <v>20108.019141254535</v>
      </c>
      <c r="AZ37">
        <v>18875.555763005199</v>
      </c>
      <c r="BA37">
        <v>17820.307895228252</v>
      </c>
      <c r="BB37">
        <v>16875.022409831145</v>
      </c>
      <c r="BC37">
        <v>15844.335017702333</v>
      </c>
      <c r="BD37">
        <v>14064.776721357572</v>
      </c>
      <c r="BE37">
        <v>13250.047795492828</v>
      </c>
      <c r="BF37">
        <v>12530.443427230426</v>
      </c>
      <c r="BG37">
        <v>11478.411584545081</v>
      </c>
      <c r="BH37">
        <v>10808.062351538551</v>
      </c>
      <c r="BI37">
        <v>10185.256700571568</v>
      </c>
      <c r="BJ37">
        <v>9662.5279547336377</v>
      </c>
      <c r="BK37">
        <v>9204.9452640886175</v>
      </c>
      <c r="BL37">
        <v>8726.2616850406903</v>
      </c>
      <c r="BM37">
        <v>8306.6681406908319</v>
      </c>
      <c r="BN37">
        <v>7947.442146554672</v>
      </c>
    </row>
    <row r="38" spans="1:91" x14ac:dyDescent="0.25">
      <c r="A38" t="s">
        <v>207</v>
      </c>
      <c r="B38" t="s">
        <v>527</v>
      </c>
      <c r="C38" t="s">
        <v>532</v>
      </c>
      <c r="D38" t="s">
        <v>518</v>
      </c>
      <c r="E38" t="s">
        <v>519</v>
      </c>
      <c r="F38" s="5">
        <v>0</v>
      </c>
      <c r="G38" s="5">
        <v>0</v>
      </c>
      <c r="H38" s="5">
        <v>0</v>
      </c>
      <c r="I38" s="5">
        <v>0</v>
      </c>
      <c r="J38" s="5">
        <v>0</v>
      </c>
      <c r="K38" s="5">
        <v>0</v>
      </c>
      <c r="L38" s="5">
        <v>0</v>
      </c>
      <c r="M38" s="5">
        <v>0</v>
      </c>
      <c r="N38" s="5">
        <v>0</v>
      </c>
      <c r="O38" s="5">
        <v>0</v>
      </c>
      <c r="P38" s="5">
        <v>0</v>
      </c>
      <c r="Q38" s="5">
        <v>0</v>
      </c>
      <c r="R38" s="5">
        <v>0</v>
      </c>
      <c r="S38" s="5">
        <v>0</v>
      </c>
      <c r="T38" s="5">
        <v>0</v>
      </c>
      <c r="U38" s="5">
        <v>0</v>
      </c>
      <c r="V38" s="5">
        <v>0</v>
      </c>
      <c r="W38" s="5">
        <v>0</v>
      </c>
      <c r="X38" s="5">
        <v>0</v>
      </c>
      <c r="Y38" s="5">
        <v>0</v>
      </c>
      <c r="Z38" s="5">
        <v>11.416538041464802</v>
      </c>
      <c r="AA38" s="5">
        <v>8.7327708333333316</v>
      </c>
      <c r="AB38" s="5">
        <v>2.2770791666666668</v>
      </c>
      <c r="AC38" s="5">
        <v>1.3566666666666667</v>
      </c>
      <c r="AD38" s="5">
        <v>1.9666666666666663</v>
      </c>
      <c r="AE38" s="5">
        <v>4.4622309027777769</v>
      </c>
      <c r="AF38" s="5">
        <v>7.7698003472222208</v>
      </c>
      <c r="AG38" s="5">
        <v>11.941235920833332</v>
      </c>
      <c r="AH38" s="5">
        <v>18.817684762500001</v>
      </c>
      <c r="AI38" s="5">
        <v>24.5</v>
      </c>
      <c r="AJ38" s="5">
        <v>30</v>
      </c>
      <c r="AK38" s="5">
        <v>46.305643178011259</v>
      </c>
      <c r="AL38" s="5">
        <v>69.696559398715706</v>
      </c>
      <c r="AM38" s="5">
        <v>300</v>
      </c>
      <c r="AN38" s="5">
        <v>309</v>
      </c>
      <c r="AO38" s="5">
        <v>318.27</v>
      </c>
      <c r="AP38" s="5">
        <v>327.81810000000002</v>
      </c>
      <c r="AQ38" s="5">
        <v>337.65264300000001</v>
      </c>
      <c r="AR38" s="5">
        <v>347.78222228999999</v>
      </c>
      <c r="AS38" s="5">
        <v>358.21568895870001</v>
      </c>
      <c r="AT38" s="5">
        <v>368.96215962746101</v>
      </c>
      <c r="AU38" s="5">
        <v>380.03102441628482</v>
      </c>
      <c r="AV38" s="5">
        <v>391.4319551487734</v>
      </c>
      <c r="AW38" s="5">
        <v>403.17491380323662</v>
      </c>
      <c r="AX38" s="5">
        <v>415.27016121733374</v>
      </c>
      <c r="AY38" s="5">
        <v>427.72826605385376</v>
      </c>
      <c r="AZ38" s="5">
        <v>440.56011403546938</v>
      </c>
      <c r="BA38" s="5">
        <v>453.77691745653345</v>
      </c>
      <c r="BB38" s="5">
        <v>467.39022498022945</v>
      </c>
      <c r="BC38" s="5">
        <v>481.41193172963636</v>
      </c>
      <c r="BD38" s="5">
        <v>495.85428968152547</v>
      </c>
      <c r="BE38" s="5">
        <v>510.72991837197122</v>
      </c>
      <c r="BF38" s="5">
        <v>526.05181592313033</v>
      </c>
      <c r="BG38" s="5">
        <v>541.83337040082426</v>
      </c>
      <c r="BH38" s="5">
        <v>558.08837151284899</v>
      </c>
      <c r="BI38" s="5">
        <v>574.83102265823447</v>
      </c>
      <c r="BJ38" s="5">
        <v>592.07595333798156</v>
      </c>
      <c r="BK38" s="5">
        <v>609.838231938121</v>
      </c>
      <c r="BL38" s="5">
        <v>628.13337889626462</v>
      </c>
      <c r="BM38" s="5">
        <v>646.97738026315255</v>
      </c>
      <c r="BN38" s="5">
        <v>666.38670167104715</v>
      </c>
      <c r="BO38" s="5">
        <v>686.37830272117856</v>
      </c>
      <c r="BP38" s="5">
        <v>706.96965180281393</v>
      </c>
      <c r="BQ38" s="5">
        <v>728.1787413568984</v>
      </c>
      <c r="BR38" s="5">
        <v>750.0241035976054</v>
      </c>
      <c r="BS38" s="5">
        <v>772.52482670553354</v>
      </c>
      <c r="BT38" s="5">
        <v>795.70057150669959</v>
      </c>
      <c r="BU38" s="5">
        <v>819.57158865190058</v>
      </c>
      <c r="BV38" s="5">
        <v>844.15873631145757</v>
      </c>
      <c r="BW38" s="5">
        <v>869.4834984008013</v>
      </c>
      <c r="BX38" s="5">
        <v>895.56800335282537</v>
      </c>
      <c r="BY38" s="5">
        <v>922.43504345341012</v>
      </c>
      <c r="BZ38" s="5">
        <v>950.1080947570124</v>
      </c>
      <c r="CA38" s="5">
        <v>978.61133759972279</v>
      </c>
      <c r="CB38" s="5">
        <v>1000</v>
      </c>
      <c r="CC38" s="5">
        <v>1000</v>
      </c>
      <c r="CD38" s="5">
        <v>1000</v>
      </c>
      <c r="CE38" s="5">
        <v>1000</v>
      </c>
      <c r="CF38" s="5">
        <v>1000</v>
      </c>
      <c r="CG38" s="5">
        <v>1000</v>
      </c>
      <c r="CH38" s="5">
        <v>1000</v>
      </c>
      <c r="CI38" s="5">
        <v>1000</v>
      </c>
      <c r="CJ38" s="5">
        <v>1000</v>
      </c>
      <c r="CK38" s="5">
        <v>1000</v>
      </c>
      <c r="CL38" s="5">
        <v>1000</v>
      </c>
      <c r="CM38" s="5">
        <v>1000</v>
      </c>
    </row>
    <row r="39" spans="1:91" x14ac:dyDescent="0.25">
      <c r="A39" t="s">
        <v>207</v>
      </c>
      <c r="B39" t="s">
        <v>527</v>
      </c>
      <c r="C39" t="s">
        <v>532</v>
      </c>
      <c r="D39" t="s">
        <v>520</v>
      </c>
      <c r="E39" t="s">
        <v>521</v>
      </c>
      <c r="F39" s="6">
        <v>8126.1945618773643</v>
      </c>
      <c r="G39" s="6">
        <v>8106.661121873205</v>
      </c>
      <c r="H39" s="6">
        <v>8469.9964545997555</v>
      </c>
      <c r="I39" s="6">
        <v>8922.6885824844103</v>
      </c>
      <c r="J39" s="6">
        <v>9583.8002483498967</v>
      </c>
      <c r="K39" s="6">
        <v>10247.564720783123</v>
      </c>
      <c r="L39" s="6">
        <v>10378.724398951666</v>
      </c>
      <c r="M39" s="6">
        <v>10605.333888617772</v>
      </c>
      <c r="N39" s="6">
        <v>10810.458340752642</v>
      </c>
      <c r="O39" s="6">
        <v>11096.605458727845</v>
      </c>
      <c r="P39" s="6">
        <v>11648.310343290637</v>
      </c>
      <c r="Q39" s="6">
        <v>11705.871223077451</v>
      </c>
      <c r="R39" s="6">
        <v>12162.021231248526</v>
      </c>
      <c r="S39" s="6">
        <v>12697.797549640931</v>
      </c>
      <c r="T39" s="6">
        <v>12992.367162928625</v>
      </c>
      <c r="U39" s="6">
        <v>13063.440862686894</v>
      </c>
      <c r="V39" s="6">
        <v>13182.198504199005</v>
      </c>
      <c r="W39" s="6">
        <v>13284.806809600492</v>
      </c>
      <c r="X39" s="6">
        <v>13293.959706338926</v>
      </c>
      <c r="Y39" s="6">
        <v>13101.086214174264</v>
      </c>
      <c r="Z39" s="6">
        <v>13348.937535477718</v>
      </c>
      <c r="AA39" s="6">
        <v>13331.827621000642</v>
      </c>
      <c r="AB39" s="6">
        <v>13006.487718579234</v>
      </c>
      <c r="AC39" s="6">
        <v>13081.360160828839</v>
      </c>
      <c r="AD39" s="6">
        <v>13339.646613066796</v>
      </c>
      <c r="AE39" s="6">
        <v>13805.025309105527</v>
      </c>
      <c r="AF39" s="6">
        <v>13906.520809611657</v>
      </c>
      <c r="AG39" s="6">
        <v>14803.702978914342</v>
      </c>
      <c r="AH39" s="6">
        <v>15126.124771992951</v>
      </c>
      <c r="AI39" s="6">
        <v>14654.704680232724</v>
      </c>
      <c r="AJ39" s="6">
        <v>13175.66592208733</v>
      </c>
      <c r="AK39" s="6">
        <v>14392.458510567654</v>
      </c>
      <c r="AL39" s="6">
        <v>15135.794348095102</v>
      </c>
      <c r="AM39" s="6">
        <v>15257.169445347099</v>
      </c>
      <c r="AN39" s="6">
        <v>15112.736849712239</v>
      </c>
      <c r="AO39" s="6">
        <v>14902.597303465182</v>
      </c>
      <c r="AP39" s="6">
        <v>14559.119878494072</v>
      </c>
      <c r="AQ39" s="6">
        <v>14122.439175315334</v>
      </c>
      <c r="AR39" s="6">
        <v>13540.448238277198</v>
      </c>
      <c r="AS39" s="6">
        <v>12876.782046154876</v>
      </c>
      <c r="AT39" s="6">
        <v>12140.891224222911</v>
      </c>
      <c r="AU39" s="6">
        <v>11306.03189239062</v>
      </c>
      <c r="AV39" s="6">
        <v>10479.557013139291</v>
      </c>
      <c r="AW39" s="6">
        <v>9683.7994631000383</v>
      </c>
      <c r="AX39" s="6">
        <v>8796.2081265730885</v>
      </c>
      <c r="AY39" s="6">
        <v>7971.5018347065652</v>
      </c>
      <c r="AZ39" s="6">
        <v>7141.852812561202</v>
      </c>
      <c r="BA39" s="6">
        <v>6429.9180033849398</v>
      </c>
      <c r="BB39" s="6">
        <v>5799.4127008911964</v>
      </c>
      <c r="BC39" s="6">
        <v>5169.676818410986</v>
      </c>
      <c r="BD39" s="6">
        <v>4673.5186597231177</v>
      </c>
      <c r="BE39" s="6">
        <v>4158.0145035834767</v>
      </c>
      <c r="BF39" s="6">
        <v>3730.9223598571989</v>
      </c>
      <c r="BG39" s="6">
        <v>3318.0576073302423</v>
      </c>
      <c r="BH39" s="6">
        <v>2847.234091812109</v>
      </c>
      <c r="BI39" s="6">
        <v>2515.0266090695714</v>
      </c>
      <c r="BJ39" s="6">
        <v>2182.6683171006575</v>
      </c>
      <c r="BK39" s="6">
        <v>1915.7985802410553</v>
      </c>
      <c r="BL39" s="6">
        <v>1681.1748398314828</v>
      </c>
      <c r="BM39" s="6">
        <v>1442.1579471976438</v>
      </c>
      <c r="BN39" s="6">
        <v>1249.5435493919551</v>
      </c>
      <c r="BO39" s="6">
        <v>1116.8969795678881</v>
      </c>
      <c r="BP39" s="6">
        <v>967.86350236839837</v>
      </c>
      <c r="BQ39" s="6">
        <v>846.39851013698456</v>
      </c>
      <c r="BR39" s="6">
        <v>760.5354585466431</v>
      </c>
      <c r="BS39" s="6">
        <v>693.03947569038394</v>
      </c>
      <c r="BT39" s="6">
        <v>627.96257770054444</v>
      </c>
      <c r="BU39" s="6">
        <v>565.00797239841665</v>
      </c>
      <c r="BV39" s="6">
        <v>507.65075557880022</v>
      </c>
      <c r="BW39" s="6">
        <v>453.43191342312178</v>
      </c>
      <c r="BX39" s="6">
        <v>397.86724231968873</v>
      </c>
      <c r="BY39" s="6">
        <v>355.65938681677574</v>
      </c>
      <c r="BZ39" s="6">
        <v>308.7276851805172</v>
      </c>
      <c r="CA39" s="6">
        <v>264.17233496073396</v>
      </c>
      <c r="CB39" s="6">
        <v>223.90930323600509</v>
      </c>
      <c r="CC39" s="6">
        <v>184.52683012125146</v>
      </c>
      <c r="CD39" s="6">
        <v>147.36883109125742</v>
      </c>
      <c r="CE39" s="6">
        <v>113.45000779984089</v>
      </c>
      <c r="CF39" s="6">
        <v>84.709805471373997</v>
      </c>
      <c r="CG39" s="6">
        <v>54.515687402605579</v>
      </c>
      <c r="CH39" s="6">
        <v>24.707745566226613</v>
      </c>
      <c r="CI39" s="6">
        <v>0</v>
      </c>
      <c r="CJ39" s="6">
        <v>0</v>
      </c>
      <c r="CK39" s="6">
        <v>0</v>
      </c>
      <c r="CL39" s="6">
        <v>0</v>
      </c>
      <c r="CM39" s="6">
        <v>0</v>
      </c>
    </row>
    <row r="40" spans="1:91" x14ac:dyDescent="0.25">
      <c r="A40" t="s">
        <v>207</v>
      </c>
      <c r="B40" t="s">
        <v>527</v>
      </c>
      <c r="C40" t="s">
        <v>532</v>
      </c>
      <c r="D40" t="s">
        <v>522</v>
      </c>
      <c r="E40" t="s">
        <v>521</v>
      </c>
      <c r="F40" s="6">
        <v>15640.940843035291</v>
      </c>
      <c r="G40" s="6">
        <v>16150.546759988883</v>
      </c>
      <c r="H40" s="6">
        <v>17648.388786263939</v>
      </c>
      <c r="I40" s="6">
        <v>16725.370693795405</v>
      </c>
      <c r="J40" s="6">
        <v>16380.548324839787</v>
      </c>
      <c r="K40" s="6">
        <v>15499.119986501893</v>
      </c>
      <c r="L40" s="6">
        <v>16964.973485962018</v>
      </c>
      <c r="M40" s="6">
        <v>18776.307489236842</v>
      </c>
      <c r="N40" s="6">
        <v>16990.87642543549</v>
      </c>
      <c r="O40" s="6">
        <v>18068.06638576484</v>
      </c>
      <c r="P40" s="6">
        <v>18247.587022073894</v>
      </c>
      <c r="Q40" s="6">
        <v>20209.470689366266</v>
      </c>
      <c r="R40" s="6">
        <v>19699.848793804682</v>
      </c>
      <c r="S40" s="6">
        <v>20589.961823411428</v>
      </c>
      <c r="T40" s="6">
        <v>19932.694122895617</v>
      </c>
      <c r="U40" s="6">
        <v>21455.132172136808</v>
      </c>
      <c r="V40" s="6">
        <v>21734.471668911941</v>
      </c>
      <c r="W40" s="6">
        <v>20224.013693454704</v>
      </c>
      <c r="X40" s="6">
        <v>21356.548009904149</v>
      </c>
      <c r="Y40" s="6">
        <v>18870.840564758502</v>
      </c>
      <c r="Z40" s="6">
        <v>18772.299934571802</v>
      </c>
      <c r="AA40" s="6">
        <v>18114.081314169005</v>
      </c>
      <c r="AB40" s="6">
        <v>19820.47191931152</v>
      </c>
      <c r="AC40" s="6">
        <v>18884.997469550366</v>
      </c>
      <c r="AD40" s="6">
        <v>18698.599087495157</v>
      </c>
      <c r="AE40" s="6">
        <v>18478.836391393874</v>
      </c>
      <c r="AF40" s="6">
        <v>16973.70962476591</v>
      </c>
      <c r="AG40" s="6">
        <v>17531.475135032353</v>
      </c>
      <c r="AH40" s="6">
        <v>17282.73541087965</v>
      </c>
      <c r="AI40" s="6">
        <v>19152.571947895391</v>
      </c>
      <c r="AJ40" s="6">
        <v>18178.313197265285</v>
      </c>
      <c r="AK40" s="6">
        <v>18330.87507391792</v>
      </c>
      <c r="AL40" s="6">
        <v>16891.342242624993</v>
      </c>
      <c r="AM40" s="6">
        <v>15470.721843282507</v>
      </c>
      <c r="AN40" s="6">
        <v>12840.953773579105</v>
      </c>
      <c r="AO40" s="6">
        <v>11857.767013540402</v>
      </c>
      <c r="AP40" s="6">
        <v>11338.568304805909</v>
      </c>
      <c r="AQ40" s="6">
        <v>11009.847724876372</v>
      </c>
      <c r="AR40" s="6">
        <v>10440.019068675489</v>
      </c>
      <c r="AS40" s="6">
        <v>9966.6959640077839</v>
      </c>
      <c r="AT40" s="6">
        <v>8558.7474247100763</v>
      </c>
      <c r="AU40" s="6">
        <v>8042.4672147778374</v>
      </c>
      <c r="AV40" s="6">
        <v>7667.2367840131446</v>
      </c>
      <c r="AW40" s="6">
        <v>7382.2078920619924</v>
      </c>
      <c r="AX40" s="6">
        <v>7196.035151269718</v>
      </c>
      <c r="AY40" s="6">
        <v>6924.1214921718911</v>
      </c>
      <c r="AZ40" s="6">
        <v>6657.8786752673632</v>
      </c>
      <c r="BA40" s="6">
        <v>6394.9189289727565</v>
      </c>
      <c r="BB40" s="6">
        <v>6124.4270535483847</v>
      </c>
      <c r="BC40" s="6">
        <v>5842.0496014407208</v>
      </c>
      <c r="BD40" s="6">
        <v>4663.6465313402659</v>
      </c>
      <c r="BE40" s="6">
        <v>4406.4536188538077</v>
      </c>
      <c r="BF40" s="6">
        <v>4169.0719196352165</v>
      </c>
      <c r="BG40" s="6">
        <v>3651.7524998791682</v>
      </c>
      <c r="BH40" s="6">
        <v>3438.4474779373313</v>
      </c>
      <c r="BI40" s="6">
        <v>3234.0893625667063</v>
      </c>
      <c r="BJ40" s="6">
        <v>3034.9969220251191</v>
      </c>
      <c r="BK40" s="6">
        <v>2870.8541079413208</v>
      </c>
      <c r="BL40" s="6">
        <v>2690.283835903856</v>
      </c>
      <c r="BM40" s="6">
        <v>2514.7971128897129</v>
      </c>
      <c r="BN40" s="6">
        <v>2348.7075989371033</v>
      </c>
      <c r="BO40" s="6">
        <v>2263.5549903399387</v>
      </c>
      <c r="BP40" s="6">
        <v>2180.5950900559742</v>
      </c>
      <c r="BQ40" s="6">
        <v>2104.6602845118427</v>
      </c>
      <c r="BR40" s="6">
        <v>2037.9275941718111</v>
      </c>
      <c r="BS40" s="6">
        <v>1978.0664271091496</v>
      </c>
      <c r="BT40" s="6">
        <v>1922.2351052668048</v>
      </c>
      <c r="BU40" s="6">
        <v>1870.0179058397719</v>
      </c>
      <c r="BV40" s="6">
        <v>1821.8558595059606</v>
      </c>
      <c r="BW40" s="6">
        <v>1777.0226809145606</v>
      </c>
      <c r="BX40" s="6">
        <v>2043.2103203615836</v>
      </c>
      <c r="BY40" s="6">
        <v>1281.1356290631061</v>
      </c>
      <c r="BZ40" s="6">
        <v>1244.3481861393921</v>
      </c>
      <c r="CA40" s="6">
        <v>1285.7754510142724</v>
      </c>
      <c r="CB40" s="6">
        <v>1058.1813130754256</v>
      </c>
      <c r="CC40" s="6">
        <v>1027.8297549756708</v>
      </c>
      <c r="CD40" s="6">
        <v>999.27012945216325</v>
      </c>
      <c r="CE40" s="6">
        <v>972.22386801784876</v>
      </c>
      <c r="CF40" s="6">
        <v>948.1941355669212</v>
      </c>
      <c r="CG40" s="6">
        <v>923.32439446622766</v>
      </c>
      <c r="CH40" s="6">
        <v>897.95349427643043</v>
      </c>
      <c r="CI40" s="6">
        <v>901.42627386743186</v>
      </c>
      <c r="CJ40" s="6">
        <v>896.18145722698409</v>
      </c>
      <c r="CK40" s="6">
        <v>890.58944615154041</v>
      </c>
      <c r="CL40" s="6">
        <v>884.61893965303079</v>
      </c>
      <c r="CM40" s="6">
        <v>878.31529553394193</v>
      </c>
    </row>
    <row r="41" spans="1:91" x14ac:dyDescent="0.25">
      <c r="A41" t="s">
        <v>207</v>
      </c>
      <c r="B41" t="s">
        <v>527</v>
      </c>
      <c r="C41" t="s">
        <v>532</v>
      </c>
      <c r="D41" t="s">
        <v>523</v>
      </c>
      <c r="E41" t="s">
        <v>521</v>
      </c>
      <c r="F41" s="6">
        <v>3429.1023206090149</v>
      </c>
      <c r="G41" s="6">
        <v>3582.0933132143959</v>
      </c>
      <c r="H41" s="6">
        <v>3230.4006797977117</v>
      </c>
      <c r="I41" s="6">
        <v>3072.4080540294026</v>
      </c>
      <c r="J41" s="6">
        <v>2943.5832063652938</v>
      </c>
      <c r="K41" s="6">
        <v>3036.6428253355557</v>
      </c>
      <c r="L41" s="6">
        <v>3231.1178764295346</v>
      </c>
      <c r="M41" s="6">
        <v>3121.0509253025539</v>
      </c>
      <c r="N41" s="6">
        <v>3108.4252054479571</v>
      </c>
      <c r="O41" s="6">
        <v>3287.2502963250704</v>
      </c>
      <c r="P41" s="6">
        <v>3324.3535917273935</v>
      </c>
      <c r="Q41" s="6">
        <v>3441.9326499549325</v>
      </c>
      <c r="R41" s="6">
        <v>3562.3255597822995</v>
      </c>
      <c r="S41" s="6">
        <v>3798.3629146741546</v>
      </c>
      <c r="T41" s="6">
        <v>3833.9993752516589</v>
      </c>
      <c r="U41" s="6">
        <v>3949.7863117346769</v>
      </c>
      <c r="V41" s="6">
        <v>4067.1636114352182</v>
      </c>
      <c r="W41" s="6">
        <v>4324.6641433976283</v>
      </c>
      <c r="X41" s="6">
        <v>4207.5754142911601</v>
      </c>
      <c r="Y41" s="6">
        <v>4156.3376144420381</v>
      </c>
      <c r="Z41" s="6">
        <v>4471.2064224286651</v>
      </c>
      <c r="AA41" s="6">
        <v>4511.1732699008671</v>
      </c>
      <c r="AB41" s="6">
        <v>4584.743425822363</v>
      </c>
      <c r="AC41" s="6">
        <v>4716.1203271304976</v>
      </c>
      <c r="AD41" s="6">
        <v>4887.0741014170871</v>
      </c>
      <c r="AE41" s="6">
        <v>5014.426570819578</v>
      </c>
      <c r="AF41" s="6">
        <v>4761.4486978313562</v>
      </c>
      <c r="AG41" s="6">
        <v>4803.9943473754338</v>
      </c>
      <c r="AH41" s="6">
        <v>4679.6792337008401</v>
      </c>
      <c r="AI41" s="6">
        <v>4713.1761267541115</v>
      </c>
      <c r="AJ41" s="6">
        <v>4482.2708369643005</v>
      </c>
      <c r="AK41" s="6">
        <v>4684.6924221093341</v>
      </c>
      <c r="AL41" s="6">
        <v>4615.5306846943822</v>
      </c>
      <c r="AM41" s="6">
        <v>4527.0774901879577</v>
      </c>
      <c r="AN41" s="6">
        <v>4561.4447140260791</v>
      </c>
      <c r="AO41" s="6">
        <v>4531.5830099871318</v>
      </c>
      <c r="AP41" s="6">
        <v>4520.2431432731055</v>
      </c>
      <c r="AQ41" s="6">
        <v>4475.9232009926682</v>
      </c>
      <c r="AR41" s="6">
        <v>4437.3438495564878</v>
      </c>
      <c r="AS41" s="6">
        <v>4418.4714579346728</v>
      </c>
      <c r="AT41" s="6">
        <v>4189.6175136617467</v>
      </c>
      <c r="AU41" s="6">
        <v>4152.7025661890148</v>
      </c>
      <c r="AV41" s="6">
        <v>4118.1638381475095</v>
      </c>
      <c r="AW41" s="6">
        <v>4074.2373670370248</v>
      </c>
      <c r="AX41" s="6">
        <v>4037.0588209614439</v>
      </c>
      <c r="AY41" s="6">
        <v>4032.1997556739379</v>
      </c>
      <c r="AZ41" s="6">
        <v>3995.9161703264608</v>
      </c>
      <c r="BA41" s="6">
        <v>3975.3458681184588</v>
      </c>
      <c r="BB41" s="6">
        <v>3956.6216979861983</v>
      </c>
      <c r="BC41" s="6">
        <v>3939.8745394675066</v>
      </c>
      <c r="BD41" s="6">
        <v>3868.9310985478323</v>
      </c>
      <c r="BE41" s="6">
        <v>3857.8291521529131</v>
      </c>
      <c r="BF41" s="6">
        <v>3849.1543209366041</v>
      </c>
      <c r="BG41" s="6">
        <v>3844.9585287107939</v>
      </c>
      <c r="BH41" s="6">
        <v>3843.2882370622556</v>
      </c>
      <c r="BI41" s="6">
        <v>3843.9088929607183</v>
      </c>
      <c r="BJ41" s="6">
        <v>3847.400115947531</v>
      </c>
      <c r="BK41" s="6">
        <v>3853.8389159319904</v>
      </c>
      <c r="BL41" s="6">
        <v>3862.0590012565413</v>
      </c>
      <c r="BM41" s="6">
        <v>3871.3081527366885</v>
      </c>
      <c r="BN41" s="6">
        <v>3883.1322715546034</v>
      </c>
      <c r="BO41" s="6">
        <v>2970.8877054029203</v>
      </c>
      <c r="BP41" s="6">
        <v>2970.8877054029203</v>
      </c>
      <c r="BQ41" s="6">
        <v>2970.8877054029203</v>
      </c>
      <c r="BR41" s="6">
        <v>2970.8877054029203</v>
      </c>
      <c r="BS41" s="6">
        <v>2970.8877054029203</v>
      </c>
      <c r="BT41" s="6">
        <v>2970.8877054029203</v>
      </c>
      <c r="BU41" s="6">
        <v>2970.8877054029203</v>
      </c>
      <c r="BV41" s="6">
        <v>2970.8877054029203</v>
      </c>
      <c r="BW41" s="6">
        <v>2970.8877054029203</v>
      </c>
      <c r="BX41" s="6">
        <v>2970.8877054029203</v>
      </c>
      <c r="BY41" s="6">
        <v>2970.8877054029203</v>
      </c>
      <c r="BZ41" s="6">
        <v>2970.8877054029203</v>
      </c>
      <c r="CA41" s="6">
        <v>2970.8877054029203</v>
      </c>
      <c r="CB41" s="6">
        <v>2970.8877054029203</v>
      </c>
      <c r="CC41" s="6">
        <v>2970.8877054029208</v>
      </c>
      <c r="CD41" s="6">
        <v>2970.8877054029203</v>
      </c>
      <c r="CE41" s="6">
        <v>2970.8877054029203</v>
      </c>
      <c r="CF41" s="6">
        <v>2970.8877054029203</v>
      </c>
      <c r="CG41" s="6">
        <v>2970.8877054029203</v>
      </c>
      <c r="CH41" s="6">
        <v>2970.8877054029203</v>
      </c>
      <c r="CI41" s="6">
        <v>2970.8877054029203</v>
      </c>
      <c r="CJ41" s="6">
        <v>2970.8877054029203</v>
      </c>
      <c r="CK41" s="6">
        <v>2970.8877054029203</v>
      </c>
      <c r="CL41" s="6">
        <v>2970.8877054029203</v>
      </c>
      <c r="CM41" s="6">
        <v>2970.8877054029203</v>
      </c>
    </row>
    <row r="42" spans="1:91" x14ac:dyDescent="0.25">
      <c r="A42" t="s">
        <v>207</v>
      </c>
      <c r="B42" t="s">
        <v>527</v>
      </c>
      <c r="C42" t="s">
        <v>532</v>
      </c>
      <c r="D42" t="s">
        <v>524</v>
      </c>
      <c r="E42" t="s">
        <v>521</v>
      </c>
      <c r="F42" s="6">
        <v>1816.6596733237263</v>
      </c>
      <c r="G42" s="6">
        <v>1893.7218802684215</v>
      </c>
      <c r="H42" s="6">
        <v>1971.3222733100288</v>
      </c>
      <c r="I42" s="6">
        <v>2049.4503492491226</v>
      </c>
      <c r="J42" s="6">
        <v>1947.5325263313807</v>
      </c>
      <c r="K42" s="6">
        <v>2023.8252549837712</v>
      </c>
      <c r="L42" s="6">
        <v>2102.1656796823004</v>
      </c>
      <c r="M42" s="6">
        <v>2125.7547716447093</v>
      </c>
      <c r="N42" s="6">
        <v>2086.8629737313777</v>
      </c>
      <c r="O42" s="6">
        <v>2084.0346339247499</v>
      </c>
      <c r="P42" s="6">
        <v>2103.6901401299438</v>
      </c>
      <c r="Q42" s="6">
        <v>2134.2537068539705</v>
      </c>
      <c r="R42" s="6">
        <v>2173.5947283527944</v>
      </c>
      <c r="S42" s="6">
        <v>2101.4028129686244</v>
      </c>
      <c r="T42" s="6">
        <v>2124.9026062551302</v>
      </c>
      <c r="U42" s="6">
        <v>2134.5667014321762</v>
      </c>
      <c r="V42" s="6">
        <v>1957.2003317893241</v>
      </c>
      <c r="W42" s="6">
        <v>1922.5694677164029</v>
      </c>
      <c r="X42" s="6">
        <v>1846.56179242198</v>
      </c>
      <c r="Y42" s="6">
        <v>1723.3205496528278</v>
      </c>
      <c r="Z42" s="6">
        <v>1665.7456629024559</v>
      </c>
      <c r="AA42" s="6">
        <v>1519.6605558608351</v>
      </c>
      <c r="AB42" s="6">
        <v>1410.5413176396301</v>
      </c>
      <c r="AC42" s="6">
        <v>1359.9084848190901</v>
      </c>
      <c r="AD42" s="6">
        <v>1314.1708670740722</v>
      </c>
      <c r="AE42" s="6">
        <v>1275.9271345153275</v>
      </c>
      <c r="AF42" s="6">
        <v>1246.0586846922251</v>
      </c>
      <c r="AG42" s="6">
        <v>1214.8602401561525</v>
      </c>
      <c r="AH42" s="6">
        <v>1156.3598029499428</v>
      </c>
      <c r="AI42" s="6">
        <v>1114.3950725962225</v>
      </c>
      <c r="AJ42" s="6">
        <v>1075.3643344180375</v>
      </c>
      <c r="AK42" s="6">
        <v>1058.4109684228663</v>
      </c>
      <c r="AL42" s="6">
        <v>1033.212300658286</v>
      </c>
      <c r="AM42" s="6">
        <v>996.3164129459052</v>
      </c>
      <c r="AN42" s="6">
        <v>960.78960512158892</v>
      </c>
      <c r="AO42" s="6">
        <v>925.04832155596773</v>
      </c>
      <c r="AP42" s="6">
        <v>889.02457419959956</v>
      </c>
      <c r="AQ42" s="6">
        <v>853.30502435548965</v>
      </c>
      <c r="AR42" s="6">
        <v>818.06085119369118</v>
      </c>
      <c r="AS42" s="6">
        <v>783.33888514538035</v>
      </c>
      <c r="AT42" s="6">
        <v>749.00661600423484</v>
      </c>
      <c r="AU42" s="6">
        <v>713.12299893040836</v>
      </c>
      <c r="AV42" s="6">
        <v>681.75265381906581</v>
      </c>
      <c r="AW42" s="6">
        <v>653.07251772298503</v>
      </c>
      <c r="AX42" s="6">
        <v>626.11264777642305</v>
      </c>
      <c r="AY42" s="6">
        <v>600.52316314937514</v>
      </c>
      <c r="AZ42" s="6">
        <v>575.86587763045134</v>
      </c>
      <c r="BA42" s="6">
        <v>552.05563434795374</v>
      </c>
      <c r="BB42" s="6">
        <v>529.03379695458602</v>
      </c>
      <c r="BC42" s="6">
        <v>506.69177205864327</v>
      </c>
      <c r="BD42" s="6">
        <v>485.08300206828466</v>
      </c>
      <c r="BE42" s="6">
        <v>465.02988086753226</v>
      </c>
      <c r="BF42" s="6">
        <v>445.48055289878113</v>
      </c>
      <c r="BG42" s="6">
        <v>426.42962227669557</v>
      </c>
      <c r="BH42" s="6">
        <v>407.82667776884568</v>
      </c>
      <c r="BI42" s="6">
        <v>389.73655503451369</v>
      </c>
      <c r="BJ42" s="6">
        <v>372.05944067249334</v>
      </c>
      <c r="BK42" s="6">
        <v>354.75156639017149</v>
      </c>
      <c r="BL42" s="6">
        <v>337.84939136662678</v>
      </c>
      <c r="BM42" s="6">
        <v>321.36782763857866</v>
      </c>
      <c r="BN42" s="6">
        <v>305.31110019557548</v>
      </c>
      <c r="BO42" s="6">
        <v>297.22967905717599</v>
      </c>
      <c r="BP42" s="6">
        <v>290.95253861984969</v>
      </c>
      <c r="BQ42" s="6">
        <v>285.75372720463605</v>
      </c>
      <c r="BR42" s="6">
        <v>281.31994733162281</v>
      </c>
      <c r="BS42" s="6">
        <v>277.47527298452138</v>
      </c>
      <c r="BT42" s="6">
        <v>274.11419519031728</v>
      </c>
      <c r="BU42" s="6">
        <v>271.16799419900553</v>
      </c>
      <c r="BV42" s="6">
        <v>268.58778035672935</v>
      </c>
      <c r="BW42" s="6">
        <v>266.33587947345296</v>
      </c>
      <c r="BX42" s="6">
        <v>264.38140209335359</v>
      </c>
      <c r="BY42" s="6">
        <v>262.69791636755292</v>
      </c>
      <c r="BZ42" s="6">
        <v>261.26218371405542</v>
      </c>
      <c r="CA42" s="6">
        <v>260.05343594453001</v>
      </c>
      <c r="CB42" s="6">
        <v>259.05293223223049</v>
      </c>
      <c r="CC42" s="6">
        <v>258.24366417803316</v>
      </c>
      <c r="CD42" s="6">
        <v>257.61014224416618</v>
      </c>
      <c r="CE42" s="6">
        <v>257.13822941375264</v>
      </c>
      <c r="CF42" s="6">
        <v>256.81500431031264</v>
      </c>
      <c r="CG42" s="6">
        <v>256.62864427572657</v>
      </c>
      <c r="CH42" s="6">
        <v>256.56832310652709</v>
      </c>
      <c r="CI42" s="6">
        <v>256.62412031082533</v>
      </c>
      <c r="CJ42" s="6">
        <v>256.7869398841035</v>
      </c>
      <c r="CK42" s="6">
        <v>257.04843721835402</v>
      </c>
      <c r="CL42" s="6">
        <v>257.4009531097376</v>
      </c>
      <c r="CM42" s="6">
        <v>257.83745404278716</v>
      </c>
    </row>
    <row r="43" spans="1:91" x14ac:dyDescent="0.25">
      <c r="A43" t="s">
        <v>207</v>
      </c>
      <c r="B43" t="s">
        <v>527</v>
      </c>
      <c r="C43" t="s">
        <v>532</v>
      </c>
      <c r="D43" t="s">
        <v>525</v>
      </c>
      <c r="E43" t="s">
        <v>521</v>
      </c>
      <c r="F43" s="6">
        <v>29012.897398845394</v>
      </c>
      <c r="G43" s="6">
        <v>29733.023075344903</v>
      </c>
      <c r="H43" s="6">
        <v>31320.108193971439</v>
      </c>
      <c r="I43" s="6">
        <v>30769.917679558341</v>
      </c>
      <c r="J43" s="6">
        <v>30855.464305886358</v>
      </c>
      <c r="K43" s="6">
        <v>30807.15278760434</v>
      </c>
      <c r="L43" s="6">
        <v>32676.98144102552</v>
      </c>
      <c r="M43" s="6">
        <v>34628.447074801872</v>
      </c>
      <c r="N43" s="6">
        <v>32996.622945367468</v>
      </c>
      <c r="O43" s="6">
        <v>34535.956774742503</v>
      </c>
      <c r="P43" s="6">
        <v>35323.941097221861</v>
      </c>
      <c r="Q43" s="6">
        <v>37491.528269252616</v>
      </c>
      <c r="R43" s="6">
        <v>37597.790313188299</v>
      </c>
      <c r="S43" s="6">
        <v>39187.525100695137</v>
      </c>
      <c r="T43" s="6">
        <v>38883.963267331026</v>
      </c>
      <c r="U43" s="6">
        <v>40602.92604799055</v>
      </c>
      <c r="V43" s="6">
        <v>40941.03411633549</v>
      </c>
      <c r="W43" s="6">
        <v>39756.054114169223</v>
      </c>
      <c r="X43" s="6">
        <v>40704.644922956213</v>
      </c>
      <c r="Y43" s="6">
        <v>37851.584943027628</v>
      </c>
      <c r="Z43" s="6">
        <v>38258.189555380639</v>
      </c>
      <c r="AA43" s="6">
        <v>37476.742760931345</v>
      </c>
      <c r="AB43" s="6">
        <v>38822.24438135275</v>
      </c>
      <c r="AC43" s="6">
        <v>38042.386442328796</v>
      </c>
      <c r="AD43" s="6">
        <v>38239.490669053106</v>
      </c>
      <c r="AE43" s="6">
        <v>38574.2154058343</v>
      </c>
      <c r="AF43" s="6">
        <v>36887.73781690115</v>
      </c>
      <c r="AG43" s="6">
        <v>38354.032701478282</v>
      </c>
      <c r="AH43" s="6">
        <v>38244.89921952338</v>
      </c>
      <c r="AI43" s="6">
        <v>39634.847827478443</v>
      </c>
      <c r="AJ43" s="6">
        <v>36911.614290734949</v>
      </c>
      <c r="AK43" s="6">
        <v>38466.436975017779</v>
      </c>
      <c r="AL43" s="6">
        <v>37675.879576072766</v>
      </c>
      <c r="AM43" s="6">
        <v>36251.285191763469</v>
      </c>
      <c r="AN43" s="6">
        <v>33475.924942439015</v>
      </c>
      <c r="AO43" s="6">
        <v>32216.995648548684</v>
      </c>
      <c r="AP43" s="6">
        <v>31306.955900772686</v>
      </c>
      <c r="AQ43" s="6">
        <v>30461.515125539863</v>
      </c>
      <c r="AR43" s="6">
        <v>29235.872007702867</v>
      </c>
      <c r="AS43" s="6">
        <v>28045.288353242715</v>
      </c>
      <c r="AT43" s="6">
        <v>25638.262778598968</v>
      </c>
      <c r="AU43" s="6">
        <v>24214.324672287879</v>
      </c>
      <c r="AV43" s="6">
        <v>22946.710289119012</v>
      </c>
      <c r="AW43" s="6">
        <v>21793.317239922038</v>
      </c>
      <c r="AX43" s="6">
        <v>20655.414746580675</v>
      </c>
      <c r="AY43" s="6">
        <v>19528.346245701767</v>
      </c>
      <c r="AZ43" s="6">
        <v>18371.513535785478</v>
      </c>
      <c r="BA43" s="6">
        <v>17352.23843482411</v>
      </c>
      <c r="BB43" s="6">
        <v>16409.495249380365</v>
      </c>
      <c r="BC43" s="6">
        <v>15458.292731377856</v>
      </c>
      <c r="BD43" s="6">
        <v>13691.179291679502</v>
      </c>
      <c r="BE43" s="6">
        <v>12887.32715545773</v>
      </c>
      <c r="BF43" s="6">
        <v>12194.629153327802</v>
      </c>
      <c r="BG43" s="6">
        <v>11241.1982581969</v>
      </c>
      <c r="BH43" s="6">
        <v>10536.796484580542</v>
      </c>
      <c r="BI43" s="6">
        <v>9982.7614196315099</v>
      </c>
      <c r="BJ43" s="6">
        <v>9437.1247957458017</v>
      </c>
      <c r="BK43" s="6">
        <v>8995.2431705045383</v>
      </c>
      <c r="BL43" s="6">
        <v>8571.367068358506</v>
      </c>
      <c r="BM43" s="6">
        <v>8149.6310404626247</v>
      </c>
      <c r="BN43" s="6">
        <v>7786.694520079237</v>
      </c>
      <c r="BO43" s="6">
        <v>6648.5693543679236</v>
      </c>
      <c r="BP43" s="6">
        <v>6410.2988364471421</v>
      </c>
      <c r="BQ43" s="6">
        <v>6207.7002272563832</v>
      </c>
      <c r="BR43" s="6">
        <v>6050.670705452997</v>
      </c>
      <c r="BS43" s="6">
        <v>5919.4688811869755</v>
      </c>
      <c r="BT43" s="6">
        <v>5795.1995835605867</v>
      </c>
      <c r="BU43" s="6">
        <v>5677.0815778401138</v>
      </c>
      <c r="BV43" s="6">
        <v>5568.9821008444105</v>
      </c>
      <c r="BW43" s="6">
        <v>5467.6781792140564</v>
      </c>
      <c r="BX43" s="6">
        <v>5676.346670177546</v>
      </c>
      <c r="BY43" s="6">
        <v>4870.3806376503553</v>
      </c>
      <c r="BZ43" s="6">
        <v>4785.2257604368851</v>
      </c>
      <c r="CA43" s="6">
        <v>4780.8889273224568</v>
      </c>
      <c r="CB43" s="6">
        <v>4512.0312539465822</v>
      </c>
      <c r="CC43" s="6">
        <v>4441.4879546778757</v>
      </c>
      <c r="CD43" s="6">
        <v>4375.1368081905075</v>
      </c>
      <c r="CE43" s="6">
        <v>4313.6998106343626</v>
      </c>
      <c r="CF43" s="6">
        <v>4260.6066507515279</v>
      </c>
      <c r="CG43" s="6">
        <v>4205.3564315474805</v>
      </c>
      <c r="CH43" s="6">
        <v>4150.1172683521045</v>
      </c>
      <c r="CI43" s="6">
        <v>4128.938099581178</v>
      </c>
      <c r="CJ43" s="6">
        <v>4123.8561025140079</v>
      </c>
      <c r="CK43" s="6">
        <v>4118.5255887728144</v>
      </c>
      <c r="CL43" s="6">
        <v>4112.9075981656888</v>
      </c>
      <c r="CM43" s="6">
        <v>4107.0404549796494</v>
      </c>
    </row>
    <row r="44" spans="1:91" x14ac:dyDescent="0.25">
      <c r="A44" t="s">
        <v>208</v>
      </c>
      <c r="B44" t="s">
        <v>527</v>
      </c>
      <c r="C44" t="s">
        <v>533</v>
      </c>
      <c r="D44" t="s">
        <v>518</v>
      </c>
      <c r="E44" t="s">
        <v>519</v>
      </c>
      <c r="F44">
        <v>0</v>
      </c>
      <c r="G44">
        <v>0</v>
      </c>
      <c r="H44">
        <v>0</v>
      </c>
      <c r="I44">
        <v>0</v>
      </c>
      <c r="J44">
        <v>0</v>
      </c>
      <c r="K44">
        <v>0</v>
      </c>
      <c r="L44">
        <v>0</v>
      </c>
      <c r="M44">
        <v>0</v>
      </c>
      <c r="N44">
        <v>0</v>
      </c>
      <c r="O44">
        <v>0</v>
      </c>
      <c r="P44">
        <v>0</v>
      </c>
      <c r="Q44">
        <v>0</v>
      </c>
      <c r="R44">
        <v>0</v>
      </c>
      <c r="S44">
        <v>0</v>
      </c>
      <c r="T44">
        <v>0</v>
      </c>
      <c r="U44">
        <v>0</v>
      </c>
      <c r="V44">
        <v>0</v>
      </c>
      <c r="W44">
        <v>0</v>
      </c>
      <c r="X44">
        <v>0</v>
      </c>
      <c r="Y44">
        <v>0</v>
      </c>
      <c r="Z44">
        <v>11.416538041464802</v>
      </c>
      <c r="AA44">
        <v>8.7327708333333316</v>
      </c>
      <c r="AB44">
        <v>2.2770791666666668</v>
      </c>
      <c r="AC44">
        <v>1.3566666666666667</v>
      </c>
      <c r="AD44">
        <v>1.9666666666666663</v>
      </c>
      <c r="AE44">
        <v>4.4622309027777769</v>
      </c>
      <c r="AF44">
        <v>7.7698003472222208</v>
      </c>
      <c r="AG44">
        <v>11.941235920833332</v>
      </c>
      <c r="AH44">
        <v>18.817684762500001</v>
      </c>
      <c r="AI44">
        <v>24.5</v>
      </c>
      <c r="AJ44">
        <v>30</v>
      </c>
      <c r="AK44">
        <v>46.305643178011259</v>
      </c>
      <c r="AL44">
        <v>69.696559398715706</v>
      </c>
      <c r="AM44">
        <v>50</v>
      </c>
      <c r="AN44">
        <v>51.5</v>
      </c>
      <c r="AO44">
        <v>53.045000000000002</v>
      </c>
      <c r="AP44">
        <v>54.63635</v>
      </c>
      <c r="AQ44">
        <v>56.275440500000002</v>
      </c>
      <c r="AR44">
        <v>57.963703715000001</v>
      </c>
      <c r="AS44">
        <v>59.702614826450002</v>
      </c>
      <c r="AT44">
        <v>61.493693271243501</v>
      </c>
      <c r="AU44">
        <v>63.338504069380811</v>
      </c>
      <c r="AV44">
        <v>65.238659191462233</v>
      </c>
      <c r="AW44">
        <v>67.195818967206108</v>
      </c>
      <c r="AX44">
        <v>69.211693536222299</v>
      </c>
      <c r="AY44">
        <v>71.288044342308964</v>
      </c>
      <c r="AZ44">
        <v>73.42668567257823</v>
      </c>
      <c r="BA44">
        <v>75.629486242755576</v>
      </c>
      <c r="BB44">
        <v>77.898370830038246</v>
      </c>
      <c r="BC44">
        <v>80.235321954939394</v>
      </c>
      <c r="BD44">
        <v>82.642381613587574</v>
      </c>
      <c r="BE44">
        <v>85.121653061995204</v>
      </c>
      <c r="BF44">
        <v>87.675302653855056</v>
      </c>
      <c r="BG44">
        <v>90.305561733470711</v>
      </c>
      <c r="BH44">
        <v>93.014728585474828</v>
      </c>
      <c r="BI44">
        <v>95.805170443039074</v>
      </c>
      <c r="BJ44">
        <v>98.679325556330255</v>
      </c>
      <c r="BK44">
        <v>101.63970532302017</v>
      </c>
      <c r="BL44">
        <v>104.68889648271077</v>
      </c>
      <c r="BM44">
        <v>107.8295633771921</v>
      </c>
      <c r="BN44">
        <v>111.06445027850786</v>
      </c>
    </row>
    <row r="45" spans="1:91" x14ac:dyDescent="0.25">
      <c r="A45" t="s">
        <v>208</v>
      </c>
      <c r="B45" t="s">
        <v>527</v>
      </c>
      <c r="C45" t="s">
        <v>533</v>
      </c>
      <c r="D45" t="s">
        <v>520</v>
      </c>
      <c r="E45" t="s">
        <v>521</v>
      </c>
      <c r="F45">
        <v>8126.1945618773643</v>
      </c>
      <c r="G45">
        <v>8106.661121873205</v>
      </c>
      <c r="H45">
        <v>8469.9964545997555</v>
      </c>
      <c r="I45">
        <v>8922.6885824844103</v>
      </c>
      <c r="J45">
        <v>9583.8002483498967</v>
      </c>
      <c r="K45">
        <v>10247.564720783123</v>
      </c>
      <c r="L45">
        <v>10378.724398951666</v>
      </c>
      <c r="M45">
        <v>10605.333888617772</v>
      </c>
      <c r="N45">
        <v>10810.458340752642</v>
      </c>
      <c r="O45">
        <v>11096.605458727845</v>
      </c>
      <c r="P45">
        <v>11648.310343290637</v>
      </c>
      <c r="Q45">
        <v>11705.871223077451</v>
      </c>
      <c r="R45">
        <v>12162.021231248526</v>
      </c>
      <c r="S45">
        <v>12697.797549640931</v>
      </c>
      <c r="T45">
        <v>12992.367162928625</v>
      </c>
      <c r="U45">
        <v>13063.440862686894</v>
      </c>
      <c r="V45">
        <v>13182.198504199005</v>
      </c>
      <c r="W45">
        <v>13284.806809600492</v>
      </c>
      <c r="X45">
        <v>13293.959706338926</v>
      </c>
      <c r="Y45">
        <v>13101.086214174264</v>
      </c>
      <c r="Z45">
        <v>13348.937535477718</v>
      </c>
      <c r="AA45">
        <v>13331.827621000642</v>
      </c>
      <c r="AB45">
        <v>13006.487718579234</v>
      </c>
      <c r="AC45">
        <v>13081.360160828839</v>
      </c>
      <c r="AD45">
        <v>13339.646613066796</v>
      </c>
      <c r="AE45">
        <v>13805.025309105527</v>
      </c>
      <c r="AF45">
        <v>13906.520809611657</v>
      </c>
      <c r="AG45">
        <v>14803.702978914342</v>
      </c>
      <c r="AH45">
        <v>15126.124771992951</v>
      </c>
      <c r="AI45">
        <v>14654.704680232724</v>
      </c>
      <c r="AJ45">
        <v>13175.66592208733</v>
      </c>
      <c r="AK45">
        <v>14392.458510567654</v>
      </c>
      <c r="AL45">
        <v>15136.133547146508</v>
      </c>
      <c r="AM45">
        <v>15270.702539983016</v>
      </c>
      <c r="AN45">
        <v>15155.942168245174</v>
      </c>
      <c r="AO45">
        <v>15013.159494454754</v>
      </c>
      <c r="AP45">
        <v>14778.96829179451</v>
      </c>
      <c r="AQ45">
        <v>14506.910097891279</v>
      </c>
      <c r="AR45">
        <v>14127.132924781545</v>
      </c>
      <c r="AS45">
        <v>13637.050950154477</v>
      </c>
      <c r="AT45">
        <v>13034.098614355968</v>
      </c>
      <c r="AU45">
        <v>12331.962561540415</v>
      </c>
      <c r="AV45">
        <v>11521.591597821518</v>
      </c>
      <c r="AW45">
        <v>10734.130510031859</v>
      </c>
      <c r="AX45">
        <v>9913.8716869293512</v>
      </c>
      <c r="AY45">
        <v>9094.3102231643425</v>
      </c>
      <c r="AZ45">
        <v>8289.3417190205346</v>
      </c>
      <c r="BA45">
        <v>7614.516246966471</v>
      </c>
      <c r="BB45">
        <v>6966.8945274130856</v>
      </c>
      <c r="BC45">
        <v>6260.0747453885197</v>
      </c>
      <c r="BD45">
        <v>5675.3255216327416</v>
      </c>
      <c r="BE45">
        <v>5070.9159662367047</v>
      </c>
      <c r="BF45">
        <v>4581.4608646535798</v>
      </c>
      <c r="BG45">
        <v>4099.4668930914004</v>
      </c>
      <c r="BH45">
        <v>3631.1623921148293</v>
      </c>
      <c r="BI45">
        <v>3147.6491742638295</v>
      </c>
      <c r="BJ45">
        <v>2721.0106805730161</v>
      </c>
      <c r="BK45">
        <v>2386.0354844566964</v>
      </c>
      <c r="BL45">
        <v>2108.3659028638181</v>
      </c>
      <c r="BM45">
        <v>1808.6123670021541</v>
      </c>
      <c r="BN45">
        <v>1582.1328121114236</v>
      </c>
    </row>
    <row r="46" spans="1:91" x14ac:dyDescent="0.25">
      <c r="A46" t="s">
        <v>208</v>
      </c>
      <c r="B46" t="s">
        <v>527</v>
      </c>
      <c r="C46" t="s">
        <v>533</v>
      </c>
      <c r="D46" t="s">
        <v>522</v>
      </c>
      <c r="E46" t="s">
        <v>521</v>
      </c>
      <c r="F46">
        <v>15640.940843035291</v>
      </c>
      <c r="G46">
        <v>16150.546759988883</v>
      </c>
      <c r="H46">
        <v>17648.388786263939</v>
      </c>
      <c r="I46">
        <v>16725.370693795405</v>
      </c>
      <c r="J46">
        <v>16380.548324839787</v>
      </c>
      <c r="K46">
        <v>15499.119986501893</v>
      </c>
      <c r="L46">
        <v>16964.973485962018</v>
      </c>
      <c r="M46">
        <v>18776.307489236842</v>
      </c>
      <c r="N46">
        <v>16990.87642543549</v>
      </c>
      <c r="O46">
        <v>18068.06638576484</v>
      </c>
      <c r="P46">
        <v>18247.587022073894</v>
      </c>
      <c r="Q46">
        <v>20209.470689366266</v>
      </c>
      <c r="R46">
        <v>19699.848793804682</v>
      </c>
      <c r="S46">
        <v>20589.961823411428</v>
      </c>
      <c r="T46">
        <v>19932.694122895617</v>
      </c>
      <c r="U46">
        <v>21455.132172136808</v>
      </c>
      <c r="V46">
        <v>21734.471668911941</v>
      </c>
      <c r="W46">
        <v>20224.013693454704</v>
      </c>
      <c r="X46">
        <v>21356.548009904149</v>
      </c>
      <c r="Y46">
        <v>18870.840564758502</v>
      </c>
      <c r="Z46">
        <v>18772.299934571802</v>
      </c>
      <c r="AA46">
        <v>18114.081314169005</v>
      </c>
      <c r="AB46">
        <v>19820.47191931152</v>
      </c>
      <c r="AC46">
        <v>18884.997469550366</v>
      </c>
      <c r="AD46">
        <v>18698.599087495157</v>
      </c>
      <c r="AE46">
        <v>18478.836391393874</v>
      </c>
      <c r="AF46">
        <v>16973.70962476591</v>
      </c>
      <c r="AG46">
        <v>17531.475135032353</v>
      </c>
      <c r="AH46">
        <v>17282.73541087965</v>
      </c>
      <c r="AI46">
        <v>19152.571947895391</v>
      </c>
      <c r="AJ46">
        <v>18178.313197265285</v>
      </c>
      <c r="AK46">
        <v>18330.87507391792</v>
      </c>
      <c r="AL46">
        <v>17028.599934152018</v>
      </c>
      <c r="AM46">
        <v>16297.049568013716</v>
      </c>
      <c r="AN46">
        <v>15520.515248723088</v>
      </c>
      <c r="AO46">
        <v>14980.186600679684</v>
      </c>
      <c r="AP46">
        <v>14758.110238763264</v>
      </c>
      <c r="AQ46">
        <v>14552.21320358405</v>
      </c>
      <c r="AR46">
        <v>14381.609696248997</v>
      </c>
      <c r="AS46">
        <v>14357.540679929369</v>
      </c>
      <c r="AT46">
        <v>13504.295390158673</v>
      </c>
      <c r="AU46">
        <v>13283.993830342515</v>
      </c>
      <c r="AV46">
        <v>12980.992780553997</v>
      </c>
      <c r="AW46">
        <v>12847.876886966522</v>
      </c>
      <c r="AX46">
        <v>12688.457185857586</v>
      </c>
      <c r="AY46">
        <v>12484.922111312004</v>
      </c>
      <c r="AZ46">
        <v>12266.744417743686</v>
      </c>
      <c r="BA46">
        <v>12006.792442937976</v>
      </c>
      <c r="BB46">
        <v>11679.241067785551</v>
      </c>
      <c r="BC46">
        <v>11277.299952587367</v>
      </c>
      <c r="BD46">
        <v>10092.547360088447</v>
      </c>
      <c r="BE46">
        <v>9691.0043704924701</v>
      </c>
      <c r="BF46">
        <v>9071.906516250212</v>
      </c>
      <c r="BG46">
        <v>8662.5567682223882</v>
      </c>
      <c r="BH46">
        <v>8253.3461167244477</v>
      </c>
      <c r="BI46">
        <v>7820.2308679800644</v>
      </c>
      <c r="BJ46">
        <v>7392.0428212414754</v>
      </c>
      <c r="BK46">
        <v>6967.9523527348192</v>
      </c>
      <c r="BL46">
        <v>6570.2436772729025</v>
      </c>
      <c r="BM46">
        <v>6129.4406353015756</v>
      </c>
      <c r="BN46">
        <v>5732.63024159005</v>
      </c>
    </row>
    <row r="47" spans="1:91" x14ac:dyDescent="0.25">
      <c r="A47" t="s">
        <v>208</v>
      </c>
      <c r="B47" t="s">
        <v>527</v>
      </c>
      <c r="C47" t="s">
        <v>533</v>
      </c>
      <c r="D47" t="s">
        <v>523</v>
      </c>
      <c r="E47" t="s">
        <v>521</v>
      </c>
      <c r="F47">
        <v>3429.1023206090149</v>
      </c>
      <c r="G47">
        <v>3582.0933132143959</v>
      </c>
      <c r="H47">
        <v>3230.4006797977117</v>
      </c>
      <c r="I47">
        <v>3072.4080540294026</v>
      </c>
      <c r="J47">
        <v>2943.5832063652938</v>
      </c>
      <c r="K47">
        <v>3036.6428253355557</v>
      </c>
      <c r="L47">
        <v>3231.1178764295346</v>
      </c>
      <c r="M47">
        <v>3121.0509253025539</v>
      </c>
      <c r="N47">
        <v>3108.4252054479571</v>
      </c>
      <c r="O47">
        <v>3287.2502963250704</v>
      </c>
      <c r="P47">
        <v>3324.3535917273935</v>
      </c>
      <c r="Q47">
        <v>3441.9326499549325</v>
      </c>
      <c r="R47">
        <v>3562.3255597822995</v>
      </c>
      <c r="S47">
        <v>3798.3629146741546</v>
      </c>
      <c r="T47">
        <v>3833.9993752516589</v>
      </c>
      <c r="U47">
        <v>3949.7863117346769</v>
      </c>
      <c r="V47">
        <v>4067.1636114352182</v>
      </c>
      <c r="W47">
        <v>4324.6641433976283</v>
      </c>
      <c r="X47">
        <v>4207.5754142911601</v>
      </c>
      <c r="Y47">
        <v>4156.3376144420381</v>
      </c>
      <c r="Z47">
        <v>4471.2064224286651</v>
      </c>
      <c r="AA47">
        <v>4511.1732699008671</v>
      </c>
      <c r="AB47">
        <v>4584.743425822363</v>
      </c>
      <c r="AC47">
        <v>4716.1203271304976</v>
      </c>
      <c r="AD47">
        <v>4887.0741014170871</v>
      </c>
      <c r="AE47">
        <v>5014.426570819578</v>
      </c>
      <c r="AF47">
        <v>4761.4486978313562</v>
      </c>
      <c r="AG47">
        <v>4803.9943473754338</v>
      </c>
      <c r="AH47">
        <v>4679.6792337008401</v>
      </c>
      <c r="AI47">
        <v>4713.1761267541115</v>
      </c>
      <c r="AJ47">
        <v>4482.2708369643005</v>
      </c>
      <c r="AK47">
        <v>4684.6924221093341</v>
      </c>
      <c r="AL47">
        <v>4615.5306846943831</v>
      </c>
      <c r="AM47">
        <v>4527.0774901879577</v>
      </c>
      <c r="AN47">
        <v>4561.4447140260791</v>
      </c>
      <c r="AO47">
        <v>4531.5830099871309</v>
      </c>
      <c r="AP47">
        <v>4520.2431432731055</v>
      </c>
      <c r="AQ47">
        <v>4475.9232009926691</v>
      </c>
      <c r="AR47">
        <v>4437.3438495564887</v>
      </c>
      <c r="AS47">
        <v>4418.4714579346728</v>
      </c>
      <c r="AT47">
        <v>4189.6175136617467</v>
      </c>
      <c r="AU47">
        <v>4152.7025661890148</v>
      </c>
      <c r="AV47">
        <v>4118.1638381475086</v>
      </c>
      <c r="AW47">
        <v>4074.2373670370248</v>
      </c>
      <c r="AX47">
        <v>4037.058820961443</v>
      </c>
      <c r="AY47">
        <v>4032.1997556739379</v>
      </c>
      <c r="AZ47">
        <v>3995.9161703264608</v>
      </c>
      <c r="BA47">
        <v>3975.3458681184588</v>
      </c>
      <c r="BB47">
        <v>3956.6216979861983</v>
      </c>
      <c r="BC47">
        <v>3939.874539467507</v>
      </c>
      <c r="BD47">
        <v>3868.9310985478323</v>
      </c>
      <c r="BE47">
        <v>3857.8291521529131</v>
      </c>
      <c r="BF47">
        <v>3849.1543209366041</v>
      </c>
      <c r="BG47">
        <v>3844.9585287107934</v>
      </c>
      <c r="BH47">
        <v>3843.2882370622556</v>
      </c>
      <c r="BI47">
        <v>3843.9088929607178</v>
      </c>
      <c r="BJ47">
        <v>3847.400115947531</v>
      </c>
      <c r="BK47">
        <v>3853.83891593199</v>
      </c>
      <c r="BL47">
        <v>3862.0590012565413</v>
      </c>
      <c r="BM47">
        <v>3871.3081527366885</v>
      </c>
      <c r="BN47">
        <v>3883.132271554603</v>
      </c>
    </row>
    <row r="48" spans="1:91" x14ac:dyDescent="0.25">
      <c r="A48" t="s">
        <v>208</v>
      </c>
      <c r="B48" t="s">
        <v>527</v>
      </c>
      <c r="C48" t="s">
        <v>533</v>
      </c>
      <c r="D48" t="s">
        <v>524</v>
      </c>
      <c r="E48" t="s">
        <v>521</v>
      </c>
      <c r="F48">
        <v>1816.6596733237263</v>
      </c>
      <c r="G48">
        <v>1893.7218802684215</v>
      </c>
      <c r="H48">
        <v>1971.3222733100288</v>
      </c>
      <c r="I48">
        <v>2049.4503492491226</v>
      </c>
      <c r="J48">
        <v>1947.5325263313807</v>
      </c>
      <c r="K48">
        <v>2023.8252549837712</v>
      </c>
      <c r="L48">
        <v>2102.1656796823004</v>
      </c>
      <c r="M48">
        <v>2125.7547716447093</v>
      </c>
      <c r="N48">
        <v>2086.8629737313777</v>
      </c>
      <c r="O48">
        <v>2084.0346339247499</v>
      </c>
      <c r="P48">
        <v>2103.6901401299438</v>
      </c>
      <c r="Q48">
        <v>2134.2537068539705</v>
      </c>
      <c r="R48">
        <v>2173.5947283527944</v>
      </c>
      <c r="S48">
        <v>2101.4028129686244</v>
      </c>
      <c r="T48">
        <v>2124.9026062551302</v>
      </c>
      <c r="U48">
        <v>2134.5667014321762</v>
      </c>
      <c r="V48">
        <v>1957.2003317893241</v>
      </c>
      <c r="W48">
        <v>1922.5694677164029</v>
      </c>
      <c r="X48">
        <v>1846.56179242198</v>
      </c>
      <c r="Y48">
        <v>1723.3205496528278</v>
      </c>
      <c r="Z48">
        <v>1665.7456629024559</v>
      </c>
      <c r="AA48">
        <v>1519.6605558608351</v>
      </c>
      <c r="AB48">
        <v>1410.5413176396301</v>
      </c>
      <c r="AC48">
        <v>1359.9084848190901</v>
      </c>
      <c r="AD48">
        <v>1314.1708670740722</v>
      </c>
      <c r="AE48">
        <v>1275.9271345153275</v>
      </c>
      <c r="AF48">
        <v>1246.0586846922251</v>
      </c>
      <c r="AG48">
        <v>1214.8602401561525</v>
      </c>
      <c r="AH48">
        <v>1156.3598029499428</v>
      </c>
      <c r="AI48">
        <v>1114.3950725962225</v>
      </c>
      <c r="AJ48">
        <v>1075.3643344180375</v>
      </c>
      <c r="AK48">
        <v>1058.4109684228663</v>
      </c>
      <c r="AL48">
        <v>1033.212300658286</v>
      </c>
      <c r="AM48">
        <v>996.3164129459052</v>
      </c>
      <c r="AN48">
        <v>960.78960512158892</v>
      </c>
      <c r="AO48">
        <v>925.04832155596773</v>
      </c>
      <c r="AP48">
        <v>889.02457419959956</v>
      </c>
      <c r="AQ48">
        <v>853.30502435548965</v>
      </c>
      <c r="AR48">
        <v>818.06085119369118</v>
      </c>
      <c r="AS48">
        <v>783.33888514538035</v>
      </c>
      <c r="AT48">
        <v>749.00661600423484</v>
      </c>
      <c r="AU48">
        <v>713.12299893040836</v>
      </c>
      <c r="AV48">
        <v>681.75265381906581</v>
      </c>
      <c r="AW48">
        <v>653.07251772298503</v>
      </c>
      <c r="AX48">
        <v>626.11264777642305</v>
      </c>
      <c r="AY48">
        <v>600.52316314937514</v>
      </c>
      <c r="AZ48">
        <v>575.86587763045134</v>
      </c>
      <c r="BA48">
        <v>552.05563434795374</v>
      </c>
      <c r="BB48">
        <v>529.03379695458602</v>
      </c>
      <c r="BC48">
        <v>506.69177205864327</v>
      </c>
      <c r="BD48">
        <v>485.08300206828466</v>
      </c>
      <c r="BE48">
        <v>465.02988086753226</v>
      </c>
      <c r="BF48">
        <v>445.48055289878113</v>
      </c>
      <c r="BG48">
        <v>426.42962227669557</v>
      </c>
      <c r="BH48">
        <v>407.82667776884568</v>
      </c>
      <c r="BI48">
        <v>389.73655503451369</v>
      </c>
      <c r="BJ48">
        <v>372.05944067249334</v>
      </c>
      <c r="BK48">
        <v>354.75156639017149</v>
      </c>
      <c r="BL48">
        <v>337.84939136662678</v>
      </c>
      <c r="BM48">
        <v>321.36782763857866</v>
      </c>
      <c r="BN48">
        <v>305.31110019557548</v>
      </c>
    </row>
    <row r="49" spans="1:66" x14ac:dyDescent="0.25">
      <c r="A49" t="s">
        <v>208</v>
      </c>
      <c r="B49" t="s">
        <v>527</v>
      </c>
      <c r="C49" t="s">
        <v>533</v>
      </c>
      <c r="D49" t="s">
        <v>525</v>
      </c>
      <c r="E49" t="s">
        <v>521</v>
      </c>
      <c r="F49">
        <v>29012.897398845394</v>
      </c>
      <c r="G49">
        <v>29733.023075344903</v>
      </c>
      <c r="H49">
        <v>31320.108193971439</v>
      </c>
      <c r="I49">
        <v>30769.917679558341</v>
      </c>
      <c r="J49">
        <v>30855.464305886358</v>
      </c>
      <c r="K49">
        <v>30807.15278760434</v>
      </c>
      <c r="L49">
        <v>32676.98144102552</v>
      </c>
      <c r="M49">
        <v>34628.447074801872</v>
      </c>
      <c r="N49">
        <v>32996.622945367468</v>
      </c>
      <c r="O49">
        <v>34535.956774742503</v>
      </c>
      <c r="P49">
        <v>35323.941097221861</v>
      </c>
      <c r="Q49">
        <v>37491.528269252616</v>
      </c>
      <c r="R49">
        <v>37597.790313188299</v>
      </c>
      <c r="S49">
        <v>39187.525100695137</v>
      </c>
      <c r="T49">
        <v>38883.963267331026</v>
      </c>
      <c r="U49">
        <v>40602.92604799055</v>
      </c>
      <c r="V49">
        <v>40941.03411633549</v>
      </c>
      <c r="W49">
        <v>39756.054114169223</v>
      </c>
      <c r="X49">
        <v>40704.644922956213</v>
      </c>
      <c r="Y49">
        <v>37851.584943027628</v>
      </c>
      <c r="Z49">
        <v>38258.189555380639</v>
      </c>
      <c r="AA49">
        <v>37476.742760931345</v>
      </c>
      <c r="AB49">
        <v>38822.24438135275</v>
      </c>
      <c r="AC49">
        <v>38042.386442328796</v>
      </c>
      <c r="AD49">
        <v>38239.490669053106</v>
      </c>
      <c r="AE49">
        <v>38574.2154058343</v>
      </c>
      <c r="AF49">
        <v>36887.73781690115</v>
      </c>
      <c r="AG49">
        <v>38354.032701478282</v>
      </c>
      <c r="AH49">
        <v>38244.89921952338</v>
      </c>
      <c r="AI49">
        <v>39634.847827478443</v>
      </c>
      <c r="AJ49">
        <v>36911.614290734949</v>
      </c>
      <c r="AK49">
        <v>38466.436975017779</v>
      </c>
      <c r="AL49">
        <v>37813.476466651198</v>
      </c>
      <c r="AM49">
        <v>37091.146011130593</v>
      </c>
      <c r="AN49">
        <v>36198.691736115929</v>
      </c>
      <c r="AO49">
        <v>35449.977426677535</v>
      </c>
      <c r="AP49">
        <v>34946.346248030473</v>
      </c>
      <c r="AQ49">
        <v>34388.351526823491</v>
      </c>
      <c r="AR49">
        <v>33764.147321780722</v>
      </c>
      <c r="AS49">
        <v>33196.401973163898</v>
      </c>
      <c r="AT49">
        <v>31477.01813418062</v>
      </c>
      <c r="AU49">
        <v>30481.781957002353</v>
      </c>
      <c r="AV49">
        <v>29302.50087034209</v>
      </c>
      <c r="AW49">
        <v>28309.317281758387</v>
      </c>
      <c r="AX49">
        <v>27265.500341524803</v>
      </c>
      <c r="AY49">
        <v>26211.955253299657</v>
      </c>
      <c r="AZ49">
        <v>25127.868184721134</v>
      </c>
      <c r="BA49">
        <v>24148.710192370861</v>
      </c>
      <c r="BB49">
        <v>23131.791090139421</v>
      </c>
      <c r="BC49">
        <v>21983.941009502036</v>
      </c>
      <c r="BD49">
        <v>20121.886982337306</v>
      </c>
      <c r="BE49">
        <v>19084.77936974962</v>
      </c>
      <c r="BF49">
        <v>17948.002254739178</v>
      </c>
      <c r="BG49">
        <v>17033.411812301281</v>
      </c>
      <c r="BH49">
        <v>16135.623423670379</v>
      </c>
      <c r="BI49">
        <v>15201.525490239124</v>
      </c>
      <c r="BJ49">
        <v>14332.513058434515</v>
      </c>
      <c r="BK49">
        <v>13562.578319513677</v>
      </c>
      <c r="BL49">
        <v>12878.517972759888</v>
      </c>
      <c r="BM49">
        <v>12130.728982678997</v>
      </c>
      <c r="BN49">
        <v>11503.206425451652</v>
      </c>
    </row>
    <row r="50" spans="1:66" x14ac:dyDescent="0.25">
      <c r="A50" t="s">
        <v>209</v>
      </c>
      <c r="B50" t="s">
        <v>527</v>
      </c>
      <c r="C50" t="s">
        <v>534</v>
      </c>
      <c r="D50" t="s">
        <v>518</v>
      </c>
      <c r="E50" t="s">
        <v>519</v>
      </c>
      <c r="F50">
        <v>0</v>
      </c>
      <c r="G50">
        <v>0</v>
      </c>
      <c r="H50">
        <v>0</v>
      </c>
      <c r="I50">
        <v>0</v>
      </c>
      <c r="J50">
        <v>0</v>
      </c>
      <c r="K50">
        <v>0</v>
      </c>
      <c r="L50">
        <v>0</v>
      </c>
      <c r="M50">
        <v>0</v>
      </c>
      <c r="N50">
        <v>0</v>
      </c>
      <c r="O50">
        <v>0</v>
      </c>
      <c r="P50">
        <v>0</v>
      </c>
      <c r="Q50">
        <v>0</v>
      </c>
      <c r="R50">
        <v>0</v>
      </c>
      <c r="S50">
        <v>0</v>
      </c>
      <c r="T50">
        <v>0</v>
      </c>
      <c r="U50">
        <v>0</v>
      </c>
      <c r="V50">
        <v>0</v>
      </c>
      <c r="W50">
        <v>0</v>
      </c>
      <c r="X50">
        <v>0</v>
      </c>
      <c r="Y50">
        <v>0</v>
      </c>
      <c r="Z50">
        <v>11.416538041464802</v>
      </c>
      <c r="AA50">
        <v>8.7327708333333316</v>
      </c>
      <c r="AB50">
        <v>2.2770791666666668</v>
      </c>
      <c r="AC50">
        <v>1.3566666666666667</v>
      </c>
      <c r="AD50">
        <v>1.9666666666666663</v>
      </c>
      <c r="AE50">
        <v>4.4622309027777769</v>
      </c>
      <c r="AF50">
        <v>7.7698003472222208</v>
      </c>
      <c r="AG50">
        <v>11.941235920833332</v>
      </c>
      <c r="AH50">
        <v>18.817684762500001</v>
      </c>
      <c r="AI50">
        <v>24.5</v>
      </c>
      <c r="AJ50">
        <v>30</v>
      </c>
      <c r="AK50">
        <v>46.305643178011259</v>
      </c>
      <c r="AL50">
        <v>69.696559398715706</v>
      </c>
      <c r="AM50">
        <v>78.978951484932111</v>
      </c>
      <c r="AN50">
        <v>88.261343571148515</v>
      </c>
      <c r="AO50">
        <v>97.54373565736492</v>
      </c>
      <c r="AP50">
        <v>106.82612774358132</v>
      </c>
      <c r="AQ50">
        <v>116.10851982979773</v>
      </c>
      <c r="AR50">
        <v>125.39091191601413</v>
      </c>
      <c r="AS50">
        <v>134.67330400223054</v>
      </c>
      <c r="AT50">
        <v>143.95569608844693</v>
      </c>
      <c r="AU50">
        <v>148.27436697110033</v>
      </c>
      <c r="AV50">
        <v>152.72259798023336</v>
      </c>
      <c r="AW50">
        <v>157.30427591964036</v>
      </c>
      <c r="AX50">
        <v>162.02340419722958</v>
      </c>
      <c r="AY50">
        <v>166.88410632314648</v>
      </c>
      <c r="AZ50">
        <v>171.89062951284089</v>
      </c>
      <c r="BA50">
        <v>177.04734839822612</v>
      </c>
      <c r="BB50">
        <v>182.35876885017291</v>
      </c>
      <c r="BC50">
        <v>187.8295319156781</v>
      </c>
      <c r="BD50">
        <v>193.46441787314845</v>
      </c>
      <c r="BE50">
        <v>199.2683504093429</v>
      </c>
      <c r="BF50">
        <v>205.24640092162321</v>
      </c>
      <c r="BG50">
        <v>211.40379294927192</v>
      </c>
      <c r="BH50">
        <v>217.74590673775009</v>
      </c>
      <c r="BI50">
        <v>224.27828393988258</v>
      </c>
      <c r="BJ50">
        <v>231.00663245807908</v>
      </c>
      <c r="BK50">
        <v>237.93683143182147</v>
      </c>
      <c r="BL50">
        <v>245.07493637477612</v>
      </c>
      <c r="BM50">
        <v>252.42718446601941</v>
      </c>
      <c r="BN50">
        <v>260</v>
      </c>
    </row>
    <row r="51" spans="1:66" x14ac:dyDescent="0.25">
      <c r="A51" t="s">
        <v>209</v>
      </c>
      <c r="B51" t="s">
        <v>527</v>
      </c>
      <c r="C51" t="s">
        <v>534</v>
      </c>
      <c r="D51" t="s">
        <v>520</v>
      </c>
      <c r="E51" t="s">
        <v>521</v>
      </c>
      <c r="F51">
        <v>8126.1945618773643</v>
      </c>
      <c r="G51">
        <v>8106.661121873205</v>
      </c>
      <c r="H51">
        <v>8469.9964545997555</v>
      </c>
      <c r="I51">
        <v>8922.6885824844103</v>
      </c>
      <c r="J51">
        <v>9583.8002483498967</v>
      </c>
      <c r="K51">
        <v>10247.564720783123</v>
      </c>
      <c r="L51">
        <v>10378.724398951666</v>
      </c>
      <c r="M51">
        <v>10605.333888617772</v>
      </c>
      <c r="N51">
        <v>10810.458340752642</v>
      </c>
      <c r="O51">
        <v>11096.605458727845</v>
      </c>
      <c r="P51">
        <v>11648.310343290637</v>
      </c>
      <c r="Q51">
        <v>11705.871223077451</v>
      </c>
      <c r="R51">
        <v>12162.021231248526</v>
      </c>
      <c r="S51">
        <v>12697.797549640931</v>
      </c>
      <c r="T51">
        <v>12992.367162928625</v>
      </c>
      <c r="U51">
        <v>13063.440862686894</v>
      </c>
      <c r="V51">
        <v>13182.198504199005</v>
      </c>
      <c r="W51">
        <v>13284.806809600492</v>
      </c>
      <c r="X51">
        <v>13293.959706338926</v>
      </c>
      <c r="Y51">
        <v>13101.086214174264</v>
      </c>
      <c r="Z51">
        <v>13348.937535477718</v>
      </c>
      <c r="AA51">
        <v>13331.827621000642</v>
      </c>
      <c r="AB51">
        <v>13006.487718579234</v>
      </c>
      <c r="AC51">
        <v>13081.360160828839</v>
      </c>
      <c r="AD51">
        <v>13339.646613066796</v>
      </c>
      <c r="AE51">
        <v>13805.025309105527</v>
      </c>
      <c r="AF51">
        <v>13906.520809611657</v>
      </c>
      <c r="AG51">
        <v>14803.702978914342</v>
      </c>
      <c r="AH51">
        <v>15126.124771992951</v>
      </c>
      <c r="AI51">
        <v>14654.704680232724</v>
      </c>
      <c r="AJ51">
        <v>13175.66592208733</v>
      </c>
      <c r="AK51">
        <v>14392.458510567654</v>
      </c>
      <c r="AL51">
        <v>15136.06345285677</v>
      </c>
      <c r="AM51">
        <v>15266.536096800284</v>
      </c>
      <c r="AN51">
        <v>15146.852498052485</v>
      </c>
      <c r="AO51">
        <v>14992.030690103278</v>
      </c>
      <c r="AP51">
        <v>14742.768425510987</v>
      </c>
      <c r="AQ51">
        <v>14443.411856549483</v>
      </c>
      <c r="AR51">
        <v>14019.993993540538</v>
      </c>
      <c r="AS51">
        <v>13478.050387232226</v>
      </c>
      <c r="AT51">
        <v>12818.222229451892</v>
      </c>
      <c r="AU51">
        <v>12018.667048593847</v>
      </c>
      <c r="AV51">
        <v>11206.966781435051</v>
      </c>
      <c r="AW51">
        <v>10368.270013357343</v>
      </c>
      <c r="AX51">
        <v>9573.7207567220521</v>
      </c>
      <c r="AY51">
        <v>8738.9976462618833</v>
      </c>
      <c r="AZ51">
        <v>7969.4629104525302</v>
      </c>
      <c r="BA51">
        <v>7190.1786289179272</v>
      </c>
      <c r="BB51">
        <v>6502.487604026137</v>
      </c>
      <c r="BC51">
        <v>5886.7958425102806</v>
      </c>
      <c r="BD51">
        <v>5255.9056139537524</v>
      </c>
      <c r="BE51">
        <v>4742.1119019360067</v>
      </c>
      <c r="BF51">
        <v>4236.3146808283927</v>
      </c>
      <c r="BG51">
        <v>3759.4924626940751</v>
      </c>
      <c r="BH51">
        <v>3303.8408254162841</v>
      </c>
      <c r="BI51">
        <v>2850.2519912361613</v>
      </c>
      <c r="BJ51">
        <v>2522.962922933149</v>
      </c>
      <c r="BK51">
        <v>2201.1180584421045</v>
      </c>
      <c r="BL51">
        <v>1884.2077613502897</v>
      </c>
      <c r="BM51">
        <v>1651.1149458467976</v>
      </c>
      <c r="BN51">
        <v>1468.3926865300432</v>
      </c>
    </row>
    <row r="52" spans="1:66" x14ac:dyDescent="0.25">
      <c r="A52" t="s">
        <v>209</v>
      </c>
      <c r="B52" t="s">
        <v>527</v>
      </c>
      <c r="C52" t="s">
        <v>534</v>
      </c>
      <c r="D52" t="s">
        <v>522</v>
      </c>
      <c r="E52" t="s">
        <v>521</v>
      </c>
      <c r="F52">
        <v>15640.940843035291</v>
      </c>
      <c r="G52">
        <v>16150.546759988883</v>
      </c>
      <c r="H52">
        <v>17648.388786263939</v>
      </c>
      <c r="I52">
        <v>16725.370693795405</v>
      </c>
      <c r="J52">
        <v>16380.548324839787</v>
      </c>
      <c r="K52">
        <v>15499.119986501893</v>
      </c>
      <c r="L52">
        <v>16964.973485962018</v>
      </c>
      <c r="M52">
        <v>18776.307489236842</v>
      </c>
      <c r="N52">
        <v>16990.87642543549</v>
      </c>
      <c r="O52">
        <v>18068.06638576484</v>
      </c>
      <c r="P52">
        <v>18247.587022073894</v>
      </c>
      <c r="Q52">
        <v>20209.470689366266</v>
      </c>
      <c r="R52">
        <v>19699.848793804682</v>
      </c>
      <c r="S52">
        <v>20589.961823411428</v>
      </c>
      <c r="T52">
        <v>19932.694122895617</v>
      </c>
      <c r="U52">
        <v>21455.132172136808</v>
      </c>
      <c r="V52">
        <v>21734.471668911941</v>
      </c>
      <c r="W52">
        <v>20224.013693454704</v>
      </c>
      <c r="X52">
        <v>21356.548009904149</v>
      </c>
      <c r="Y52">
        <v>18870.840564758502</v>
      </c>
      <c r="Z52">
        <v>18772.299934571802</v>
      </c>
      <c r="AA52">
        <v>18114.081314169005</v>
      </c>
      <c r="AB52">
        <v>19820.47191931152</v>
      </c>
      <c r="AC52">
        <v>18884.997469550366</v>
      </c>
      <c r="AD52">
        <v>18698.599087495157</v>
      </c>
      <c r="AE52">
        <v>18478.836391393874</v>
      </c>
      <c r="AF52">
        <v>16973.70962476591</v>
      </c>
      <c r="AG52">
        <v>17531.475135032353</v>
      </c>
      <c r="AH52">
        <v>17282.73541087965</v>
      </c>
      <c r="AI52">
        <v>19152.571947895391</v>
      </c>
      <c r="AJ52">
        <v>18178.313197265285</v>
      </c>
      <c r="AK52">
        <v>18330.87507391792</v>
      </c>
      <c r="AL52">
        <v>16957.429672583479</v>
      </c>
      <c r="AM52">
        <v>16042.348310241319</v>
      </c>
      <c r="AN52">
        <v>15081.603056570661</v>
      </c>
      <c r="AO52">
        <v>14119.558256801351</v>
      </c>
      <c r="AP52">
        <v>13825.38562202148</v>
      </c>
      <c r="AQ52">
        <v>13479.057072579652</v>
      </c>
      <c r="AR52">
        <v>13203.330277320745</v>
      </c>
      <c r="AS52">
        <v>12960.708784935196</v>
      </c>
      <c r="AT52">
        <v>11930.142836379147</v>
      </c>
      <c r="AU52">
        <v>11581.235554373825</v>
      </c>
      <c r="AV52">
        <v>11203.737494866848</v>
      </c>
      <c r="AW52">
        <v>10931.518744015088</v>
      </c>
      <c r="AX52">
        <v>10616.045580596541</v>
      </c>
      <c r="AY52">
        <v>10210.011412062358</v>
      </c>
      <c r="AZ52">
        <v>9725.6413581870256</v>
      </c>
      <c r="BA52">
        <v>9236.8960953125243</v>
      </c>
      <c r="BB52">
        <v>8782.1594011667476</v>
      </c>
      <c r="BC52">
        <v>8374.1333228601725</v>
      </c>
      <c r="BD52">
        <v>7217.3106110408398</v>
      </c>
      <c r="BE52">
        <v>6862.5144264478931</v>
      </c>
      <c r="BF52">
        <v>6430.0597061482922</v>
      </c>
      <c r="BG52">
        <v>6038.2167760481107</v>
      </c>
      <c r="BH52">
        <v>5643.67513878717</v>
      </c>
      <c r="BI52">
        <v>5271.9125816417345</v>
      </c>
      <c r="BJ52">
        <v>4915.4135387464721</v>
      </c>
      <c r="BK52">
        <v>4644.3739415736754</v>
      </c>
      <c r="BL52">
        <v>4358.6731397586354</v>
      </c>
      <c r="BM52">
        <v>3955.1423465284383</v>
      </c>
      <c r="BN52">
        <v>3579.3521335946598</v>
      </c>
    </row>
    <row r="53" spans="1:66" x14ac:dyDescent="0.25">
      <c r="A53" t="s">
        <v>209</v>
      </c>
      <c r="B53" t="s">
        <v>527</v>
      </c>
      <c r="C53" t="s">
        <v>534</v>
      </c>
      <c r="D53" t="s">
        <v>523</v>
      </c>
      <c r="E53" t="s">
        <v>521</v>
      </c>
      <c r="F53">
        <v>3429.1023206090149</v>
      </c>
      <c r="G53">
        <v>3582.0933132143959</v>
      </c>
      <c r="H53">
        <v>3230.4006797977117</v>
      </c>
      <c r="I53">
        <v>3072.4080540294026</v>
      </c>
      <c r="J53">
        <v>2943.5832063652938</v>
      </c>
      <c r="K53">
        <v>3036.6428253355557</v>
      </c>
      <c r="L53">
        <v>3231.1178764295346</v>
      </c>
      <c r="M53">
        <v>3121.0509253025539</v>
      </c>
      <c r="N53">
        <v>3108.4252054479571</v>
      </c>
      <c r="O53">
        <v>3287.2502963250704</v>
      </c>
      <c r="P53">
        <v>3324.3535917273935</v>
      </c>
      <c r="Q53">
        <v>3441.9326499549325</v>
      </c>
      <c r="R53">
        <v>3562.3255597822995</v>
      </c>
      <c r="S53">
        <v>3798.3629146741546</v>
      </c>
      <c r="T53">
        <v>3833.9993752516589</v>
      </c>
      <c r="U53">
        <v>3949.7863117346769</v>
      </c>
      <c r="V53">
        <v>4067.1636114352182</v>
      </c>
      <c r="W53">
        <v>4324.6641433976283</v>
      </c>
      <c r="X53">
        <v>4207.5754142911601</v>
      </c>
      <c r="Y53">
        <v>4156.3376144420381</v>
      </c>
      <c r="Z53">
        <v>4471.2064224286651</v>
      </c>
      <c r="AA53">
        <v>4511.1732699008671</v>
      </c>
      <c r="AB53">
        <v>4584.743425822363</v>
      </c>
      <c r="AC53">
        <v>4716.1203271304976</v>
      </c>
      <c r="AD53">
        <v>4887.0741014170871</v>
      </c>
      <c r="AE53">
        <v>5014.426570819578</v>
      </c>
      <c r="AF53">
        <v>4761.4486978313562</v>
      </c>
      <c r="AG53">
        <v>4803.9943473754338</v>
      </c>
      <c r="AH53">
        <v>4679.6792337008401</v>
      </c>
      <c r="AI53">
        <v>4713.1761267541115</v>
      </c>
      <c r="AJ53">
        <v>4482.2708369643005</v>
      </c>
      <c r="AK53">
        <v>4684.6924221093341</v>
      </c>
      <c r="AL53">
        <v>4615.5306846943822</v>
      </c>
      <c r="AM53">
        <v>4527.0774901879577</v>
      </c>
      <c r="AN53">
        <v>4561.4447140260791</v>
      </c>
      <c r="AO53">
        <v>4531.5830099871318</v>
      </c>
      <c r="AP53">
        <v>4520.2431432731055</v>
      </c>
      <c r="AQ53">
        <v>4475.9232009926691</v>
      </c>
      <c r="AR53">
        <v>4437.3438495564887</v>
      </c>
      <c r="AS53">
        <v>4418.4714579346737</v>
      </c>
      <c r="AT53">
        <v>4189.6175136617467</v>
      </c>
      <c r="AU53">
        <v>4152.7025661890157</v>
      </c>
      <c r="AV53">
        <v>4118.1638381475086</v>
      </c>
      <c r="AW53">
        <v>4074.2373670370248</v>
      </c>
      <c r="AX53">
        <v>4037.0588209614439</v>
      </c>
      <c r="AY53">
        <v>4032.1997556739379</v>
      </c>
      <c r="AZ53">
        <v>3995.9161703264613</v>
      </c>
      <c r="BA53">
        <v>3975.3458681184588</v>
      </c>
      <c r="BB53">
        <v>3956.6216979861979</v>
      </c>
      <c r="BC53">
        <v>3939.8745394675066</v>
      </c>
      <c r="BD53">
        <v>3868.9310985478323</v>
      </c>
      <c r="BE53">
        <v>3857.8291521529131</v>
      </c>
      <c r="BF53">
        <v>3849.1543209366041</v>
      </c>
      <c r="BG53">
        <v>3844.9585287107934</v>
      </c>
      <c r="BH53">
        <v>3843.2882370622556</v>
      </c>
      <c r="BI53">
        <v>3843.9088929607183</v>
      </c>
      <c r="BJ53">
        <v>3847.4001159475315</v>
      </c>
      <c r="BK53">
        <v>3853.8389159319904</v>
      </c>
      <c r="BL53">
        <v>3862.0590012565413</v>
      </c>
      <c r="BM53">
        <v>3871.3081527366885</v>
      </c>
      <c r="BN53">
        <v>3883.1322715546034</v>
      </c>
    </row>
    <row r="54" spans="1:66" x14ac:dyDescent="0.25">
      <c r="A54" t="s">
        <v>209</v>
      </c>
      <c r="B54" t="s">
        <v>527</v>
      </c>
      <c r="C54" t="s">
        <v>534</v>
      </c>
      <c r="D54" t="s">
        <v>524</v>
      </c>
      <c r="E54" t="s">
        <v>521</v>
      </c>
      <c r="F54">
        <v>1816.6596733237263</v>
      </c>
      <c r="G54">
        <v>1893.7218802684215</v>
      </c>
      <c r="H54">
        <v>1971.3222733100288</v>
      </c>
      <c r="I54">
        <v>2049.4503492491226</v>
      </c>
      <c r="J54">
        <v>1947.5325263313807</v>
      </c>
      <c r="K54">
        <v>2023.8252549837712</v>
      </c>
      <c r="L54">
        <v>2102.1656796823004</v>
      </c>
      <c r="M54">
        <v>2125.7547716447093</v>
      </c>
      <c r="N54">
        <v>2086.8629737313777</v>
      </c>
      <c r="O54">
        <v>2084.0346339247499</v>
      </c>
      <c r="P54">
        <v>2103.6901401299438</v>
      </c>
      <c r="Q54">
        <v>2134.2537068539705</v>
      </c>
      <c r="R54">
        <v>2173.5947283527944</v>
      </c>
      <c r="S54">
        <v>2101.4028129686244</v>
      </c>
      <c r="T54">
        <v>2124.9026062551302</v>
      </c>
      <c r="U54">
        <v>2134.5667014321762</v>
      </c>
      <c r="V54">
        <v>1957.2003317893241</v>
      </c>
      <c r="W54">
        <v>1922.5694677164029</v>
      </c>
      <c r="X54">
        <v>1846.56179242198</v>
      </c>
      <c r="Y54">
        <v>1723.3205496528278</v>
      </c>
      <c r="Z54">
        <v>1665.7456629024559</v>
      </c>
      <c r="AA54">
        <v>1519.6605558608351</v>
      </c>
      <c r="AB54">
        <v>1410.5413176396301</v>
      </c>
      <c r="AC54">
        <v>1359.9084848190901</v>
      </c>
      <c r="AD54">
        <v>1314.1708670740722</v>
      </c>
      <c r="AE54">
        <v>1275.9271345153275</v>
      </c>
      <c r="AF54">
        <v>1246.0586846922251</v>
      </c>
      <c r="AG54">
        <v>1214.8602401561525</v>
      </c>
      <c r="AH54">
        <v>1156.3598029499428</v>
      </c>
      <c r="AI54">
        <v>1114.3950725962225</v>
      </c>
      <c r="AJ54">
        <v>1075.3643344180375</v>
      </c>
      <c r="AK54">
        <v>1058.4109684228663</v>
      </c>
      <c r="AL54">
        <v>1033.212300658286</v>
      </c>
      <c r="AM54">
        <v>996.3164129459052</v>
      </c>
      <c r="AN54">
        <v>960.78960512158892</v>
      </c>
      <c r="AO54">
        <v>925.04832155596773</v>
      </c>
      <c r="AP54">
        <v>889.02457419959956</v>
      </c>
      <c r="AQ54">
        <v>853.30502435548965</v>
      </c>
      <c r="AR54">
        <v>818.06085119369118</v>
      </c>
      <c r="AS54">
        <v>783.33888514538035</v>
      </c>
      <c r="AT54">
        <v>749.00661600423484</v>
      </c>
      <c r="AU54">
        <v>713.12299893040836</v>
      </c>
      <c r="AV54">
        <v>681.75265381906581</v>
      </c>
      <c r="AW54">
        <v>653.07251772298503</v>
      </c>
      <c r="AX54">
        <v>626.11264777642305</v>
      </c>
      <c r="AY54">
        <v>600.52316314937514</v>
      </c>
      <c r="AZ54">
        <v>575.86587763045134</v>
      </c>
      <c r="BA54">
        <v>552.05563434795374</v>
      </c>
      <c r="BB54">
        <v>529.03379695458602</v>
      </c>
      <c r="BC54">
        <v>506.69177205864327</v>
      </c>
      <c r="BD54">
        <v>485.08300206828466</v>
      </c>
      <c r="BE54">
        <v>465.02988086753226</v>
      </c>
      <c r="BF54">
        <v>445.48055289878113</v>
      </c>
      <c r="BG54">
        <v>426.42962227669557</v>
      </c>
      <c r="BH54">
        <v>407.82667776884568</v>
      </c>
      <c r="BI54">
        <v>389.73655503451369</v>
      </c>
      <c r="BJ54">
        <v>372.05944067249334</v>
      </c>
      <c r="BK54">
        <v>354.75156639017149</v>
      </c>
      <c r="BL54">
        <v>337.84939136662678</v>
      </c>
      <c r="BM54">
        <v>321.36782763857866</v>
      </c>
      <c r="BN54">
        <v>305.31110019557548</v>
      </c>
    </row>
    <row r="55" spans="1:66" x14ac:dyDescent="0.25">
      <c r="A55" t="s">
        <v>209</v>
      </c>
      <c r="B55" t="s">
        <v>527</v>
      </c>
      <c r="C55" t="s">
        <v>534</v>
      </c>
      <c r="D55" t="s">
        <v>525</v>
      </c>
      <c r="E55" t="s">
        <v>521</v>
      </c>
      <c r="F55">
        <v>29012.897398845394</v>
      </c>
      <c r="G55">
        <v>29733.023075344903</v>
      </c>
      <c r="H55">
        <v>31320.108193971439</v>
      </c>
      <c r="I55">
        <v>30769.917679558341</v>
      </c>
      <c r="J55">
        <v>30855.464305886358</v>
      </c>
      <c r="K55">
        <v>30807.15278760434</v>
      </c>
      <c r="L55">
        <v>32676.98144102552</v>
      </c>
      <c r="M55">
        <v>34628.447074801872</v>
      </c>
      <c r="N55">
        <v>32996.622945367468</v>
      </c>
      <c r="O55">
        <v>34535.956774742503</v>
      </c>
      <c r="P55">
        <v>35323.941097221861</v>
      </c>
      <c r="Q55">
        <v>37491.528269252616</v>
      </c>
      <c r="R55">
        <v>37597.790313188299</v>
      </c>
      <c r="S55">
        <v>39187.525100695137</v>
      </c>
      <c r="T55">
        <v>38883.963267331026</v>
      </c>
      <c r="U55">
        <v>40602.92604799055</v>
      </c>
      <c r="V55">
        <v>40941.03411633549</v>
      </c>
      <c r="W55">
        <v>39756.054114169223</v>
      </c>
      <c r="X55">
        <v>40704.644922956213</v>
      </c>
      <c r="Y55">
        <v>37851.584943027628</v>
      </c>
      <c r="Z55">
        <v>38258.189555380639</v>
      </c>
      <c r="AA55">
        <v>37476.742760931345</v>
      </c>
      <c r="AB55">
        <v>38822.24438135275</v>
      </c>
      <c r="AC55">
        <v>38042.386442328796</v>
      </c>
      <c r="AD55">
        <v>38239.490669053106</v>
      </c>
      <c r="AE55">
        <v>38574.2154058343</v>
      </c>
      <c r="AF55">
        <v>36887.73781690115</v>
      </c>
      <c r="AG55">
        <v>38354.032701478282</v>
      </c>
      <c r="AH55">
        <v>38244.89921952338</v>
      </c>
      <c r="AI55">
        <v>39634.847827478443</v>
      </c>
      <c r="AJ55">
        <v>36911.614290734949</v>
      </c>
      <c r="AK55">
        <v>38466.436975017779</v>
      </c>
      <c r="AL55">
        <v>37742.236110792917</v>
      </c>
      <c r="AM55">
        <v>36832.278310175461</v>
      </c>
      <c r="AN55">
        <v>35750.689873770811</v>
      </c>
      <c r="AO55">
        <v>34568.220278447727</v>
      </c>
      <c r="AP55">
        <v>33977.421765005165</v>
      </c>
      <c r="AQ55">
        <v>33251.697154477297</v>
      </c>
      <c r="AR55">
        <v>32478.728971611461</v>
      </c>
      <c r="AS55">
        <v>31640.569515247476</v>
      </c>
      <c r="AT55">
        <v>29686.989195497019</v>
      </c>
      <c r="AU55">
        <v>28465.728168087095</v>
      </c>
      <c r="AV55">
        <v>27210.620768268473</v>
      </c>
      <c r="AW55">
        <v>26027.098642132438</v>
      </c>
      <c r="AX55">
        <v>24852.93780605646</v>
      </c>
      <c r="AY55">
        <v>23581.731977147552</v>
      </c>
      <c r="AZ55">
        <v>22266.886316596469</v>
      </c>
      <c r="BA55">
        <v>20954.476226696865</v>
      </c>
      <c r="BB55">
        <v>19770.302500133668</v>
      </c>
      <c r="BC55">
        <v>18707.495476896602</v>
      </c>
      <c r="BD55">
        <v>16827.230325610708</v>
      </c>
      <c r="BE55">
        <v>15927.485361404346</v>
      </c>
      <c r="BF55">
        <v>14961.00926081207</v>
      </c>
      <c r="BG55">
        <v>14069.097389729674</v>
      </c>
      <c r="BH55">
        <v>13198.630879034556</v>
      </c>
      <c r="BI55">
        <v>12355.810020873127</v>
      </c>
      <c r="BJ55">
        <v>11657.836018299648</v>
      </c>
      <c r="BK55">
        <v>11054.082482337943</v>
      </c>
      <c r="BL55">
        <v>10442.789293732092</v>
      </c>
      <c r="BM55">
        <v>9798.9332727505025</v>
      </c>
      <c r="BN55">
        <v>9236.1881918748804</v>
      </c>
    </row>
    <row r="56" spans="1:66" x14ac:dyDescent="0.25">
      <c r="A56" t="s">
        <v>210</v>
      </c>
      <c r="B56" t="s">
        <v>527</v>
      </c>
      <c r="C56" t="s">
        <v>526</v>
      </c>
      <c r="D56" t="s">
        <v>518</v>
      </c>
      <c r="E56" t="s">
        <v>519</v>
      </c>
      <c r="F56">
        <v>0</v>
      </c>
      <c r="G56">
        <v>0</v>
      </c>
      <c r="H56">
        <v>0</v>
      </c>
      <c r="I56">
        <v>0</v>
      </c>
      <c r="J56">
        <v>0</v>
      </c>
      <c r="K56">
        <v>0</v>
      </c>
      <c r="L56">
        <v>0</v>
      </c>
      <c r="M56">
        <v>0</v>
      </c>
      <c r="N56">
        <v>0</v>
      </c>
      <c r="O56">
        <v>0</v>
      </c>
      <c r="P56">
        <v>0</v>
      </c>
      <c r="Q56">
        <v>0</v>
      </c>
      <c r="R56">
        <v>0</v>
      </c>
      <c r="S56">
        <v>0</v>
      </c>
      <c r="T56">
        <v>0</v>
      </c>
      <c r="U56">
        <v>0</v>
      </c>
      <c r="V56">
        <v>0</v>
      </c>
      <c r="W56">
        <v>0</v>
      </c>
      <c r="X56">
        <v>0</v>
      </c>
      <c r="Y56">
        <v>0</v>
      </c>
      <c r="Z56">
        <v>11.416538041464802</v>
      </c>
      <c r="AA56">
        <v>8.7327708333333316</v>
      </c>
      <c r="AB56">
        <v>2.2770791666666668</v>
      </c>
      <c r="AC56">
        <v>1.3566666666666667</v>
      </c>
      <c r="AD56">
        <v>1.9666666666666663</v>
      </c>
      <c r="AE56">
        <v>4.4622309027777769</v>
      </c>
      <c r="AF56">
        <v>7.7698003472222208</v>
      </c>
      <c r="AG56">
        <v>11.941235920833332</v>
      </c>
      <c r="AH56">
        <v>18.817684762500001</v>
      </c>
      <c r="AI56">
        <v>24.5</v>
      </c>
      <c r="AJ56">
        <v>30</v>
      </c>
      <c r="AK56">
        <v>46.305643178011259</v>
      </c>
      <c r="AL56">
        <v>69.696559398715706</v>
      </c>
      <c r="AM56">
        <v>0.01</v>
      </c>
      <c r="AN56">
        <v>0.01</v>
      </c>
      <c r="AO56">
        <v>0.01</v>
      </c>
      <c r="AP56">
        <v>0.01</v>
      </c>
      <c r="AQ56">
        <v>0.01</v>
      </c>
      <c r="AR56">
        <v>0.01</v>
      </c>
      <c r="AS56">
        <v>0.01</v>
      </c>
      <c r="AT56">
        <v>0.01</v>
      </c>
      <c r="AU56">
        <v>0.01</v>
      </c>
      <c r="AV56">
        <v>0.01</v>
      </c>
      <c r="AW56">
        <v>0.01</v>
      </c>
      <c r="AX56">
        <v>0.01</v>
      </c>
      <c r="AY56">
        <v>0.01</v>
      </c>
      <c r="AZ56">
        <v>0.01</v>
      </c>
      <c r="BA56">
        <v>0.01</v>
      </c>
      <c r="BB56">
        <v>0.01</v>
      </c>
      <c r="BC56">
        <v>0.01</v>
      </c>
      <c r="BD56">
        <v>0.01</v>
      </c>
      <c r="BE56">
        <v>0.01</v>
      </c>
      <c r="BF56">
        <v>0.01</v>
      </c>
      <c r="BG56">
        <v>0.01</v>
      </c>
      <c r="BH56">
        <v>0.01</v>
      </c>
      <c r="BI56">
        <v>0.01</v>
      </c>
      <c r="BJ56">
        <v>0.01</v>
      </c>
      <c r="BK56">
        <v>0.01</v>
      </c>
      <c r="BL56">
        <v>0.01</v>
      </c>
      <c r="BM56">
        <v>0.01</v>
      </c>
      <c r="BN56">
        <v>0.01</v>
      </c>
    </row>
    <row r="57" spans="1:66" x14ac:dyDescent="0.25">
      <c r="A57" t="s">
        <v>210</v>
      </c>
      <c r="B57" t="s">
        <v>527</v>
      </c>
      <c r="C57" t="s">
        <v>526</v>
      </c>
      <c r="D57" t="s">
        <v>520</v>
      </c>
      <c r="E57" t="s">
        <v>521</v>
      </c>
      <c r="F57">
        <v>8126.1945618773643</v>
      </c>
      <c r="G57">
        <v>8106.661121873205</v>
      </c>
      <c r="H57">
        <v>8469.9964545997555</v>
      </c>
      <c r="I57">
        <v>8922.6885824844103</v>
      </c>
      <c r="J57">
        <v>9583.8002483498967</v>
      </c>
      <c r="K57">
        <v>10247.564720783123</v>
      </c>
      <c r="L57">
        <v>10378.724398951666</v>
      </c>
      <c r="M57">
        <v>10605.333888617772</v>
      </c>
      <c r="N57">
        <v>10810.458340752642</v>
      </c>
      <c r="O57">
        <v>11096.605458727845</v>
      </c>
      <c r="P57">
        <v>11648.310343290637</v>
      </c>
      <c r="Q57">
        <v>11705.871223077451</v>
      </c>
      <c r="R57">
        <v>12162.021231248526</v>
      </c>
      <c r="S57">
        <v>12697.797549640931</v>
      </c>
      <c r="T57">
        <v>12992.367162928625</v>
      </c>
      <c r="U57">
        <v>13063.440862686894</v>
      </c>
      <c r="V57">
        <v>13182.198504199005</v>
      </c>
      <c r="W57">
        <v>13284.806809600492</v>
      </c>
      <c r="X57">
        <v>13293.959706338926</v>
      </c>
      <c r="Y57">
        <v>13101.086214174264</v>
      </c>
      <c r="Z57">
        <v>13348.937535477718</v>
      </c>
      <c r="AA57">
        <v>13331.827621000642</v>
      </c>
      <c r="AB57">
        <v>13006.487718579234</v>
      </c>
      <c r="AC57">
        <v>13081.360160828839</v>
      </c>
      <c r="AD57">
        <v>13339.646613066796</v>
      </c>
      <c r="AE57">
        <v>13805.025309105527</v>
      </c>
      <c r="AF57">
        <v>13906.520809611657</v>
      </c>
      <c r="AG57">
        <v>14803.702978914342</v>
      </c>
      <c r="AH57">
        <v>15126.124771992951</v>
      </c>
      <c r="AI57">
        <v>14654.704680232724</v>
      </c>
      <c r="AJ57">
        <v>13175.66592208733</v>
      </c>
      <c r="AK57">
        <v>14392.458510567654</v>
      </c>
      <c r="AL57">
        <v>15136.133547146508</v>
      </c>
      <c r="AM57">
        <v>15275.623140685768</v>
      </c>
      <c r="AN57">
        <v>15167.373217392487</v>
      </c>
      <c r="AO57">
        <v>15033.482944342695</v>
      </c>
      <c r="AP57">
        <v>14813.572952488306</v>
      </c>
      <c r="AQ57">
        <v>14566.611145152832</v>
      </c>
      <c r="AR57">
        <v>14214.423214772671</v>
      </c>
      <c r="AS57">
        <v>13774.993655568889</v>
      </c>
      <c r="AT57">
        <v>13212.792438572784</v>
      </c>
      <c r="AU57">
        <v>12556.363138790184</v>
      </c>
      <c r="AV57">
        <v>11777.523075214922</v>
      </c>
      <c r="AW57">
        <v>10997.792210183814</v>
      </c>
      <c r="AX57">
        <v>10200.553181801039</v>
      </c>
      <c r="AY57">
        <v>9372.4100506270406</v>
      </c>
      <c r="AZ57">
        <v>8639.9856969612665</v>
      </c>
      <c r="BA57">
        <v>7947.2890005856925</v>
      </c>
      <c r="BB57">
        <v>7267.5419449614064</v>
      </c>
      <c r="BC57">
        <v>6603.2603517688713</v>
      </c>
      <c r="BD57">
        <v>5944.4273801397567</v>
      </c>
      <c r="BE57">
        <v>5437.165568327935</v>
      </c>
      <c r="BF57">
        <v>4915.6109067414036</v>
      </c>
      <c r="BG57">
        <v>4385.2226891502642</v>
      </c>
      <c r="BH57">
        <v>3867.3538158490301</v>
      </c>
      <c r="BI57">
        <v>3394.2024448658713</v>
      </c>
      <c r="BJ57">
        <v>2990.4919714137509</v>
      </c>
      <c r="BK57">
        <v>2611.3404531691021</v>
      </c>
      <c r="BL57">
        <v>2261.530765964505</v>
      </c>
      <c r="BM57">
        <v>1992.4587787293503</v>
      </c>
      <c r="BN57">
        <v>1734.5911349869139</v>
      </c>
    </row>
    <row r="58" spans="1:66" x14ac:dyDescent="0.25">
      <c r="A58" t="s">
        <v>210</v>
      </c>
      <c r="B58" t="s">
        <v>527</v>
      </c>
      <c r="C58" t="s">
        <v>526</v>
      </c>
      <c r="D58" t="s">
        <v>522</v>
      </c>
      <c r="E58" t="s">
        <v>521</v>
      </c>
      <c r="F58">
        <v>15640.940843035291</v>
      </c>
      <c r="G58">
        <v>16150.546759988883</v>
      </c>
      <c r="H58">
        <v>17648.388786263939</v>
      </c>
      <c r="I58">
        <v>16725.370693795405</v>
      </c>
      <c r="J58">
        <v>16380.548324839787</v>
      </c>
      <c r="K58">
        <v>15499.119986501893</v>
      </c>
      <c r="L58">
        <v>16964.973485962018</v>
      </c>
      <c r="M58">
        <v>18776.307489236842</v>
      </c>
      <c r="N58">
        <v>16990.87642543549</v>
      </c>
      <c r="O58">
        <v>18068.06638576484</v>
      </c>
      <c r="P58">
        <v>18247.587022073894</v>
      </c>
      <c r="Q58">
        <v>20209.470689366266</v>
      </c>
      <c r="R58">
        <v>19699.848793804682</v>
      </c>
      <c r="S58">
        <v>20589.961823411428</v>
      </c>
      <c r="T58">
        <v>19932.694122895617</v>
      </c>
      <c r="U58">
        <v>21455.132172136808</v>
      </c>
      <c r="V58">
        <v>21734.471668911941</v>
      </c>
      <c r="W58">
        <v>20224.013693454704</v>
      </c>
      <c r="X58">
        <v>21356.548009904149</v>
      </c>
      <c r="Y58">
        <v>18870.840564758502</v>
      </c>
      <c r="Z58">
        <v>18772.299934571802</v>
      </c>
      <c r="AA58">
        <v>18114.081314169005</v>
      </c>
      <c r="AB58">
        <v>19820.47191931152</v>
      </c>
      <c r="AC58">
        <v>18884.997469550366</v>
      </c>
      <c r="AD58">
        <v>18698.599087495157</v>
      </c>
      <c r="AE58">
        <v>18478.836391393874</v>
      </c>
      <c r="AF58">
        <v>16973.70962476591</v>
      </c>
      <c r="AG58">
        <v>17531.475135032353</v>
      </c>
      <c r="AH58">
        <v>17282.73541087965</v>
      </c>
      <c r="AI58">
        <v>19152.571947895391</v>
      </c>
      <c r="AJ58">
        <v>18178.313197265285</v>
      </c>
      <c r="AK58">
        <v>18386.397806084962</v>
      </c>
      <c r="AL58">
        <v>17128.21249060837</v>
      </c>
      <c r="AM58">
        <v>16555.585028625137</v>
      </c>
      <c r="AN58">
        <v>15830.64310200056</v>
      </c>
      <c r="AO58">
        <v>15629.2005449065</v>
      </c>
      <c r="AP58">
        <v>15766.811308660357</v>
      </c>
      <c r="AQ58">
        <v>15897.41338125248</v>
      </c>
      <c r="AR58">
        <v>16041.36125475892</v>
      </c>
      <c r="AS58">
        <v>16201.037895156689</v>
      </c>
      <c r="AT58">
        <v>15620.839432853398</v>
      </c>
      <c r="AU58">
        <v>15855.745117796119</v>
      </c>
      <c r="AV58">
        <v>16182.431541655731</v>
      </c>
      <c r="AW58">
        <v>16605.62261084441</v>
      </c>
      <c r="AX58">
        <v>17061.737575165738</v>
      </c>
      <c r="AY58">
        <v>17580.636035365787</v>
      </c>
      <c r="AZ58">
        <v>13196.05654225985</v>
      </c>
      <c r="BA58">
        <v>13015.927172616699</v>
      </c>
      <c r="BB58">
        <v>12817.682217564805</v>
      </c>
      <c r="BC58">
        <v>12583.850522954483</v>
      </c>
      <c r="BD58">
        <v>11534.187517839946</v>
      </c>
      <c r="BE58">
        <v>11260.841310908438</v>
      </c>
      <c r="BF58">
        <v>10968.135139349883</v>
      </c>
      <c r="BG58">
        <v>10663.707525061542</v>
      </c>
      <c r="BH58">
        <v>10354.256976715997</v>
      </c>
      <c r="BI58">
        <v>10049.641797336009</v>
      </c>
      <c r="BJ58">
        <v>9739.2604499819518</v>
      </c>
      <c r="BK58">
        <v>9425.8499837151576</v>
      </c>
      <c r="BL58">
        <v>9120.4316827271014</v>
      </c>
      <c r="BM58">
        <v>8827.858128736063</v>
      </c>
      <c r="BN58">
        <v>8554.4169604162926</v>
      </c>
    </row>
    <row r="59" spans="1:66" x14ac:dyDescent="0.25">
      <c r="A59" t="s">
        <v>210</v>
      </c>
      <c r="B59" t="s">
        <v>527</v>
      </c>
      <c r="C59" t="s">
        <v>526</v>
      </c>
      <c r="D59" t="s">
        <v>523</v>
      </c>
      <c r="E59" t="s">
        <v>521</v>
      </c>
      <c r="F59">
        <v>3429.1023206090149</v>
      </c>
      <c r="G59">
        <v>3582.0933132143959</v>
      </c>
      <c r="H59">
        <v>3230.4006797977117</v>
      </c>
      <c r="I59">
        <v>3072.4080540294026</v>
      </c>
      <c r="J59">
        <v>2943.5832063652938</v>
      </c>
      <c r="K59">
        <v>3036.6428253355557</v>
      </c>
      <c r="L59">
        <v>3231.1178764295346</v>
      </c>
      <c r="M59">
        <v>3121.0509253025539</v>
      </c>
      <c r="N59">
        <v>3108.4252054479571</v>
      </c>
      <c r="O59">
        <v>3287.2502963250704</v>
      </c>
      <c r="P59">
        <v>3324.3535917273935</v>
      </c>
      <c r="Q59">
        <v>3441.9326499549325</v>
      </c>
      <c r="R59">
        <v>3562.3255597822995</v>
      </c>
      <c r="S59">
        <v>3798.3629146741546</v>
      </c>
      <c r="T59">
        <v>3833.9993752516589</v>
      </c>
      <c r="U59">
        <v>3949.7863117346769</v>
      </c>
      <c r="V59">
        <v>4067.1636114352182</v>
      </c>
      <c r="W59">
        <v>4324.6641433976283</v>
      </c>
      <c r="X59">
        <v>4207.5754142911601</v>
      </c>
      <c r="Y59">
        <v>4156.3376144420381</v>
      </c>
      <c r="Z59">
        <v>4471.2064224286651</v>
      </c>
      <c r="AA59">
        <v>4511.1732699008671</v>
      </c>
      <c r="AB59">
        <v>4584.743425822363</v>
      </c>
      <c r="AC59">
        <v>4716.1203271304976</v>
      </c>
      <c r="AD59">
        <v>4887.0741014170871</v>
      </c>
      <c r="AE59">
        <v>5014.426570819578</v>
      </c>
      <c r="AF59">
        <v>4761.4486978313562</v>
      </c>
      <c r="AG59">
        <v>4803.9943473754338</v>
      </c>
      <c r="AH59">
        <v>4679.6792337008401</v>
      </c>
      <c r="AI59">
        <v>4713.1761267541115</v>
      </c>
      <c r="AJ59">
        <v>4482.2708369643005</v>
      </c>
      <c r="AK59">
        <v>4684.6924221093341</v>
      </c>
      <c r="AL59">
        <v>4615.5306846943831</v>
      </c>
      <c r="AM59">
        <v>4527.0774901879568</v>
      </c>
      <c r="AN59">
        <v>4561.4447140260781</v>
      </c>
      <c r="AO59">
        <v>4531.5830099871318</v>
      </c>
      <c r="AP59">
        <v>4520.2431432731046</v>
      </c>
      <c r="AQ59">
        <v>4475.9232009926691</v>
      </c>
      <c r="AR59">
        <v>4437.3438495564887</v>
      </c>
      <c r="AS59">
        <v>4418.4714579346737</v>
      </c>
      <c r="AT59">
        <v>4189.6175136617467</v>
      </c>
      <c r="AU59">
        <v>4152.7025661890148</v>
      </c>
      <c r="AV59">
        <v>4118.1638381475086</v>
      </c>
      <c r="AW59">
        <v>4074.2373670370253</v>
      </c>
      <c r="AX59">
        <v>4037.0588209614434</v>
      </c>
      <c r="AY59">
        <v>4032.1997556739379</v>
      </c>
      <c r="AZ59">
        <v>3995.9161703264608</v>
      </c>
      <c r="BA59">
        <v>3975.3458681184584</v>
      </c>
      <c r="BB59">
        <v>3956.6216979861979</v>
      </c>
      <c r="BC59">
        <v>3939.874539467507</v>
      </c>
      <c r="BD59">
        <v>3868.9310985478323</v>
      </c>
      <c r="BE59">
        <v>3857.8291521529131</v>
      </c>
      <c r="BF59">
        <v>3849.1543209366041</v>
      </c>
      <c r="BG59">
        <v>3844.9585287107934</v>
      </c>
      <c r="BH59">
        <v>3843.2882370622556</v>
      </c>
      <c r="BI59">
        <v>3843.9088929607178</v>
      </c>
      <c r="BJ59">
        <v>3847.400115947531</v>
      </c>
      <c r="BK59">
        <v>3853.83891593199</v>
      </c>
      <c r="BL59">
        <v>3862.0590012565417</v>
      </c>
      <c r="BM59">
        <v>3871.3081527366885</v>
      </c>
      <c r="BN59">
        <v>3883.1322715546034</v>
      </c>
    </row>
    <row r="60" spans="1:66" x14ac:dyDescent="0.25">
      <c r="A60" t="s">
        <v>210</v>
      </c>
      <c r="B60" t="s">
        <v>527</v>
      </c>
      <c r="C60" t="s">
        <v>526</v>
      </c>
      <c r="D60" t="s">
        <v>524</v>
      </c>
      <c r="E60" t="s">
        <v>521</v>
      </c>
      <c r="F60">
        <v>1816.6596733237263</v>
      </c>
      <c r="G60">
        <v>1893.7218802684215</v>
      </c>
      <c r="H60">
        <v>1971.3222733100288</v>
      </c>
      <c r="I60">
        <v>2049.4503492491226</v>
      </c>
      <c r="J60">
        <v>1947.5325263313807</v>
      </c>
      <c r="K60">
        <v>2023.8252549837712</v>
      </c>
      <c r="L60">
        <v>2102.1656796823004</v>
      </c>
      <c r="M60">
        <v>2125.7547716447093</v>
      </c>
      <c r="N60">
        <v>2086.8629737313777</v>
      </c>
      <c r="O60">
        <v>2084.0346339247499</v>
      </c>
      <c r="P60">
        <v>2103.6901401299438</v>
      </c>
      <c r="Q60">
        <v>2134.2537068539705</v>
      </c>
      <c r="R60">
        <v>2173.5947283527944</v>
      </c>
      <c r="S60">
        <v>2101.4028129686244</v>
      </c>
      <c r="T60">
        <v>2124.9026062551302</v>
      </c>
      <c r="U60">
        <v>2134.5667014321762</v>
      </c>
      <c r="V60">
        <v>1957.2003317893241</v>
      </c>
      <c r="W60">
        <v>1922.5694677164029</v>
      </c>
      <c r="X60">
        <v>1846.56179242198</v>
      </c>
      <c r="Y60">
        <v>1723.3205496528278</v>
      </c>
      <c r="Z60">
        <v>1665.7456629024559</v>
      </c>
      <c r="AA60">
        <v>1519.6605558608351</v>
      </c>
      <c r="AB60">
        <v>1410.5413176396301</v>
      </c>
      <c r="AC60">
        <v>1359.9084848190901</v>
      </c>
      <c r="AD60">
        <v>1314.1708670740722</v>
      </c>
      <c r="AE60">
        <v>1275.9271345153275</v>
      </c>
      <c r="AF60">
        <v>1246.0586846922251</v>
      </c>
      <c r="AG60">
        <v>1214.8602401561525</v>
      </c>
      <c r="AH60">
        <v>1156.3598029499428</v>
      </c>
      <c r="AI60">
        <v>1114.3950725962225</v>
      </c>
      <c r="AJ60">
        <v>1075.3643344180375</v>
      </c>
      <c r="AK60">
        <v>1058.4109684228663</v>
      </c>
      <c r="AL60">
        <v>1033.212300658286</v>
      </c>
      <c r="AM60">
        <v>996.3164129459052</v>
      </c>
      <c r="AN60">
        <v>960.78960512158892</v>
      </c>
      <c r="AO60">
        <v>925.04832155596773</v>
      </c>
      <c r="AP60">
        <v>889.02457419959956</v>
      </c>
      <c r="AQ60">
        <v>853.30502435548965</v>
      </c>
      <c r="AR60">
        <v>818.06085119369118</v>
      </c>
      <c r="AS60">
        <v>783.33888514538035</v>
      </c>
      <c r="AT60">
        <v>749.00661600423484</v>
      </c>
      <c r="AU60">
        <v>713.12299893040836</v>
      </c>
      <c r="AV60">
        <v>681.75265381906581</v>
      </c>
      <c r="AW60">
        <v>653.07251772298503</v>
      </c>
      <c r="AX60">
        <v>626.11264777642305</v>
      </c>
      <c r="AY60">
        <v>600.52316314937514</v>
      </c>
      <c r="AZ60">
        <v>575.86587763045134</v>
      </c>
      <c r="BA60">
        <v>552.05563434795374</v>
      </c>
      <c r="BB60">
        <v>529.03379695458602</v>
      </c>
      <c r="BC60">
        <v>506.69177205864327</v>
      </c>
      <c r="BD60">
        <v>485.08300206828466</v>
      </c>
      <c r="BE60">
        <v>465.02988086753226</v>
      </c>
      <c r="BF60">
        <v>445.48055289878113</v>
      </c>
      <c r="BG60">
        <v>426.42962227669557</v>
      </c>
      <c r="BH60">
        <v>407.82667776884568</v>
      </c>
      <c r="BI60">
        <v>389.73655503451369</v>
      </c>
      <c r="BJ60">
        <v>372.05944067249334</v>
      </c>
      <c r="BK60">
        <v>354.75156639017149</v>
      </c>
      <c r="BL60">
        <v>337.84939136662678</v>
      </c>
      <c r="BM60">
        <v>321.36782763857866</v>
      </c>
      <c r="BN60">
        <v>305.31110019557548</v>
      </c>
    </row>
    <row r="61" spans="1:66" x14ac:dyDescent="0.25">
      <c r="A61" t="s">
        <v>210</v>
      </c>
      <c r="B61" t="s">
        <v>527</v>
      </c>
      <c r="C61" t="s">
        <v>526</v>
      </c>
      <c r="D61" t="s">
        <v>525</v>
      </c>
      <c r="E61" t="s">
        <v>521</v>
      </c>
      <c r="F61">
        <v>29012.897398845394</v>
      </c>
      <c r="G61">
        <v>29733.023075344903</v>
      </c>
      <c r="H61">
        <v>31320.108193971439</v>
      </c>
      <c r="I61">
        <v>30769.917679558341</v>
      </c>
      <c r="J61">
        <v>30855.464305886358</v>
      </c>
      <c r="K61">
        <v>30807.15278760434</v>
      </c>
      <c r="L61">
        <v>32676.98144102552</v>
      </c>
      <c r="M61">
        <v>34628.447074801872</v>
      </c>
      <c r="N61">
        <v>32996.622945367468</v>
      </c>
      <c r="O61">
        <v>34535.956774742503</v>
      </c>
      <c r="P61">
        <v>35323.941097221861</v>
      </c>
      <c r="Q61">
        <v>37491.528269252616</v>
      </c>
      <c r="R61">
        <v>37597.790313188299</v>
      </c>
      <c r="S61">
        <v>39187.525100695137</v>
      </c>
      <c r="T61">
        <v>38883.963267331026</v>
      </c>
      <c r="U61">
        <v>40602.92604799055</v>
      </c>
      <c r="V61">
        <v>40941.03411633549</v>
      </c>
      <c r="W61">
        <v>39756.054114169223</v>
      </c>
      <c r="X61">
        <v>40704.644922956213</v>
      </c>
      <c r="Y61">
        <v>37851.584943027628</v>
      </c>
      <c r="Z61">
        <v>38258.189555380639</v>
      </c>
      <c r="AA61">
        <v>37476.742760931345</v>
      </c>
      <c r="AB61">
        <v>38822.24438135275</v>
      </c>
      <c r="AC61">
        <v>38042.386442328796</v>
      </c>
      <c r="AD61">
        <v>38239.490669053106</v>
      </c>
      <c r="AE61">
        <v>38574.2154058343</v>
      </c>
      <c r="AF61">
        <v>36887.73781690115</v>
      </c>
      <c r="AG61">
        <v>38354.032701478282</v>
      </c>
      <c r="AH61">
        <v>38244.89921952338</v>
      </c>
      <c r="AI61">
        <v>39634.847827478443</v>
      </c>
      <c r="AJ61">
        <v>36911.614290734949</v>
      </c>
      <c r="AK61">
        <v>38521.959707184818</v>
      </c>
      <c r="AL61">
        <v>37913.089023107546</v>
      </c>
      <c r="AM61">
        <v>37354.602072444766</v>
      </c>
      <c r="AN61">
        <v>36520.25063854071</v>
      </c>
      <c r="AO61">
        <v>36119.314820792293</v>
      </c>
      <c r="AP61">
        <v>35989.651978621361</v>
      </c>
      <c r="AQ61">
        <v>35793.252751753469</v>
      </c>
      <c r="AR61">
        <v>35511.189170281767</v>
      </c>
      <c r="AS61">
        <v>35177.841893805635</v>
      </c>
      <c r="AT61">
        <v>33772.256001092159</v>
      </c>
      <c r="AU61">
        <v>33277.933821705723</v>
      </c>
      <c r="AV61">
        <v>32759.871108837226</v>
      </c>
      <c r="AW61">
        <v>32330.72470578823</v>
      </c>
      <c r="AX61">
        <v>31925.462225704643</v>
      </c>
      <c r="AY61">
        <v>31585.769004816138</v>
      </c>
      <c r="AZ61">
        <v>26407.824287178031</v>
      </c>
      <c r="BA61">
        <v>25490.617675668807</v>
      </c>
      <c r="BB61">
        <v>24570.879657466994</v>
      </c>
      <c r="BC61">
        <v>23633.677186249501</v>
      </c>
      <c r="BD61">
        <v>21832.628998595821</v>
      </c>
      <c r="BE61">
        <v>21020.865912256821</v>
      </c>
      <c r="BF61">
        <v>20178.380919926673</v>
      </c>
      <c r="BG61">
        <v>19320.318365199299</v>
      </c>
      <c r="BH61">
        <v>18472.725707396126</v>
      </c>
      <c r="BI61">
        <v>17677.489690197111</v>
      </c>
      <c r="BJ61">
        <v>16949.211978015726</v>
      </c>
      <c r="BK61">
        <v>16245.780919206421</v>
      </c>
      <c r="BL61">
        <v>15581.870841314774</v>
      </c>
      <c r="BM61">
        <v>15012.992887840681</v>
      </c>
      <c r="BN61">
        <v>14477.451467153383</v>
      </c>
    </row>
    <row r="62" spans="1:66" x14ac:dyDescent="0.25">
      <c r="A62" t="s">
        <v>211</v>
      </c>
      <c r="B62" t="s">
        <v>535</v>
      </c>
      <c r="C62" t="s">
        <v>528</v>
      </c>
      <c r="D62" t="s">
        <v>518</v>
      </c>
      <c r="E62" t="s">
        <v>519</v>
      </c>
      <c r="F62">
        <v>0</v>
      </c>
      <c r="G62">
        <v>0</v>
      </c>
      <c r="H62">
        <v>0</v>
      </c>
      <c r="I62">
        <v>0</v>
      </c>
      <c r="J62">
        <v>0</v>
      </c>
      <c r="K62">
        <v>0</v>
      </c>
      <c r="L62">
        <v>0</v>
      </c>
      <c r="M62">
        <v>0</v>
      </c>
      <c r="N62">
        <v>0</v>
      </c>
      <c r="O62">
        <v>0</v>
      </c>
      <c r="P62">
        <v>0</v>
      </c>
      <c r="Q62">
        <v>0</v>
      </c>
      <c r="R62">
        <v>0</v>
      </c>
      <c r="S62">
        <v>0</v>
      </c>
      <c r="T62">
        <v>0</v>
      </c>
      <c r="U62">
        <v>0</v>
      </c>
      <c r="V62">
        <v>0</v>
      </c>
      <c r="W62">
        <v>0</v>
      </c>
      <c r="X62">
        <v>0</v>
      </c>
      <c r="Y62">
        <v>0</v>
      </c>
      <c r="Z62">
        <v>11.416538041464802</v>
      </c>
      <c r="AA62">
        <v>8.7327708333333316</v>
      </c>
      <c r="AB62">
        <v>2.2770791666666668</v>
      </c>
      <c r="AC62">
        <v>1.3566666666666667</v>
      </c>
      <c r="AD62">
        <v>1.9666666666666663</v>
      </c>
      <c r="AE62">
        <v>4.4622309027777769</v>
      </c>
      <c r="AF62">
        <v>7.7698003472222208</v>
      </c>
      <c r="AG62">
        <v>11.941235920833332</v>
      </c>
      <c r="AH62">
        <v>18.817684762500001</v>
      </c>
      <c r="AI62">
        <v>24.5</v>
      </c>
      <c r="AJ62">
        <v>30</v>
      </c>
      <c r="AK62">
        <v>46.305643178011259</v>
      </c>
      <c r="AL62">
        <v>69.696559398715706</v>
      </c>
      <c r="AM62">
        <v>100</v>
      </c>
      <c r="AN62">
        <v>103</v>
      </c>
      <c r="AO62">
        <v>106.09</v>
      </c>
      <c r="AP62">
        <v>109.2727</v>
      </c>
      <c r="AQ62">
        <v>112.550881</v>
      </c>
      <c r="AR62">
        <v>115.92740743</v>
      </c>
      <c r="AS62">
        <v>119.4052296529</v>
      </c>
      <c r="AT62">
        <v>122.987386542487</v>
      </c>
      <c r="AU62">
        <v>126.67700813876162</v>
      </c>
      <c r="AV62">
        <v>130.47731838292447</v>
      </c>
      <c r="AW62">
        <v>134.39163793441222</v>
      </c>
      <c r="AX62">
        <v>138.4233870724446</v>
      </c>
      <c r="AY62">
        <v>142.57608868461793</v>
      </c>
      <c r="AZ62">
        <v>146.85337134515646</v>
      </c>
      <c r="BA62">
        <v>151.25897248551115</v>
      </c>
      <c r="BB62">
        <v>155.79674166007649</v>
      </c>
      <c r="BC62">
        <v>160.47064390987879</v>
      </c>
      <c r="BD62">
        <v>165.28476322717515</v>
      </c>
      <c r="BE62">
        <v>170.24330612399041</v>
      </c>
      <c r="BF62">
        <v>175.35060530771011</v>
      </c>
      <c r="BG62">
        <v>180.61112346694142</v>
      </c>
      <c r="BH62">
        <v>186.02945717094966</v>
      </c>
      <c r="BI62">
        <v>191.61034088607815</v>
      </c>
      <c r="BJ62">
        <v>197.35865111266051</v>
      </c>
      <c r="BK62">
        <v>203.27941064604033</v>
      </c>
      <c r="BL62">
        <v>209.37779296542155</v>
      </c>
      <c r="BM62">
        <v>215.6591267543842</v>
      </c>
      <c r="BN62">
        <v>222.12890055701573</v>
      </c>
    </row>
    <row r="63" spans="1:66" x14ac:dyDescent="0.25">
      <c r="A63" t="s">
        <v>211</v>
      </c>
      <c r="B63" t="s">
        <v>535</v>
      </c>
      <c r="C63" t="s">
        <v>528</v>
      </c>
      <c r="D63" t="s">
        <v>520</v>
      </c>
      <c r="E63" t="s">
        <v>521</v>
      </c>
      <c r="F63">
        <v>8126.1945618773643</v>
      </c>
      <c r="G63">
        <v>8106.661121873205</v>
      </c>
      <c r="H63">
        <v>8469.9964545997555</v>
      </c>
      <c r="I63">
        <v>8922.6885824844103</v>
      </c>
      <c r="J63">
        <v>9583.8002483498967</v>
      </c>
      <c r="K63">
        <v>10247.564720783123</v>
      </c>
      <c r="L63">
        <v>10378.724398951666</v>
      </c>
      <c r="M63">
        <v>10605.333888617772</v>
      </c>
      <c r="N63">
        <v>10810.458340752642</v>
      </c>
      <c r="O63">
        <v>11096.605458727845</v>
      </c>
      <c r="P63">
        <v>11648.310343290637</v>
      </c>
      <c r="Q63">
        <v>11705.871223077451</v>
      </c>
      <c r="R63">
        <v>12162.021231248526</v>
      </c>
      <c r="S63">
        <v>12697.797549640931</v>
      </c>
      <c r="T63">
        <v>12992.367162928625</v>
      </c>
      <c r="U63">
        <v>13063.440862686894</v>
      </c>
      <c r="V63">
        <v>13182.198504199005</v>
      </c>
      <c r="W63">
        <v>13284.806809600492</v>
      </c>
      <c r="X63">
        <v>13293.959706338926</v>
      </c>
      <c r="Y63">
        <v>13101.086214174264</v>
      </c>
      <c r="Z63">
        <v>13348.937535477718</v>
      </c>
      <c r="AA63">
        <v>13331.827621000642</v>
      </c>
      <c r="AB63">
        <v>13006.487718579234</v>
      </c>
      <c r="AC63">
        <v>13081.360160828839</v>
      </c>
      <c r="AD63">
        <v>13339.646613066796</v>
      </c>
      <c r="AE63">
        <v>13805.025309105527</v>
      </c>
      <c r="AF63">
        <v>13906.520809611657</v>
      </c>
      <c r="AG63">
        <v>14803.702978914342</v>
      </c>
      <c r="AH63">
        <v>15126.124771992951</v>
      </c>
      <c r="AI63">
        <v>14654.704680232724</v>
      </c>
      <c r="AJ63">
        <v>13175.66592208733</v>
      </c>
      <c r="AK63">
        <v>14505.252671613069</v>
      </c>
      <c r="AL63">
        <v>15301.720801458119</v>
      </c>
      <c r="AM63">
        <v>15490.238779907482</v>
      </c>
      <c r="AN63">
        <v>15444.887892324459</v>
      </c>
      <c r="AO63">
        <v>15375.845165700592</v>
      </c>
      <c r="AP63">
        <v>15232.440174888845</v>
      </c>
      <c r="AQ63">
        <v>15080.93706385895</v>
      </c>
      <c r="AR63">
        <v>14815.94592697866</v>
      </c>
      <c r="AS63">
        <v>14444.778674148936</v>
      </c>
      <c r="AT63">
        <v>14002.373282077988</v>
      </c>
      <c r="AU63">
        <v>13429.190348439517</v>
      </c>
      <c r="AV63">
        <v>12691.772905744041</v>
      </c>
      <c r="AW63">
        <v>11903.682822951518</v>
      </c>
      <c r="AX63">
        <v>11093.284186553195</v>
      </c>
      <c r="AY63">
        <v>10264.655204501943</v>
      </c>
      <c r="AZ63">
        <v>9464.5138442871776</v>
      </c>
      <c r="BA63">
        <v>8662.8784432055763</v>
      </c>
      <c r="BB63">
        <v>7926.7874042012418</v>
      </c>
      <c r="BC63">
        <v>7168.6802774977341</v>
      </c>
      <c r="BD63">
        <v>6582.2614887657055</v>
      </c>
      <c r="BE63">
        <v>5920.0896488389744</v>
      </c>
      <c r="BF63">
        <v>5321.5608433142716</v>
      </c>
      <c r="BG63">
        <v>4753.6904608434288</v>
      </c>
      <c r="BH63">
        <v>4190.4148939460938</v>
      </c>
      <c r="BI63">
        <v>3645.5162929964295</v>
      </c>
      <c r="BJ63">
        <v>3225.5341599867161</v>
      </c>
      <c r="BK63">
        <v>2801.7074486757529</v>
      </c>
      <c r="BL63">
        <v>2454.3023468825431</v>
      </c>
      <c r="BM63">
        <v>2128.1503538084871</v>
      </c>
      <c r="BN63">
        <v>1856.8282111587362</v>
      </c>
    </row>
    <row r="64" spans="1:66" x14ac:dyDescent="0.25">
      <c r="A64" t="s">
        <v>211</v>
      </c>
      <c r="B64" t="s">
        <v>535</v>
      </c>
      <c r="C64" t="s">
        <v>528</v>
      </c>
      <c r="D64" t="s">
        <v>522</v>
      </c>
      <c r="E64" t="s">
        <v>521</v>
      </c>
      <c r="F64">
        <v>15640.940843035291</v>
      </c>
      <c r="G64">
        <v>16150.546759988883</v>
      </c>
      <c r="H64">
        <v>17648.388786263939</v>
      </c>
      <c r="I64">
        <v>16725.370693795405</v>
      </c>
      <c r="J64">
        <v>16380.548324839787</v>
      </c>
      <c r="K64">
        <v>15499.119986501893</v>
      </c>
      <c r="L64">
        <v>16964.973485962018</v>
      </c>
      <c r="M64">
        <v>18776.307489236842</v>
      </c>
      <c r="N64">
        <v>16990.87642543549</v>
      </c>
      <c r="O64">
        <v>18068.06638576484</v>
      </c>
      <c r="P64">
        <v>18247.587022073894</v>
      </c>
      <c r="Q64">
        <v>20209.470689366266</v>
      </c>
      <c r="R64">
        <v>19699.848793804682</v>
      </c>
      <c r="S64">
        <v>20589.961823411428</v>
      </c>
      <c r="T64">
        <v>19932.694122895617</v>
      </c>
      <c r="U64">
        <v>21455.132172136808</v>
      </c>
      <c r="V64">
        <v>21734.471668911941</v>
      </c>
      <c r="W64">
        <v>20224.013693454704</v>
      </c>
      <c r="X64">
        <v>21356.548009904149</v>
      </c>
      <c r="Y64">
        <v>18870.840564758502</v>
      </c>
      <c r="Z64">
        <v>18772.299934571802</v>
      </c>
      <c r="AA64">
        <v>18114.081314169005</v>
      </c>
      <c r="AB64">
        <v>19820.47191931152</v>
      </c>
      <c r="AC64">
        <v>18884.997469550366</v>
      </c>
      <c r="AD64">
        <v>18698.599087495157</v>
      </c>
      <c r="AE64">
        <v>18478.836391393874</v>
      </c>
      <c r="AF64">
        <v>16973.70962476591</v>
      </c>
      <c r="AG64">
        <v>17531.475135032353</v>
      </c>
      <c r="AH64">
        <v>17282.73541087965</v>
      </c>
      <c r="AI64">
        <v>19152.571947895391</v>
      </c>
      <c r="AJ64">
        <v>18178.313197265285</v>
      </c>
      <c r="AK64">
        <v>18358.608925497258</v>
      </c>
      <c r="AL64">
        <v>17118.889650186396</v>
      </c>
      <c r="AM64">
        <v>16219.4712495524</v>
      </c>
      <c r="AN64">
        <v>15202.443498546745</v>
      </c>
      <c r="AO64">
        <v>14443.116805958092</v>
      </c>
      <c r="AP64">
        <v>14311.309803046035</v>
      </c>
      <c r="AQ64">
        <v>14157.320225405923</v>
      </c>
      <c r="AR64">
        <v>13910.761509586293</v>
      </c>
      <c r="AS64">
        <v>13932.830158622388</v>
      </c>
      <c r="AT64">
        <v>13137.207454755055</v>
      </c>
      <c r="AU64">
        <v>12974.953444906467</v>
      </c>
      <c r="AV64">
        <v>12661.202580038997</v>
      </c>
      <c r="AW64">
        <v>12511.853259212114</v>
      </c>
      <c r="AX64">
        <v>12413.468117220549</v>
      </c>
      <c r="AY64">
        <v>12246.187250808316</v>
      </c>
      <c r="AZ64">
        <v>12015.798136261563</v>
      </c>
      <c r="BA64">
        <v>11752.952958774111</v>
      </c>
      <c r="BB64">
        <v>11453.106320160876</v>
      </c>
      <c r="BC64">
        <v>11064.222969551996</v>
      </c>
      <c r="BD64">
        <v>9861.0488883816288</v>
      </c>
      <c r="BE64">
        <v>9399.3850381156135</v>
      </c>
      <c r="BF64">
        <v>8853.3439907552402</v>
      </c>
      <c r="BG64">
        <v>8454.4047284949884</v>
      </c>
      <c r="BH64">
        <v>8070.2959393203155</v>
      </c>
      <c r="BI64">
        <v>7678.8424366359941</v>
      </c>
      <c r="BJ64">
        <v>7323.2010678177003</v>
      </c>
      <c r="BK64">
        <v>6955.4430462309647</v>
      </c>
      <c r="BL64">
        <v>6553.5229877890315</v>
      </c>
      <c r="BM64">
        <v>6127.5735221350733</v>
      </c>
      <c r="BN64">
        <v>5682.4542919121541</v>
      </c>
    </row>
    <row r="65" spans="1:66" x14ac:dyDescent="0.25">
      <c r="A65" t="s">
        <v>211</v>
      </c>
      <c r="B65" t="s">
        <v>535</v>
      </c>
      <c r="C65" t="s">
        <v>528</v>
      </c>
      <c r="D65" t="s">
        <v>523</v>
      </c>
      <c r="E65" t="s">
        <v>521</v>
      </c>
      <c r="F65">
        <v>3429.1023206090149</v>
      </c>
      <c r="G65">
        <v>3582.0933132143959</v>
      </c>
      <c r="H65">
        <v>3230.4006797977117</v>
      </c>
      <c r="I65">
        <v>3072.4080540294026</v>
      </c>
      <c r="J65">
        <v>2943.5832063652938</v>
      </c>
      <c r="K65">
        <v>3036.6428253355557</v>
      </c>
      <c r="L65">
        <v>3231.1178764295346</v>
      </c>
      <c r="M65">
        <v>3121.0509253025539</v>
      </c>
      <c r="N65">
        <v>3108.4252054479571</v>
      </c>
      <c r="O65">
        <v>3287.2502963250704</v>
      </c>
      <c r="P65">
        <v>3324.3535917273935</v>
      </c>
      <c r="Q65">
        <v>3441.9326499549325</v>
      </c>
      <c r="R65">
        <v>3562.3255597822995</v>
      </c>
      <c r="S65">
        <v>3798.3629146741546</v>
      </c>
      <c r="T65">
        <v>3833.9993752516589</v>
      </c>
      <c r="U65">
        <v>3949.7863117346769</v>
      </c>
      <c r="V65">
        <v>4067.1636114352182</v>
      </c>
      <c r="W65">
        <v>4324.6641433976283</v>
      </c>
      <c r="X65">
        <v>4207.5754142911601</v>
      </c>
      <c r="Y65">
        <v>4156.3376144420381</v>
      </c>
      <c r="Z65">
        <v>4471.2064224286651</v>
      </c>
      <c r="AA65">
        <v>4511.1732699008671</v>
      </c>
      <c r="AB65">
        <v>4584.743425822363</v>
      </c>
      <c r="AC65">
        <v>4716.1203271304976</v>
      </c>
      <c r="AD65">
        <v>4887.0741014170871</v>
      </c>
      <c r="AE65">
        <v>5014.426570819578</v>
      </c>
      <c r="AF65">
        <v>4761.4486978313562</v>
      </c>
      <c r="AG65">
        <v>4803.9943473754338</v>
      </c>
      <c r="AH65">
        <v>4679.6792337008401</v>
      </c>
      <c r="AI65">
        <v>4713.1761267541115</v>
      </c>
      <c r="AJ65">
        <v>4482.2708369643005</v>
      </c>
      <c r="AK65">
        <v>4684.6924221093341</v>
      </c>
      <c r="AL65">
        <v>4615.5306846943822</v>
      </c>
      <c r="AM65">
        <v>4527.0774901879577</v>
      </c>
      <c r="AN65">
        <v>4561.4447140260791</v>
      </c>
      <c r="AO65">
        <v>4531.5830099871309</v>
      </c>
      <c r="AP65">
        <v>4520.2431432731055</v>
      </c>
      <c r="AQ65">
        <v>4475.9232009926682</v>
      </c>
      <c r="AR65">
        <v>4437.3438495564878</v>
      </c>
      <c r="AS65">
        <v>4418.4714579346728</v>
      </c>
      <c r="AT65">
        <v>4189.6175136617467</v>
      </c>
      <c r="AU65">
        <v>4152.7025661890148</v>
      </c>
      <c r="AV65">
        <v>4118.1638381475086</v>
      </c>
      <c r="AW65">
        <v>4074.2373670370248</v>
      </c>
      <c r="AX65">
        <v>4037.058820961443</v>
      </c>
      <c r="AY65">
        <v>4032.1997556739379</v>
      </c>
      <c r="AZ65">
        <v>3995.9161703264608</v>
      </c>
      <c r="BA65">
        <v>3975.3458681184584</v>
      </c>
      <c r="BB65">
        <v>3956.6216979861979</v>
      </c>
      <c r="BC65">
        <v>3939.874539467507</v>
      </c>
      <c r="BD65">
        <v>3868.9310985478323</v>
      </c>
      <c r="BE65">
        <v>3857.8291521529131</v>
      </c>
      <c r="BF65">
        <v>3849.1543209366041</v>
      </c>
      <c r="BG65">
        <v>3844.9585287107934</v>
      </c>
      <c r="BH65">
        <v>3843.2882370622556</v>
      </c>
      <c r="BI65">
        <v>3843.9088929607183</v>
      </c>
      <c r="BJ65">
        <v>3847.400115947531</v>
      </c>
      <c r="BK65">
        <v>3853.83891593199</v>
      </c>
      <c r="BL65">
        <v>3862.0590012565417</v>
      </c>
      <c r="BM65">
        <v>3871.3081527366885</v>
      </c>
      <c r="BN65">
        <v>3883.132271554603</v>
      </c>
    </row>
    <row r="66" spans="1:66" x14ac:dyDescent="0.25">
      <c r="A66" t="s">
        <v>211</v>
      </c>
      <c r="B66" t="s">
        <v>535</v>
      </c>
      <c r="C66" t="s">
        <v>528</v>
      </c>
      <c r="D66" t="s">
        <v>524</v>
      </c>
      <c r="E66" t="s">
        <v>521</v>
      </c>
      <c r="F66">
        <v>1816.6596733237263</v>
      </c>
      <c r="G66">
        <v>1893.7218802684215</v>
      </c>
      <c r="H66">
        <v>1971.3222733100288</v>
      </c>
      <c r="I66">
        <v>2049.4503492491226</v>
      </c>
      <c r="J66">
        <v>1947.5325263313807</v>
      </c>
      <c r="K66">
        <v>2023.8252549837712</v>
      </c>
      <c r="L66">
        <v>2102.1656796823004</v>
      </c>
      <c r="M66">
        <v>2125.7547716447093</v>
      </c>
      <c r="N66">
        <v>2086.8629737313777</v>
      </c>
      <c r="O66">
        <v>2084.0346339247499</v>
      </c>
      <c r="P66">
        <v>2103.6901401299438</v>
      </c>
      <c r="Q66">
        <v>2134.2537068539705</v>
      </c>
      <c r="R66">
        <v>2173.5947283527944</v>
      </c>
      <c r="S66">
        <v>2101.4028129686244</v>
      </c>
      <c r="T66">
        <v>2124.9026062551302</v>
      </c>
      <c r="U66">
        <v>2134.5667014321762</v>
      </c>
      <c r="V66">
        <v>1957.2003317893241</v>
      </c>
      <c r="W66">
        <v>1922.5694677164029</v>
      </c>
      <c r="X66">
        <v>1846.56179242198</v>
      </c>
      <c r="Y66">
        <v>1723.3205496528278</v>
      </c>
      <c r="Z66">
        <v>1665.7456629024559</v>
      </c>
      <c r="AA66">
        <v>1519.6605558608351</v>
      </c>
      <c r="AB66">
        <v>1410.5413176396301</v>
      </c>
      <c r="AC66">
        <v>1359.9084848190901</v>
      </c>
      <c r="AD66">
        <v>1314.1708670740722</v>
      </c>
      <c r="AE66">
        <v>1275.9271345153275</v>
      </c>
      <c r="AF66">
        <v>1246.0586846922251</v>
      </c>
      <c r="AG66">
        <v>1214.8602401561525</v>
      </c>
      <c r="AH66">
        <v>1156.3598029499428</v>
      </c>
      <c r="AI66">
        <v>1114.3950725962225</v>
      </c>
      <c r="AJ66">
        <v>1075.3643344180375</v>
      </c>
      <c r="AK66">
        <v>1058.4109684228663</v>
      </c>
      <c r="AL66">
        <v>1033.212300658286</v>
      </c>
      <c r="AM66">
        <v>996.3164129459052</v>
      </c>
      <c r="AN66">
        <v>960.78960512158892</v>
      </c>
      <c r="AO66">
        <v>925.04832155596773</v>
      </c>
      <c r="AP66">
        <v>889.02457419959956</v>
      </c>
      <c r="AQ66">
        <v>853.30502435548965</v>
      </c>
      <c r="AR66">
        <v>818.06085119369118</v>
      </c>
      <c r="AS66">
        <v>783.33888514538035</v>
      </c>
      <c r="AT66">
        <v>749.00661600423484</v>
      </c>
      <c r="AU66">
        <v>713.12299893040836</v>
      </c>
      <c r="AV66">
        <v>681.75265381906581</v>
      </c>
      <c r="AW66">
        <v>653.07251772298503</v>
      </c>
      <c r="AX66">
        <v>626.11264777642305</v>
      </c>
      <c r="AY66">
        <v>600.52316314937514</v>
      </c>
      <c r="AZ66">
        <v>575.86587763045134</v>
      </c>
      <c r="BA66">
        <v>552.05563434795374</v>
      </c>
      <c r="BB66">
        <v>529.03379695458602</v>
      </c>
      <c r="BC66">
        <v>506.69177205864327</v>
      </c>
      <c r="BD66">
        <v>485.08300206828466</v>
      </c>
      <c r="BE66">
        <v>465.02988086753226</v>
      </c>
      <c r="BF66">
        <v>445.48055289878113</v>
      </c>
      <c r="BG66">
        <v>426.42962227669557</v>
      </c>
      <c r="BH66">
        <v>407.82667776884568</v>
      </c>
      <c r="BI66">
        <v>389.73655503451369</v>
      </c>
      <c r="BJ66">
        <v>372.05944067249334</v>
      </c>
      <c r="BK66">
        <v>354.75156639017149</v>
      </c>
      <c r="BL66">
        <v>337.84939136662678</v>
      </c>
      <c r="BM66">
        <v>321.36782763857866</v>
      </c>
      <c r="BN66">
        <v>305.31110019557548</v>
      </c>
    </row>
    <row r="67" spans="1:66" x14ac:dyDescent="0.25">
      <c r="A67" t="s">
        <v>211</v>
      </c>
      <c r="B67" t="s">
        <v>535</v>
      </c>
      <c r="C67" t="s">
        <v>528</v>
      </c>
      <c r="D67" t="s">
        <v>525</v>
      </c>
      <c r="E67" t="s">
        <v>521</v>
      </c>
      <c r="F67">
        <v>29012.897398845394</v>
      </c>
      <c r="G67">
        <v>29733.023075344903</v>
      </c>
      <c r="H67">
        <v>31320.108193971439</v>
      </c>
      <c r="I67">
        <v>30769.917679558341</v>
      </c>
      <c r="J67">
        <v>30855.464305886358</v>
      </c>
      <c r="K67">
        <v>30807.15278760434</v>
      </c>
      <c r="L67">
        <v>32676.98144102552</v>
      </c>
      <c r="M67">
        <v>34628.447074801872</v>
      </c>
      <c r="N67">
        <v>32996.622945367468</v>
      </c>
      <c r="O67">
        <v>34535.956774742503</v>
      </c>
      <c r="P67">
        <v>35323.941097221861</v>
      </c>
      <c r="Q67">
        <v>37491.528269252616</v>
      </c>
      <c r="R67">
        <v>37597.790313188299</v>
      </c>
      <c r="S67">
        <v>39187.525100695137</v>
      </c>
      <c r="T67">
        <v>38883.963267331026</v>
      </c>
      <c r="U67">
        <v>40602.92604799055</v>
      </c>
      <c r="V67">
        <v>40941.03411633549</v>
      </c>
      <c r="W67">
        <v>39756.054114169223</v>
      </c>
      <c r="X67">
        <v>40704.644922956213</v>
      </c>
      <c r="Y67">
        <v>37851.584943027628</v>
      </c>
      <c r="Z67">
        <v>38258.189555380639</v>
      </c>
      <c r="AA67">
        <v>37476.742760931345</v>
      </c>
      <c r="AB67">
        <v>38822.24438135275</v>
      </c>
      <c r="AC67">
        <v>38042.386442328796</v>
      </c>
      <c r="AD67">
        <v>38239.490669053106</v>
      </c>
      <c r="AE67">
        <v>38574.2154058343</v>
      </c>
      <c r="AF67">
        <v>36887.73781690115</v>
      </c>
      <c r="AG67">
        <v>38354.032701478282</v>
      </c>
      <c r="AH67">
        <v>38244.89921952338</v>
      </c>
      <c r="AI67">
        <v>39634.847827478443</v>
      </c>
      <c r="AJ67">
        <v>36911.614290734949</v>
      </c>
      <c r="AK67">
        <v>38606.964987642532</v>
      </c>
      <c r="AL67">
        <v>38069.353436997182</v>
      </c>
      <c r="AM67">
        <v>37233.103932593745</v>
      </c>
      <c r="AN67">
        <v>36169.565710018869</v>
      </c>
      <c r="AO67">
        <v>35275.593303201778</v>
      </c>
      <c r="AP67">
        <v>34953.01769540758</v>
      </c>
      <c r="AQ67">
        <v>34567.485514613036</v>
      </c>
      <c r="AR67">
        <v>33982.112137315125</v>
      </c>
      <c r="AS67">
        <v>33579.419175851377</v>
      </c>
      <c r="AT67">
        <v>32078.204866499022</v>
      </c>
      <c r="AU67">
        <v>31269.969358465405</v>
      </c>
      <c r="AV67">
        <v>30152.891977749612</v>
      </c>
      <c r="AW67">
        <v>29142.84596692364</v>
      </c>
      <c r="AX67">
        <v>28169.923772511611</v>
      </c>
      <c r="AY67">
        <v>27143.56537413357</v>
      </c>
      <c r="AZ67">
        <v>26052.094028505653</v>
      </c>
      <c r="BA67">
        <v>24943.2329044461</v>
      </c>
      <c r="BB67">
        <v>23865.549219302902</v>
      </c>
      <c r="BC67">
        <v>22679.469558575878</v>
      </c>
      <c r="BD67">
        <v>20797.32447776345</v>
      </c>
      <c r="BE67">
        <v>19642.333719975035</v>
      </c>
      <c r="BF67">
        <v>18469.539707904896</v>
      </c>
      <c r="BG67">
        <v>17479.483340325907</v>
      </c>
      <c r="BH67">
        <v>16511.825748097512</v>
      </c>
      <c r="BI67">
        <v>15558.004177627656</v>
      </c>
      <c r="BJ67">
        <v>14768.194784424441</v>
      </c>
      <c r="BK67">
        <v>13965.740977228879</v>
      </c>
      <c r="BL67">
        <v>13207.733727294742</v>
      </c>
      <c r="BM67">
        <v>12448.399856318827</v>
      </c>
      <c r="BN67">
        <v>11727.725874821068</v>
      </c>
    </row>
    <row r="68" spans="1:66" x14ac:dyDescent="0.25">
      <c r="A68" t="s">
        <v>212</v>
      </c>
      <c r="B68" t="s">
        <v>535</v>
      </c>
      <c r="C68" t="s">
        <v>529</v>
      </c>
      <c r="D68" t="s">
        <v>518</v>
      </c>
      <c r="E68" t="s">
        <v>519</v>
      </c>
      <c r="F68">
        <v>0</v>
      </c>
      <c r="G68">
        <v>0</v>
      </c>
      <c r="H68">
        <v>0</v>
      </c>
      <c r="I68">
        <v>0</v>
      </c>
      <c r="J68">
        <v>0</v>
      </c>
      <c r="K68">
        <v>0</v>
      </c>
      <c r="L68">
        <v>0</v>
      </c>
      <c r="M68">
        <v>0</v>
      </c>
      <c r="N68">
        <v>0</v>
      </c>
      <c r="O68">
        <v>0</v>
      </c>
      <c r="P68">
        <v>0</v>
      </c>
      <c r="Q68">
        <v>0</v>
      </c>
      <c r="R68">
        <v>0</v>
      </c>
      <c r="S68">
        <v>0</v>
      </c>
      <c r="T68">
        <v>0</v>
      </c>
      <c r="U68">
        <v>0</v>
      </c>
      <c r="V68">
        <v>0</v>
      </c>
      <c r="W68">
        <v>0</v>
      </c>
      <c r="X68">
        <v>0</v>
      </c>
      <c r="Y68">
        <v>0</v>
      </c>
      <c r="Z68">
        <v>11.416538041464802</v>
      </c>
      <c r="AA68">
        <v>8.7327708333333316</v>
      </c>
      <c r="AB68">
        <v>2.2770791666666668</v>
      </c>
      <c r="AC68">
        <v>1.3566666666666667</v>
      </c>
      <c r="AD68">
        <v>1.9666666666666663</v>
      </c>
      <c r="AE68">
        <v>4.4622309027777769</v>
      </c>
      <c r="AF68">
        <v>7.7698003472222208</v>
      </c>
      <c r="AG68">
        <v>11.941235920833332</v>
      </c>
      <c r="AH68">
        <v>18.817684762500001</v>
      </c>
      <c r="AI68">
        <v>24.5</v>
      </c>
      <c r="AJ68">
        <v>30</v>
      </c>
      <c r="AK68">
        <v>46.305643178011259</v>
      </c>
      <c r="AL68">
        <v>69.696559398715706</v>
      </c>
      <c r="AM68">
        <v>150</v>
      </c>
      <c r="AN68">
        <v>154.5</v>
      </c>
      <c r="AO68">
        <v>159.13499999999999</v>
      </c>
      <c r="AP68">
        <v>163.90905000000001</v>
      </c>
      <c r="AQ68">
        <v>168.82632150000001</v>
      </c>
      <c r="AR68">
        <v>173.891111145</v>
      </c>
      <c r="AS68">
        <v>179.10784447935001</v>
      </c>
      <c r="AT68">
        <v>184.4810798137305</v>
      </c>
      <c r="AU68">
        <v>190.01551220814241</v>
      </c>
      <c r="AV68">
        <v>195.7159775743867</v>
      </c>
      <c r="AW68">
        <v>201.58745690161831</v>
      </c>
      <c r="AX68">
        <v>207.63508060866687</v>
      </c>
      <c r="AY68">
        <v>213.86413302692688</v>
      </c>
      <c r="AZ68">
        <v>220.28005701773469</v>
      </c>
      <c r="BA68">
        <v>226.88845872826673</v>
      </c>
      <c r="BB68">
        <v>233.69511249011472</v>
      </c>
      <c r="BC68">
        <v>240.70596586481818</v>
      </c>
      <c r="BD68">
        <v>247.92714484076274</v>
      </c>
      <c r="BE68">
        <v>255.36495918598561</v>
      </c>
      <c r="BF68">
        <v>263.02590796156517</v>
      </c>
      <c r="BG68">
        <v>270.91668520041213</v>
      </c>
      <c r="BH68">
        <v>279.0441857564245</v>
      </c>
      <c r="BI68">
        <v>287.41551132911724</v>
      </c>
      <c r="BJ68">
        <v>296.03797666899078</v>
      </c>
      <c r="BK68">
        <v>304.9191159690605</v>
      </c>
      <c r="BL68">
        <v>314.06668944813231</v>
      </c>
      <c r="BM68">
        <v>323.48869013157628</v>
      </c>
      <c r="BN68">
        <v>333.19335083552357</v>
      </c>
    </row>
    <row r="69" spans="1:66" x14ac:dyDescent="0.25">
      <c r="A69" t="s">
        <v>212</v>
      </c>
      <c r="B69" t="s">
        <v>535</v>
      </c>
      <c r="C69" t="s">
        <v>529</v>
      </c>
      <c r="D69" t="s">
        <v>520</v>
      </c>
      <c r="E69" t="s">
        <v>521</v>
      </c>
      <c r="F69">
        <v>8126.1945618773643</v>
      </c>
      <c r="G69">
        <v>8106.661121873205</v>
      </c>
      <c r="H69">
        <v>8469.9964545997555</v>
      </c>
      <c r="I69">
        <v>8922.6885824844103</v>
      </c>
      <c r="J69">
        <v>9583.8002483498967</v>
      </c>
      <c r="K69">
        <v>10247.564720783123</v>
      </c>
      <c r="L69">
        <v>10378.724398951666</v>
      </c>
      <c r="M69">
        <v>10605.333888617772</v>
      </c>
      <c r="N69">
        <v>10810.458340752642</v>
      </c>
      <c r="O69">
        <v>11096.605458727845</v>
      </c>
      <c r="P69">
        <v>11648.310343290637</v>
      </c>
      <c r="Q69">
        <v>11705.871223077451</v>
      </c>
      <c r="R69">
        <v>12162.021231248526</v>
      </c>
      <c r="S69">
        <v>12697.797549640931</v>
      </c>
      <c r="T69">
        <v>12992.367162928625</v>
      </c>
      <c r="U69">
        <v>13063.440862686894</v>
      </c>
      <c r="V69">
        <v>13182.198504199005</v>
      </c>
      <c r="W69">
        <v>13284.806809600492</v>
      </c>
      <c r="X69">
        <v>13293.959706338926</v>
      </c>
      <c r="Y69">
        <v>13101.086214174264</v>
      </c>
      <c r="Z69">
        <v>13348.937535477718</v>
      </c>
      <c r="AA69">
        <v>13331.827621000642</v>
      </c>
      <c r="AB69">
        <v>13006.487718579234</v>
      </c>
      <c r="AC69">
        <v>13081.360160828839</v>
      </c>
      <c r="AD69">
        <v>13339.646613066796</v>
      </c>
      <c r="AE69">
        <v>13805.025309105527</v>
      </c>
      <c r="AF69">
        <v>13906.520809611657</v>
      </c>
      <c r="AG69">
        <v>14803.702978914342</v>
      </c>
      <c r="AH69">
        <v>15126.124771992951</v>
      </c>
      <c r="AI69">
        <v>14654.704680232724</v>
      </c>
      <c r="AJ69">
        <v>13175.66592208733</v>
      </c>
      <c r="AK69">
        <v>14505.252671613069</v>
      </c>
      <c r="AL69">
        <v>15301.701074582199</v>
      </c>
      <c r="AM69">
        <v>15488.502658692836</v>
      </c>
      <c r="AN69">
        <v>15440.809435920466</v>
      </c>
      <c r="AO69">
        <v>15368.54095273207</v>
      </c>
      <c r="AP69">
        <v>15213.548745341803</v>
      </c>
      <c r="AQ69">
        <v>15044.29022766448</v>
      </c>
      <c r="AR69">
        <v>14758.244937109035</v>
      </c>
      <c r="AS69">
        <v>14368.513602543004</v>
      </c>
      <c r="AT69">
        <v>13902.302033862277</v>
      </c>
      <c r="AU69">
        <v>13295.369688365179</v>
      </c>
      <c r="AV69">
        <v>12546.436141075415</v>
      </c>
      <c r="AW69">
        <v>11763.946746173431</v>
      </c>
      <c r="AX69">
        <v>10885.251097337783</v>
      </c>
      <c r="AY69">
        <v>10076.966303989784</v>
      </c>
      <c r="AZ69">
        <v>9285.3919046145929</v>
      </c>
      <c r="BA69">
        <v>8488.296005883476</v>
      </c>
      <c r="BB69">
        <v>7712.3683134255407</v>
      </c>
      <c r="BC69">
        <v>6976.4206085901205</v>
      </c>
      <c r="BD69">
        <v>6317.5337978970929</v>
      </c>
      <c r="BE69">
        <v>5666.7591855152723</v>
      </c>
      <c r="BF69">
        <v>5143.7297730209739</v>
      </c>
      <c r="BG69">
        <v>4528.677856724792</v>
      </c>
      <c r="BH69">
        <v>4047.9481349250495</v>
      </c>
      <c r="BI69">
        <v>3506.8517625497552</v>
      </c>
      <c r="BJ69">
        <v>3034.1699632159816</v>
      </c>
      <c r="BK69">
        <v>2669.0055825773265</v>
      </c>
      <c r="BL69">
        <v>2322.8169420509853</v>
      </c>
      <c r="BM69">
        <v>2013.6292436436545</v>
      </c>
      <c r="BN69">
        <v>1760.0860056656074</v>
      </c>
    </row>
    <row r="70" spans="1:66" x14ac:dyDescent="0.25">
      <c r="A70" t="s">
        <v>212</v>
      </c>
      <c r="B70" t="s">
        <v>535</v>
      </c>
      <c r="C70" t="s">
        <v>529</v>
      </c>
      <c r="D70" t="s">
        <v>522</v>
      </c>
      <c r="E70" t="s">
        <v>521</v>
      </c>
      <c r="F70">
        <v>15640.940843035291</v>
      </c>
      <c r="G70">
        <v>16150.546759988883</v>
      </c>
      <c r="H70">
        <v>17648.388786263939</v>
      </c>
      <c r="I70">
        <v>16725.370693795405</v>
      </c>
      <c r="J70">
        <v>16380.548324839787</v>
      </c>
      <c r="K70">
        <v>15499.119986501893</v>
      </c>
      <c r="L70">
        <v>16964.973485962018</v>
      </c>
      <c r="M70">
        <v>18776.307489236842</v>
      </c>
      <c r="N70">
        <v>16990.87642543549</v>
      </c>
      <c r="O70">
        <v>18068.06638576484</v>
      </c>
      <c r="P70">
        <v>18247.587022073894</v>
      </c>
      <c r="Q70">
        <v>20209.470689366266</v>
      </c>
      <c r="R70">
        <v>19699.848793804682</v>
      </c>
      <c r="S70">
        <v>20589.961823411428</v>
      </c>
      <c r="T70">
        <v>19932.694122895617</v>
      </c>
      <c r="U70">
        <v>21455.132172136808</v>
      </c>
      <c r="V70">
        <v>21734.471668911941</v>
      </c>
      <c r="W70">
        <v>20224.013693454704</v>
      </c>
      <c r="X70">
        <v>21356.548009904149</v>
      </c>
      <c r="Y70">
        <v>18870.840564758502</v>
      </c>
      <c r="Z70">
        <v>18772.299934571802</v>
      </c>
      <c r="AA70">
        <v>18114.081314169005</v>
      </c>
      <c r="AB70">
        <v>19820.47191931152</v>
      </c>
      <c r="AC70">
        <v>18884.997469550366</v>
      </c>
      <c r="AD70">
        <v>18698.599087495157</v>
      </c>
      <c r="AE70">
        <v>18478.836391393874</v>
      </c>
      <c r="AF70">
        <v>16973.70962476591</v>
      </c>
      <c r="AG70">
        <v>17531.475135032353</v>
      </c>
      <c r="AH70">
        <v>17282.73541087965</v>
      </c>
      <c r="AI70">
        <v>19152.571947895391</v>
      </c>
      <c r="AJ70">
        <v>18178.313197265285</v>
      </c>
      <c r="AK70">
        <v>18356.186781136625</v>
      </c>
      <c r="AL70">
        <v>17079.643059969854</v>
      </c>
      <c r="AM70">
        <v>16110.256401353621</v>
      </c>
      <c r="AN70">
        <v>14806.461853780978</v>
      </c>
      <c r="AO70">
        <v>13910.415337283066</v>
      </c>
      <c r="AP70">
        <v>13685.527982574007</v>
      </c>
      <c r="AQ70">
        <v>13338.924304964419</v>
      </c>
      <c r="AR70">
        <v>12971.998064868882</v>
      </c>
      <c r="AS70">
        <v>12758.646414234887</v>
      </c>
      <c r="AT70">
        <v>11798.173778643601</v>
      </c>
      <c r="AU70">
        <v>11494.4296762789</v>
      </c>
      <c r="AV70">
        <v>11144.220228262113</v>
      </c>
      <c r="AW70">
        <v>10903.057485286996</v>
      </c>
      <c r="AX70">
        <v>10692.657622881998</v>
      </c>
      <c r="AY70">
        <v>10500.60930130333</v>
      </c>
      <c r="AZ70">
        <v>10265.730175254119</v>
      </c>
      <c r="BA70">
        <v>9927.515709680516</v>
      </c>
      <c r="BB70">
        <v>9539.635545748788</v>
      </c>
      <c r="BC70">
        <v>9120.3850223635636</v>
      </c>
      <c r="BD70">
        <v>7951.0354097126792</v>
      </c>
      <c r="BE70">
        <v>7565.7094106593568</v>
      </c>
      <c r="BF70">
        <v>7158.5162135405844</v>
      </c>
      <c r="BG70">
        <v>6751.8482013180865</v>
      </c>
      <c r="BH70">
        <v>6386.7100580942524</v>
      </c>
      <c r="BI70">
        <v>6097.9112372486652</v>
      </c>
      <c r="BJ70">
        <v>5795.3512206608948</v>
      </c>
      <c r="BK70">
        <v>5476.5470849123312</v>
      </c>
      <c r="BL70">
        <v>5143.6669556994557</v>
      </c>
      <c r="BM70">
        <v>4698.6330085076352</v>
      </c>
      <c r="BN70">
        <v>4312.2550686676941</v>
      </c>
    </row>
    <row r="71" spans="1:66" x14ac:dyDescent="0.25">
      <c r="A71" t="s">
        <v>212</v>
      </c>
      <c r="B71" t="s">
        <v>535</v>
      </c>
      <c r="C71" t="s">
        <v>529</v>
      </c>
      <c r="D71" t="s">
        <v>523</v>
      </c>
      <c r="E71" t="s">
        <v>521</v>
      </c>
      <c r="F71">
        <v>3429.1023206090149</v>
      </c>
      <c r="G71">
        <v>3582.0933132143959</v>
      </c>
      <c r="H71">
        <v>3230.4006797977117</v>
      </c>
      <c r="I71">
        <v>3072.4080540294026</v>
      </c>
      <c r="J71">
        <v>2943.5832063652938</v>
      </c>
      <c r="K71">
        <v>3036.6428253355557</v>
      </c>
      <c r="L71">
        <v>3231.1178764295346</v>
      </c>
      <c r="M71">
        <v>3121.0509253025539</v>
      </c>
      <c r="N71">
        <v>3108.4252054479571</v>
      </c>
      <c r="O71">
        <v>3287.2502963250704</v>
      </c>
      <c r="P71">
        <v>3324.3535917273935</v>
      </c>
      <c r="Q71">
        <v>3441.9326499549325</v>
      </c>
      <c r="R71">
        <v>3562.3255597822995</v>
      </c>
      <c r="S71">
        <v>3798.3629146741546</v>
      </c>
      <c r="T71">
        <v>3833.9993752516589</v>
      </c>
      <c r="U71">
        <v>3949.7863117346769</v>
      </c>
      <c r="V71">
        <v>4067.1636114352182</v>
      </c>
      <c r="W71">
        <v>4324.6641433976283</v>
      </c>
      <c r="X71">
        <v>4207.5754142911601</v>
      </c>
      <c r="Y71">
        <v>4156.3376144420381</v>
      </c>
      <c r="Z71">
        <v>4471.2064224286651</v>
      </c>
      <c r="AA71">
        <v>4511.1732699008671</v>
      </c>
      <c r="AB71">
        <v>4584.743425822363</v>
      </c>
      <c r="AC71">
        <v>4716.1203271304976</v>
      </c>
      <c r="AD71">
        <v>4887.0741014170871</v>
      </c>
      <c r="AE71">
        <v>5014.426570819578</v>
      </c>
      <c r="AF71">
        <v>4761.4486978313562</v>
      </c>
      <c r="AG71">
        <v>4803.9943473754338</v>
      </c>
      <c r="AH71">
        <v>4679.6792337008401</v>
      </c>
      <c r="AI71">
        <v>4713.1761267541115</v>
      </c>
      <c r="AJ71">
        <v>4482.2708369643005</v>
      </c>
      <c r="AK71">
        <v>4684.6924221093341</v>
      </c>
      <c r="AL71">
        <v>4615.5306846943831</v>
      </c>
      <c r="AM71">
        <v>4527.0774901879586</v>
      </c>
      <c r="AN71">
        <v>4561.4447140260781</v>
      </c>
      <c r="AO71">
        <v>4531.5830099871318</v>
      </c>
      <c r="AP71">
        <v>4520.2431432731046</v>
      </c>
      <c r="AQ71">
        <v>4475.9232009926682</v>
      </c>
      <c r="AR71">
        <v>4437.3438495564878</v>
      </c>
      <c r="AS71">
        <v>4418.4714579346737</v>
      </c>
      <c r="AT71">
        <v>4189.6175136617458</v>
      </c>
      <c r="AU71">
        <v>4152.7025661890157</v>
      </c>
      <c r="AV71">
        <v>4118.1638381475086</v>
      </c>
      <c r="AW71">
        <v>4074.2373670370248</v>
      </c>
      <c r="AX71">
        <v>4037.0588209614434</v>
      </c>
      <c r="AY71">
        <v>4032.1997556739384</v>
      </c>
      <c r="AZ71">
        <v>3995.9161703264608</v>
      </c>
      <c r="BA71">
        <v>3975.3458681184584</v>
      </c>
      <c r="BB71">
        <v>3956.6216979861974</v>
      </c>
      <c r="BC71">
        <v>3939.874539467507</v>
      </c>
      <c r="BD71">
        <v>3868.9310985478323</v>
      </c>
      <c r="BE71">
        <v>3857.8291521529131</v>
      </c>
      <c r="BF71">
        <v>3849.1543209366041</v>
      </c>
      <c r="BG71">
        <v>3844.9585287107939</v>
      </c>
      <c r="BH71">
        <v>3843.2882370622551</v>
      </c>
      <c r="BI71">
        <v>3843.9088929607183</v>
      </c>
      <c r="BJ71">
        <v>3847.400115947531</v>
      </c>
      <c r="BK71">
        <v>3853.8389159319904</v>
      </c>
      <c r="BL71">
        <v>3862.0590012565413</v>
      </c>
      <c r="BM71">
        <v>3871.3081527366885</v>
      </c>
      <c r="BN71">
        <v>3883.1322715546034</v>
      </c>
    </row>
    <row r="72" spans="1:66" x14ac:dyDescent="0.25">
      <c r="A72" t="s">
        <v>212</v>
      </c>
      <c r="B72" t="s">
        <v>535</v>
      </c>
      <c r="C72" t="s">
        <v>529</v>
      </c>
      <c r="D72" t="s">
        <v>524</v>
      </c>
      <c r="E72" t="s">
        <v>521</v>
      </c>
      <c r="F72">
        <v>1816.6596733237263</v>
      </c>
      <c r="G72">
        <v>1893.7218802684215</v>
      </c>
      <c r="H72">
        <v>1971.3222733100288</v>
      </c>
      <c r="I72">
        <v>2049.4503492491226</v>
      </c>
      <c r="J72">
        <v>1947.5325263313807</v>
      </c>
      <c r="K72">
        <v>2023.8252549837712</v>
      </c>
      <c r="L72">
        <v>2102.1656796823004</v>
      </c>
      <c r="M72">
        <v>2125.7547716447093</v>
      </c>
      <c r="N72">
        <v>2086.8629737313777</v>
      </c>
      <c r="O72">
        <v>2084.0346339247499</v>
      </c>
      <c r="P72">
        <v>2103.6901401299438</v>
      </c>
      <c r="Q72">
        <v>2134.2537068539705</v>
      </c>
      <c r="R72">
        <v>2173.5947283527944</v>
      </c>
      <c r="S72">
        <v>2101.4028129686244</v>
      </c>
      <c r="T72">
        <v>2124.9026062551302</v>
      </c>
      <c r="U72">
        <v>2134.5667014321762</v>
      </c>
      <c r="V72">
        <v>1957.2003317893241</v>
      </c>
      <c r="W72">
        <v>1922.5694677164029</v>
      </c>
      <c r="X72">
        <v>1846.56179242198</v>
      </c>
      <c r="Y72">
        <v>1723.3205496528278</v>
      </c>
      <c r="Z72">
        <v>1665.7456629024559</v>
      </c>
      <c r="AA72">
        <v>1519.6605558608351</v>
      </c>
      <c r="AB72">
        <v>1410.5413176396301</v>
      </c>
      <c r="AC72">
        <v>1359.9084848190901</v>
      </c>
      <c r="AD72">
        <v>1314.1708670740722</v>
      </c>
      <c r="AE72">
        <v>1275.9271345153275</v>
      </c>
      <c r="AF72">
        <v>1246.0586846922251</v>
      </c>
      <c r="AG72">
        <v>1214.8602401561525</v>
      </c>
      <c r="AH72">
        <v>1156.3598029499428</v>
      </c>
      <c r="AI72">
        <v>1114.3950725962225</v>
      </c>
      <c r="AJ72">
        <v>1075.3643344180375</v>
      </c>
      <c r="AK72">
        <v>1058.4109684228663</v>
      </c>
      <c r="AL72">
        <v>1033.212300658286</v>
      </c>
      <c r="AM72">
        <v>996.3164129459052</v>
      </c>
      <c r="AN72">
        <v>960.78960512158892</v>
      </c>
      <c r="AO72">
        <v>925.04832155596773</v>
      </c>
      <c r="AP72">
        <v>889.02457419959956</v>
      </c>
      <c r="AQ72">
        <v>853.30502435548965</v>
      </c>
      <c r="AR72">
        <v>818.06085119369118</v>
      </c>
      <c r="AS72">
        <v>783.33888514538035</v>
      </c>
      <c r="AT72">
        <v>749.00661600423484</v>
      </c>
      <c r="AU72">
        <v>713.12299893040836</v>
      </c>
      <c r="AV72">
        <v>681.75265381906581</v>
      </c>
      <c r="AW72">
        <v>653.07251772298503</v>
      </c>
      <c r="AX72">
        <v>626.11264777642305</v>
      </c>
      <c r="AY72">
        <v>600.52316314937514</v>
      </c>
      <c r="AZ72">
        <v>575.86587763045134</v>
      </c>
      <c r="BA72">
        <v>552.05563434795374</v>
      </c>
      <c r="BB72">
        <v>529.03379695458602</v>
      </c>
      <c r="BC72">
        <v>506.69177205864327</v>
      </c>
      <c r="BD72">
        <v>485.08300206828466</v>
      </c>
      <c r="BE72">
        <v>465.02988086753226</v>
      </c>
      <c r="BF72">
        <v>445.48055289878113</v>
      </c>
      <c r="BG72">
        <v>426.42962227669557</v>
      </c>
      <c r="BH72">
        <v>407.82667776884568</v>
      </c>
      <c r="BI72">
        <v>389.73655503451369</v>
      </c>
      <c r="BJ72">
        <v>372.05944067249334</v>
      </c>
      <c r="BK72">
        <v>354.75156639017149</v>
      </c>
      <c r="BL72">
        <v>337.84939136662678</v>
      </c>
      <c r="BM72">
        <v>321.36782763857866</v>
      </c>
      <c r="BN72">
        <v>305.31110019557548</v>
      </c>
    </row>
    <row r="73" spans="1:66" x14ac:dyDescent="0.25">
      <c r="A73" t="s">
        <v>212</v>
      </c>
      <c r="B73" t="s">
        <v>535</v>
      </c>
      <c r="C73" t="s">
        <v>529</v>
      </c>
      <c r="D73" t="s">
        <v>525</v>
      </c>
      <c r="E73" t="s">
        <v>521</v>
      </c>
      <c r="F73">
        <v>29012.897398845394</v>
      </c>
      <c r="G73">
        <v>29733.023075344903</v>
      </c>
      <c r="H73">
        <v>31320.108193971439</v>
      </c>
      <c r="I73">
        <v>30769.917679558341</v>
      </c>
      <c r="J73">
        <v>30855.464305886358</v>
      </c>
      <c r="K73">
        <v>30807.15278760434</v>
      </c>
      <c r="L73">
        <v>32676.98144102552</v>
      </c>
      <c r="M73">
        <v>34628.447074801872</v>
      </c>
      <c r="N73">
        <v>32996.622945367468</v>
      </c>
      <c r="O73">
        <v>34535.956774742503</v>
      </c>
      <c r="P73">
        <v>35323.941097221861</v>
      </c>
      <c r="Q73">
        <v>37491.528269252616</v>
      </c>
      <c r="R73">
        <v>37597.790313188299</v>
      </c>
      <c r="S73">
        <v>39187.525100695137</v>
      </c>
      <c r="T73">
        <v>38883.963267331026</v>
      </c>
      <c r="U73">
        <v>40602.92604799055</v>
      </c>
      <c r="V73">
        <v>40941.03411633549</v>
      </c>
      <c r="W73">
        <v>39756.054114169223</v>
      </c>
      <c r="X73">
        <v>40704.644922956213</v>
      </c>
      <c r="Y73">
        <v>37851.584943027628</v>
      </c>
      <c r="Z73">
        <v>38258.189555380639</v>
      </c>
      <c r="AA73">
        <v>37476.742760931345</v>
      </c>
      <c r="AB73">
        <v>38822.24438135275</v>
      </c>
      <c r="AC73">
        <v>38042.386442328796</v>
      </c>
      <c r="AD73">
        <v>38239.490669053106</v>
      </c>
      <c r="AE73">
        <v>38574.2154058343</v>
      </c>
      <c r="AF73">
        <v>36887.73781690115</v>
      </c>
      <c r="AG73">
        <v>38354.032701478282</v>
      </c>
      <c r="AH73">
        <v>38244.89921952338</v>
      </c>
      <c r="AI73">
        <v>39634.847827478443</v>
      </c>
      <c r="AJ73">
        <v>36911.614290734949</v>
      </c>
      <c r="AK73">
        <v>38604.542843281895</v>
      </c>
      <c r="AL73">
        <v>38030.087119904725</v>
      </c>
      <c r="AM73">
        <v>37122.152963180321</v>
      </c>
      <c r="AN73">
        <v>35769.505608849104</v>
      </c>
      <c r="AO73">
        <v>34735.587621558232</v>
      </c>
      <c r="AP73">
        <v>34308.344445388509</v>
      </c>
      <c r="AQ73">
        <v>33712.442757977056</v>
      </c>
      <c r="AR73">
        <v>32985.647702728093</v>
      </c>
      <c r="AS73">
        <v>32328.970359857944</v>
      </c>
      <c r="AT73">
        <v>30639.099942171859</v>
      </c>
      <c r="AU73">
        <v>29655.624929763504</v>
      </c>
      <c r="AV73">
        <v>28490.572861304103</v>
      </c>
      <c r="AW73">
        <v>27394.314116220437</v>
      </c>
      <c r="AX73">
        <v>26241.080188957647</v>
      </c>
      <c r="AY73">
        <v>25210.298524116424</v>
      </c>
      <c r="AZ73">
        <v>24122.904127825626</v>
      </c>
      <c r="BA73">
        <v>22943.213218030403</v>
      </c>
      <c r="BB73">
        <v>21737.659354115112</v>
      </c>
      <c r="BC73">
        <v>20543.371942479833</v>
      </c>
      <c r="BD73">
        <v>18622.583308225891</v>
      </c>
      <c r="BE73">
        <v>17555.327629195075</v>
      </c>
      <c r="BF73">
        <v>16596.880860396945</v>
      </c>
      <c r="BG73">
        <v>15551.914209030367</v>
      </c>
      <c r="BH73">
        <v>14685.773107850404</v>
      </c>
      <c r="BI73">
        <v>13838.408447793652</v>
      </c>
      <c r="BJ73">
        <v>13048.980740496901</v>
      </c>
      <c r="BK73">
        <v>12354.14314981182</v>
      </c>
      <c r="BL73">
        <v>11666.392290373607</v>
      </c>
      <c r="BM73">
        <v>10904.938232526556</v>
      </c>
      <c r="BN73">
        <v>10260.78444608348</v>
      </c>
    </row>
    <row r="74" spans="1:66" x14ac:dyDescent="0.25">
      <c r="A74" t="s">
        <v>213</v>
      </c>
      <c r="B74" t="s">
        <v>535</v>
      </c>
      <c r="C74" t="s">
        <v>530</v>
      </c>
      <c r="D74" t="s">
        <v>518</v>
      </c>
      <c r="E74" t="s">
        <v>519</v>
      </c>
      <c r="F74">
        <v>0</v>
      </c>
      <c r="G74">
        <v>0</v>
      </c>
      <c r="H74">
        <v>0</v>
      </c>
      <c r="I74">
        <v>0</v>
      </c>
      <c r="J74">
        <v>0</v>
      </c>
      <c r="K74">
        <v>0</v>
      </c>
      <c r="L74">
        <v>0</v>
      </c>
      <c r="M74">
        <v>0</v>
      </c>
      <c r="N74">
        <v>0</v>
      </c>
      <c r="O74">
        <v>0</v>
      </c>
      <c r="P74">
        <v>0</v>
      </c>
      <c r="Q74">
        <v>0</v>
      </c>
      <c r="R74">
        <v>0</v>
      </c>
      <c r="S74">
        <v>0</v>
      </c>
      <c r="T74">
        <v>0</v>
      </c>
      <c r="U74">
        <v>0</v>
      </c>
      <c r="V74">
        <v>0</v>
      </c>
      <c r="W74">
        <v>0</v>
      </c>
      <c r="X74">
        <v>0</v>
      </c>
      <c r="Y74">
        <v>0</v>
      </c>
      <c r="Z74">
        <v>11.416538041464802</v>
      </c>
      <c r="AA74">
        <v>8.7327708333333316</v>
      </c>
      <c r="AB74">
        <v>2.2770791666666668</v>
      </c>
      <c r="AC74">
        <v>1.3566666666666667</v>
      </c>
      <c r="AD74">
        <v>1.9666666666666663</v>
      </c>
      <c r="AE74">
        <v>4.4622309027777769</v>
      </c>
      <c r="AF74">
        <v>7.7698003472222208</v>
      </c>
      <c r="AG74">
        <v>11.941235920833332</v>
      </c>
      <c r="AH74">
        <v>18.817684762500001</v>
      </c>
      <c r="AI74">
        <v>24.5</v>
      </c>
      <c r="AJ74">
        <v>30</v>
      </c>
      <c r="AK74">
        <v>46.305643178011259</v>
      </c>
      <c r="AL74">
        <v>69.696559398715706</v>
      </c>
      <c r="AM74">
        <v>200</v>
      </c>
      <c r="AN74">
        <v>206</v>
      </c>
      <c r="AO74">
        <v>212.18</v>
      </c>
      <c r="AP74">
        <v>218.5454</v>
      </c>
      <c r="AQ74">
        <v>225.10176200000001</v>
      </c>
      <c r="AR74">
        <v>231.85481486</v>
      </c>
      <c r="AS74">
        <v>238.81045930580001</v>
      </c>
      <c r="AT74">
        <v>245.974773084974</v>
      </c>
      <c r="AU74">
        <v>253.35401627752324</v>
      </c>
      <c r="AV74">
        <v>260.95463676584893</v>
      </c>
      <c r="AW74">
        <v>268.78327586882443</v>
      </c>
      <c r="AX74">
        <v>276.8467741448892</v>
      </c>
      <c r="AY74">
        <v>285.15217736923586</v>
      </c>
      <c r="AZ74">
        <v>293.70674269031292</v>
      </c>
      <c r="BA74">
        <v>302.5179449710223</v>
      </c>
      <c r="BB74">
        <v>311.59348332015298</v>
      </c>
      <c r="BC74">
        <v>320.94128781975758</v>
      </c>
      <c r="BD74">
        <v>330.5695264543503</v>
      </c>
      <c r="BE74">
        <v>340.48661224798082</v>
      </c>
      <c r="BF74">
        <v>350.70121061542022</v>
      </c>
      <c r="BG74">
        <v>361.22224693388284</v>
      </c>
      <c r="BH74">
        <v>372.05891434189931</v>
      </c>
      <c r="BI74">
        <v>383.2206817721563</v>
      </c>
      <c r="BJ74">
        <v>394.71730222532102</v>
      </c>
      <c r="BK74">
        <v>406.55882129208067</v>
      </c>
      <c r="BL74">
        <v>418.7555859308431</v>
      </c>
      <c r="BM74">
        <v>431.31825350876841</v>
      </c>
      <c r="BN74">
        <v>444.25780111403145</v>
      </c>
    </row>
    <row r="75" spans="1:66" x14ac:dyDescent="0.25">
      <c r="A75" t="s">
        <v>213</v>
      </c>
      <c r="B75" t="s">
        <v>535</v>
      </c>
      <c r="C75" t="s">
        <v>530</v>
      </c>
      <c r="D75" t="s">
        <v>520</v>
      </c>
      <c r="E75" t="s">
        <v>521</v>
      </c>
      <c r="F75">
        <v>8126.1945618773643</v>
      </c>
      <c r="G75">
        <v>8106.661121873205</v>
      </c>
      <c r="H75">
        <v>8469.9964545997555</v>
      </c>
      <c r="I75">
        <v>8922.6885824844103</v>
      </c>
      <c r="J75">
        <v>9583.8002483498967</v>
      </c>
      <c r="K75">
        <v>10247.564720783123</v>
      </c>
      <c r="L75">
        <v>10378.724398951666</v>
      </c>
      <c r="M75">
        <v>10605.333888617772</v>
      </c>
      <c r="N75">
        <v>10810.458340752642</v>
      </c>
      <c r="O75">
        <v>11096.605458727845</v>
      </c>
      <c r="P75">
        <v>11648.310343290637</v>
      </c>
      <c r="Q75">
        <v>11705.871223077451</v>
      </c>
      <c r="R75">
        <v>12162.021231248526</v>
      </c>
      <c r="S75">
        <v>12697.797549640931</v>
      </c>
      <c r="T75">
        <v>12992.367162928625</v>
      </c>
      <c r="U75">
        <v>13063.440862686894</v>
      </c>
      <c r="V75">
        <v>13182.198504199005</v>
      </c>
      <c r="W75">
        <v>13284.806809600492</v>
      </c>
      <c r="X75">
        <v>13293.959706338926</v>
      </c>
      <c r="Y75">
        <v>13101.086214174264</v>
      </c>
      <c r="Z75">
        <v>13348.937535477718</v>
      </c>
      <c r="AA75">
        <v>13331.827621000642</v>
      </c>
      <c r="AB75">
        <v>13006.487718579234</v>
      </c>
      <c r="AC75">
        <v>13081.360160828839</v>
      </c>
      <c r="AD75">
        <v>13339.646613066796</v>
      </c>
      <c r="AE75">
        <v>13805.025309105527</v>
      </c>
      <c r="AF75">
        <v>13906.520809611657</v>
      </c>
      <c r="AG75">
        <v>14803.702978914342</v>
      </c>
      <c r="AH75">
        <v>15126.124771992951</v>
      </c>
      <c r="AI75">
        <v>14654.704680232724</v>
      </c>
      <c r="AJ75">
        <v>13175.66592208733</v>
      </c>
      <c r="AK75">
        <v>14505.252671613069</v>
      </c>
      <c r="AL75">
        <v>15301.644218797499</v>
      </c>
      <c r="AM75">
        <v>15486.898680751972</v>
      </c>
      <c r="AN75">
        <v>15437.230599503104</v>
      </c>
      <c r="AO75">
        <v>15356.942669963359</v>
      </c>
      <c r="AP75">
        <v>15189.793656231586</v>
      </c>
      <c r="AQ75">
        <v>15000.494354227529</v>
      </c>
      <c r="AR75">
        <v>14694.144033397046</v>
      </c>
      <c r="AS75">
        <v>14275.231927985225</v>
      </c>
      <c r="AT75">
        <v>13782.94524048427</v>
      </c>
      <c r="AU75">
        <v>13148.468332481485</v>
      </c>
      <c r="AV75">
        <v>12370.769521097616</v>
      </c>
      <c r="AW75">
        <v>11574.6720330507</v>
      </c>
      <c r="AX75">
        <v>10716.24768425782</v>
      </c>
      <c r="AY75">
        <v>9860.1949778956059</v>
      </c>
      <c r="AZ75">
        <v>9054.8620846606045</v>
      </c>
      <c r="BA75">
        <v>8249.286606783844</v>
      </c>
      <c r="BB75">
        <v>7459.5372451682078</v>
      </c>
      <c r="BC75">
        <v>6744.1630639766963</v>
      </c>
      <c r="BD75">
        <v>6092.8741857336299</v>
      </c>
      <c r="BE75">
        <v>5429.9937369489262</v>
      </c>
      <c r="BF75">
        <v>4934.8437511368475</v>
      </c>
      <c r="BG75">
        <v>4395.1882431517497</v>
      </c>
      <c r="BH75">
        <v>3840.1928881292038</v>
      </c>
      <c r="BI75">
        <v>3363.9246207164847</v>
      </c>
      <c r="BJ75">
        <v>2934.8007321025716</v>
      </c>
      <c r="BK75">
        <v>2577.6412916696322</v>
      </c>
      <c r="BL75">
        <v>2238.905121986109</v>
      </c>
      <c r="BM75">
        <v>1932.3992080235366</v>
      </c>
      <c r="BN75">
        <v>1701.3866370488081</v>
      </c>
    </row>
    <row r="76" spans="1:66" x14ac:dyDescent="0.25">
      <c r="A76" t="s">
        <v>213</v>
      </c>
      <c r="B76" t="s">
        <v>535</v>
      </c>
      <c r="C76" t="s">
        <v>530</v>
      </c>
      <c r="D76" t="s">
        <v>522</v>
      </c>
      <c r="E76" t="s">
        <v>521</v>
      </c>
      <c r="F76">
        <v>15640.940843035291</v>
      </c>
      <c r="G76">
        <v>16150.546759988883</v>
      </c>
      <c r="H76">
        <v>17648.388786263939</v>
      </c>
      <c r="I76">
        <v>16725.370693795405</v>
      </c>
      <c r="J76">
        <v>16380.548324839787</v>
      </c>
      <c r="K76">
        <v>15499.119986501893</v>
      </c>
      <c r="L76">
        <v>16964.973485962018</v>
      </c>
      <c r="M76">
        <v>18776.307489236842</v>
      </c>
      <c r="N76">
        <v>16990.87642543549</v>
      </c>
      <c r="O76">
        <v>18068.06638576484</v>
      </c>
      <c r="P76">
        <v>18247.587022073894</v>
      </c>
      <c r="Q76">
        <v>20209.470689366266</v>
      </c>
      <c r="R76">
        <v>19699.848793804682</v>
      </c>
      <c r="S76">
        <v>20589.961823411428</v>
      </c>
      <c r="T76">
        <v>19932.694122895617</v>
      </c>
      <c r="U76">
        <v>21455.132172136808</v>
      </c>
      <c r="V76">
        <v>21734.471668911941</v>
      </c>
      <c r="W76">
        <v>20224.013693454704</v>
      </c>
      <c r="X76">
        <v>21356.548009904149</v>
      </c>
      <c r="Y76">
        <v>18870.840564758502</v>
      </c>
      <c r="Z76">
        <v>18772.299934571802</v>
      </c>
      <c r="AA76">
        <v>18114.081314169005</v>
      </c>
      <c r="AB76">
        <v>19820.47191931152</v>
      </c>
      <c r="AC76">
        <v>18884.997469550366</v>
      </c>
      <c r="AD76">
        <v>18698.599087495157</v>
      </c>
      <c r="AE76">
        <v>18478.836391393874</v>
      </c>
      <c r="AF76">
        <v>16973.70962476591</v>
      </c>
      <c r="AG76">
        <v>17531.475135032353</v>
      </c>
      <c r="AH76">
        <v>17282.73541087965</v>
      </c>
      <c r="AI76">
        <v>19152.571947895391</v>
      </c>
      <c r="AJ76">
        <v>18178.313197265285</v>
      </c>
      <c r="AK76">
        <v>18356.186781136625</v>
      </c>
      <c r="AL76">
        <v>17069.296153368512</v>
      </c>
      <c r="AM76">
        <v>16342.460432957902</v>
      </c>
      <c r="AN76">
        <v>14689.706220502962</v>
      </c>
      <c r="AO76">
        <v>13353.318484821337</v>
      </c>
      <c r="AP76">
        <v>12985.965991987736</v>
      </c>
      <c r="AQ76">
        <v>12588.208445955894</v>
      </c>
      <c r="AR76">
        <v>12219.608386403415</v>
      </c>
      <c r="AS76">
        <v>11939.581889341996</v>
      </c>
      <c r="AT76">
        <v>10850.389816628898</v>
      </c>
      <c r="AU76">
        <v>10416.280777144402</v>
      </c>
      <c r="AV76">
        <v>9999.2320981219818</v>
      </c>
      <c r="AW76">
        <v>9681.5396825433581</v>
      </c>
      <c r="AX76">
        <v>9364.7672081273213</v>
      </c>
      <c r="AY76">
        <v>9023.4143416623338</v>
      </c>
      <c r="AZ76">
        <v>8677.0002004320413</v>
      </c>
      <c r="BA76">
        <v>8426.0293673046435</v>
      </c>
      <c r="BB76">
        <v>8188.6668815600797</v>
      </c>
      <c r="BC76">
        <v>7935.9201920039222</v>
      </c>
      <c r="BD76">
        <v>6919.6679332538133</v>
      </c>
      <c r="BE76">
        <v>6633.4155258593782</v>
      </c>
      <c r="BF76">
        <v>6057.1819879374507</v>
      </c>
      <c r="BG76">
        <v>5757.8674578432856</v>
      </c>
      <c r="BH76">
        <v>5456.5885832482609</v>
      </c>
      <c r="BI76">
        <v>5093.5909024584662</v>
      </c>
      <c r="BJ76">
        <v>4704.5034485977912</v>
      </c>
      <c r="BK76">
        <v>4420.5126173170092</v>
      </c>
      <c r="BL76">
        <v>4052.5334683425244</v>
      </c>
      <c r="BM76">
        <v>3781.7899204403934</v>
      </c>
      <c r="BN76">
        <v>3529.2830200498761</v>
      </c>
    </row>
    <row r="77" spans="1:66" x14ac:dyDescent="0.25">
      <c r="A77" t="s">
        <v>213</v>
      </c>
      <c r="B77" t="s">
        <v>535</v>
      </c>
      <c r="C77" t="s">
        <v>530</v>
      </c>
      <c r="D77" t="s">
        <v>523</v>
      </c>
      <c r="E77" t="s">
        <v>521</v>
      </c>
      <c r="F77">
        <v>3429.1023206090149</v>
      </c>
      <c r="G77">
        <v>3582.0933132143959</v>
      </c>
      <c r="H77">
        <v>3230.4006797977117</v>
      </c>
      <c r="I77">
        <v>3072.4080540294026</v>
      </c>
      <c r="J77">
        <v>2943.5832063652938</v>
      </c>
      <c r="K77">
        <v>3036.6428253355557</v>
      </c>
      <c r="L77">
        <v>3231.1178764295346</v>
      </c>
      <c r="M77">
        <v>3121.0509253025539</v>
      </c>
      <c r="N77">
        <v>3108.4252054479571</v>
      </c>
      <c r="O77">
        <v>3287.2502963250704</v>
      </c>
      <c r="P77">
        <v>3324.3535917273935</v>
      </c>
      <c r="Q77">
        <v>3441.9326499549325</v>
      </c>
      <c r="R77">
        <v>3562.3255597822995</v>
      </c>
      <c r="S77">
        <v>3798.3629146741546</v>
      </c>
      <c r="T77">
        <v>3833.9993752516589</v>
      </c>
      <c r="U77">
        <v>3949.7863117346769</v>
      </c>
      <c r="V77">
        <v>4067.1636114352182</v>
      </c>
      <c r="W77">
        <v>4324.6641433976283</v>
      </c>
      <c r="X77">
        <v>4207.5754142911601</v>
      </c>
      <c r="Y77">
        <v>4156.3376144420381</v>
      </c>
      <c r="Z77">
        <v>4471.2064224286651</v>
      </c>
      <c r="AA77">
        <v>4511.1732699008671</v>
      </c>
      <c r="AB77">
        <v>4584.743425822363</v>
      </c>
      <c r="AC77">
        <v>4716.1203271304976</v>
      </c>
      <c r="AD77">
        <v>4887.0741014170871</v>
      </c>
      <c r="AE77">
        <v>5014.426570819578</v>
      </c>
      <c r="AF77">
        <v>4761.4486978313562</v>
      </c>
      <c r="AG77">
        <v>4803.9943473754338</v>
      </c>
      <c r="AH77">
        <v>4679.6792337008401</v>
      </c>
      <c r="AI77">
        <v>4713.1761267541115</v>
      </c>
      <c r="AJ77">
        <v>4482.2708369643005</v>
      </c>
      <c r="AK77">
        <v>4684.6924221093341</v>
      </c>
      <c r="AL77">
        <v>4615.5306846943822</v>
      </c>
      <c r="AM77">
        <v>4527.0774901879586</v>
      </c>
      <c r="AN77">
        <v>4561.4447140260791</v>
      </c>
      <c r="AO77">
        <v>4531.5830099871318</v>
      </c>
      <c r="AP77">
        <v>4520.2431432731055</v>
      </c>
      <c r="AQ77">
        <v>4475.9232009926682</v>
      </c>
      <c r="AR77">
        <v>4437.3438495564887</v>
      </c>
      <c r="AS77">
        <v>4418.4714579346737</v>
      </c>
      <c r="AT77">
        <v>4189.6175136617467</v>
      </c>
      <c r="AU77">
        <v>4152.7025661890148</v>
      </c>
      <c r="AV77">
        <v>4118.1638381475086</v>
      </c>
      <c r="AW77">
        <v>4074.2373670370253</v>
      </c>
      <c r="AX77">
        <v>4037.0588209614434</v>
      </c>
      <c r="AY77">
        <v>4032.1997556739384</v>
      </c>
      <c r="AZ77">
        <v>3995.9161703264613</v>
      </c>
      <c r="BA77">
        <v>3975.3458681184588</v>
      </c>
      <c r="BB77">
        <v>3956.6216979861974</v>
      </c>
      <c r="BC77">
        <v>3939.8745394675066</v>
      </c>
      <c r="BD77">
        <v>3868.9310985478319</v>
      </c>
      <c r="BE77">
        <v>3857.8291521529131</v>
      </c>
      <c r="BF77">
        <v>3849.1543209366041</v>
      </c>
      <c r="BG77">
        <v>3844.9585287107939</v>
      </c>
      <c r="BH77">
        <v>3843.2882370622556</v>
      </c>
      <c r="BI77">
        <v>3843.9088929607183</v>
      </c>
      <c r="BJ77">
        <v>3847.400115947531</v>
      </c>
      <c r="BK77">
        <v>3853.8389159319904</v>
      </c>
      <c r="BL77">
        <v>3862.0590012565413</v>
      </c>
      <c r="BM77">
        <v>3871.3081527366885</v>
      </c>
      <c r="BN77">
        <v>3883.1322715546034</v>
      </c>
    </row>
    <row r="78" spans="1:66" x14ac:dyDescent="0.25">
      <c r="A78" t="s">
        <v>213</v>
      </c>
      <c r="B78" t="s">
        <v>535</v>
      </c>
      <c r="C78" t="s">
        <v>530</v>
      </c>
      <c r="D78" t="s">
        <v>524</v>
      </c>
      <c r="E78" t="s">
        <v>521</v>
      </c>
      <c r="F78">
        <v>1816.6596733237263</v>
      </c>
      <c r="G78">
        <v>1893.7218802684215</v>
      </c>
      <c r="H78">
        <v>1971.3222733100288</v>
      </c>
      <c r="I78">
        <v>2049.4503492491226</v>
      </c>
      <c r="J78">
        <v>1947.5325263313807</v>
      </c>
      <c r="K78">
        <v>2023.8252549837712</v>
      </c>
      <c r="L78">
        <v>2102.1656796823004</v>
      </c>
      <c r="M78">
        <v>2125.7547716447093</v>
      </c>
      <c r="N78">
        <v>2086.8629737313777</v>
      </c>
      <c r="O78">
        <v>2084.0346339247499</v>
      </c>
      <c r="P78">
        <v>2103.6901401299438</v>
      </c>
      <c r="Q78">
        <v>2134.2537068539705</v>
      </c>
      <c r="R78">
        <v>2173.5947283527944</v>
      </c>
      <c r="S78">
        <v>2101.4028129686244</v>
      </c>
      <c r="T78">
        <v>2124.9026062551302</v>
      </c>
      <c r="U78">
        <v>2134.5667014321762</v>
      </c>
      <c r="V78">
        <v>1957.2003317893241</v>
      </c>
      <c r="W78">
        <v>1922.5694677164029</v>
      </c>
      <c r="X78">
        <v>1846.56179242198</v>
      </c>
      <c r="Y78">
        <v>1723.3205496528278</v>
      </c>
      <c r="Z78">
        <v>1665.7456629024559</v>
      </c>
      <c r="AA78">
        <v>1519.6605558608351</v>
      </c>
      <c r="AB78">
        <v>1410.5413176396301</v>
      </c>
      <c r="AC78">
        <v>1359.9084848190901</v>
      </c>
      <c r="AD78">
        <v>1314.1708670740722</v>
      </c>
      <c r="AE78">
        <v>1275.9271345153275</v>
      </c>
      <c r="AF78">
        <v>1246.0586846922251</v>
      </c>
      <c r="AG78">
        <v>1214.8602401561525</v>
      </c>
      <c r="AH78">
        <v>1156.3598029499428</v>
      </c>
      <c r="AI78">
        <v>1114.3950725962225</v>
      </c>
      <c r="AJ78">
        <v>1075.3643344180375</v>
      </c>
      <c r="AK78">
        <v>1058.4109684228663</v>
      </c>
      <c r="AL78">
        <v>1033.212300658286</v>
      </c>
      <c r="AM78">
        <v>996.3164129459052</v>
      </c>
      <c r="AN78">
        <v>960.78960512158892</v>
      </c>
      <c r="AO78">
        <v>925.04832155596773</v>
      </c>
      <c r="AP78">
        <v>889.02457419959956</v>
      </c>
      <c r="AQ78">
        <v>853.30502435548965</v>
      </c>
      <c r="AR78">
        <v>818.06085119369118</v>
      </c>
      <c r="AS78">
        <v>783.33888514538035</v>
      </c>
      <c r="AT78">
        <v>749.00661600423484</v>
      </c>
      <c r="AU78">
        <v>713.12299893040836</v>
      </c>
      <c r="AV78">
        <v>681.75265381906581</v>
      </c>
      <c r="AW78">
        <v>653.07251772298503</v>
      </c>
      <c r="AX78">
        <v>626.11264777642305</v>
      </c>
      <c r="AY78">
        <v>600.52316314937514</v>
      </c>
      <c r="AZ78">
        <v>575.86587763045134</v>
      </c>
      <c r="BA78">
        <v>552.05563434795374</v>
      </c>
      <c r="BB78">
        <v>529.03379695458602</v>
      </c>
      <c r="BC78">
        <v>506.69177205864327</v>
      </c>
      <c r="BD78">
        <v>485.08300206828466</v>
      </c>
      <c r="BE78">
        <v>465.02988086753226</v>
      </c>
      <c r="BF78">
        <v>445.48055289878113</v>
      </c>
      <c r="BG78">
        <v>426.42962227669557</v>
      </c>
      <c r="BH78">
        <v>407.82667776884568</v>
      </c>
      <c r="BI78">
        <v>389.73655503451369</v>
      </c>
      <c r="BJ78">
        <v>372.05944067249334</v>
      </c>
      <c r="BK78">
        <v>354.75156639017149</v>
      </c>
      <c r="BL78">
        <v>337.84939136662678</v>
      </c>
      <c r="BM78">
        <v>321.36782763857866</v>
      </c>
      <c r="BN78">
        <v>305.31110019557548</v>
      </c>
    </row>
    <row r="79" spans="1:66" x14ac:dyDescent="0.25">
      <c r="A79" t="s">
        <v>213</v>
      </c>
      <c r="B79" t="s">
        <v>535</v>
      </c>
      <c r="C79" t="s">
        <v>530</v>
      </c>
      <c r="D79" t="s">
        <v>525</v>
      </c>
      <c r="E79" t="s">
        <v>521</v>
      </c>
      <c r="F79">
        <v>29012.897398845394</v>
      </c>
      <c r="G79">
        <v>29733.023075344903</v>
      </c>
      <c r="H79">
        <v>31320.108193971439</v>
      </c>
      <c r="I79">
        <v>30769.917679558341</v>
      </c>
      <c r="J79">
        <v>30855.464305886358</v>
      </c>
      <c r="K79">
        <v>30807.15278760434</v>
      </c>
      <c r="L79">
        <v>32676.98144102552</v>
      </c>
      <c r="M79">
        <v>34628.447074801872</v>
      </c>
      <c r="N79">
        <v>32996.622945367468</v>
      </c>
      <c r="O79">
        <v>34535.956774742503</v>
      </c>
      <c r="P79">
        <v>35323.941097221861</v>
      </c>
      <c r="Q79">
        <v>37491.528269252616</v>
      </c>
      <c r="R79">
        <v>37597.790313188299</v>
      </c>
      <c r="S79">
        <v>39187.525100695137</v>
      </c>
      <c r="T79">
        <v>38883.963267331026</v>
      </c>
      <c r="U79">
        <v>40602.92604799055</v>
      </c>
      <c r="V79">
        <v>40941.03411633549</v>
      </c>
      <c r="W79">
        <v>39756.054114169223</v>
      </c>
      <c r="X79">
        <v>40704.644922956213</v>
      </c>
      <c r="Y79">
        <v>37851.584943027628</v>
      </c>
      <c r="Z79">
        <v>38258.189555380639</v>
      </c>
      <c r="AA79">
        <v>37476.742760931345</v>
      </c>
      <c r="AB79">
        <v>38822.24438135275</v>
      </c>
      <c r="AC79">
        <v>38042.386442328796</v>
      </c>
      <c r="AD79">
        <v>38239.490669053106</v>
      </c>
      <c r="AE79">
        <v>38574.2154058343</v>
      </c>
      <c r="AF79">
        <v>36887.73781690115</v>
      </c>
      <c r="AG79">
        <v>38354.032701478282</v>
      </c>
      <c r="AH79">
        <v>38244.89921952338</v>
      </c>
      <c r="AI79">
        <v>39634.847827478443</v>
      </c>
      <c r="AJ79">
        <v>36911.614290734949</v>
      </c>
      <c r="AK79">
        <v>38604.542843281895</v>
      </c>
      <c r="AL79">
        <v>38019.683357518676</v>
      </c>
      <c r="AM79">
        <v>37352.753016843737</v>
      </c>
      <c r="AN79">
        <v>35649.171139153732</v>
      </c>
      <c r="AO79">
        <v>34166.892486327793</v>
      </c>
      <c r="AP79">
        <v>33585.027365692025</v>
      </c>
      <c r="AQ79">
        <v>32917.93102553158</v>
      </c>
      <c r="AR79">
        <v>32169.157120550641</v>
      </c>
      <c r="AS79">
        <v>31416.624160407278</v>
      </c>
      <c r="AT79">
        <v>29571.959186779146</v>
      </c>
      <c r="AU79">
        <v>28430.574674745312</v>
      </c>
      <c r="AV79">
        <v>27169.918111186173</v>
      </c>
      <c r="AW79">
        <v>25983.521600354066</v>
      </c>
      <c r="AX79">
        <v>24744.186361123007</v>
      </c>
      <c r="AY79">
        <v>23516.332238381248</v>
      </c>
      <c r="AZ79">
        <v>22303.64433304956</v>
      </c>
      <c r="BA79">
        <v>21202.717476554903</v>
      </c>
      <c r="BB79">
        <v>20133.859621669071</v>
      </c>
      <c r="BC79">
        <v>19126.649567506767</v>
      </c>
      <c r="BD79">
        <v>17366.556219603561</v>
      </c>
      <c r="BE79">
        <v>16386.268295828751</v>
      </c>
      <c r="BF79">
        <v>15286.660612909685</v>
      </c>
      <c r="BG79">
        <v>14424.443851982525</v>
      </c>
      <c r="BH79">
        <v>13547.896386208566</v>
      </c>
      <c r="BI79">
        <v>12691.160971170182</v>
      </c>
      <c r="BJ79">
        <v>11858.763737320389</v>
      </c>
      <c r="BK79">
        <v>11206.744391308805</v>
      </c>
      <c r="BL79">
        <v>10491.3469829518</v>
      </c>
      <c r="BM79">
        <v>9906.8651088391962</v>
      </c>
      <c r="BN79">
        <v>9419.1130288488621</v>
      </c>
    </row>
    <row r="80" spans="1:66" x14ac:dyDescent="0.25">
      <c r="A80" t="s">
        <v>214</v>
      </c>
      <c r="B80" t="s">
        <v>535</v>
      </c>
      <c r="C80" t="s">
        <v>531</v>
      </c>
      <c r="D80" t="s">
        <v>518</v>
      </c>
      <c r="E80" t="s">
        <v>519</v>
      </c>
      <c r="F80">
        <v>0</v>
      </c>
      <c r="G80">
        <v>0</v>
      </c>
      <c r="H80">
        <v>0</v>
      </c>
      <c r="I80">
        <v>0</v>
      </c>
      <c r="J80">
        <v>0</v>
      </c>
      <c r="K80">
        <v>0</v>
      </c>
      <c r="L80">
        <v>0</v>
      </c>
      <c r="M80">
        <v>0</v>
      </c>
      <c r="N80">
        <v>0</v>
      </c>
      <c r="O80">
        <v>0</v>
      </c>
      <c r="P80">
        <v>0</v>
      </c>
      <c r="Q80">
        <v>0</v>
      </c>
      <c r="R80">
        <v>0</v>
      </c>
      <c r="S80">
        <v>0</v>
      </c>
      <c r="T80">
        <v>0</v>
      </c>
      <c r="U80">
        <v>0</v>
      </c>
      <c r="V80">
        <v>0</v>
      </c>
      <c r="W80">
        <v>0</v>
      </c>
      <c r="X80">
        <v>0</v>
      </c>
      <c r="Y80">
        <v>0</v>
      </c>
      <c r="Z80">
        <v>11.416538041464802</v>
      </c>
      <c r="AA80">
        <v>8.7327708333333316</v>
      </c>
      <c r="AB80">
        <v>2.2770791666666668</v>
      </c>
      <c r="AC80">
        <v>1.3566666666666667</v>
      </c>
      <c r="AD80">
        <v>1.9666666666666663</v>
      </c>
      <c r="AE80">
        <v>4.4622309027777769</v>
      </c>
      <c r="AF80">
        <v>7.7698003472222208</v>
      </c>
      <c r="AG80">
        <v>11.941235920833332</v>
      </c>
      <c r="AH80">
        <v>18.817684762500001</v>
      </c>
      <c r="AI80">
        <v>24.5</v>
      </c>
      <c r="AJ80">
        <v>30</v>
      </c>
      <c r="AK80">
        <v>46.305643178011259</v>
      </c>
      <c r="AL80">
        <v>69.696559398715706</v>
      </c>
      <c r="AM80">
        <v>250</v>
      </c>
      <c r="AN80">
        <v>257.5</v>
      </c>
      <c r="AO80">
        <v>265.22500000000002</v>
      </c>
      <c r="AP80">
        <v>273.18175000000002</v>
      </c>
      <c r="AQ80">
        <v>281.37720250000001</v>
      </c>
      <c r="AR80">
        <v>289.81851857500004</v>
      </c>
      <c r="AS80">
        <v>298.51307413225004</v>
      </c>
      <c r="AT80">
        <v>307.46846635621756</v>
      </c>
      <c r="AU80">
        <v>316.69252034690408</v>
      </c>
      <c r="AV80">
        <v>326.19329595731119</v>
      </c>
      <c r="AW80">
        <v>335.97909483603053</v>
      </c>
      <c r="AX80">
        <v>346.05846768111144</v>
      </c>
      <c r="AY80">
        <v>356.44022171154478</v>
      </c>
      <c r="AZ80">
        <v>367.13342836289115</v>
      </c>
      <c r="BA80">
        <v>378.14743121377791</v>
      </c>
      <c r="BB80">
        <v>389.49185415019127</v>
      </c>
      <c r="BC80">
        <v>401.176609774697</v>
      </c>
      <c r="BD80">
        <v>413.21190806793794</v>
      </c>
      <c r="BE80">
        <v>425.6082653099761</v>
      </c>
      <c r="BF80">
        <v>438.37651326927539</v>
      </c>
      <c r="BG80">
        <v>451.52780866735367</v>
      </c>
      <c r="BH80">
        <v>465.07364292737429</v>
      </c>
      <c r="BI80">
        <v>479.02585221519553</v>
      </c>
      <c r="BJ80">
        <v>493.39662778165143</v>
      </c>
      <c r="BK80">
        <v>508.198526615101</v>
      </c>
      <c r="BL80">
        <v>523.44448241355406</v>
      </c>
      <c r="BM80">
        <v>539.14781688596065</v>
      </c>
      <c r="BN80">
        <v>555.32225139253944</v>
      </c>
    </row>
    <row r="81" spans="1:66" x14ac:dyDescent="0.25">
      <c r="A81" t="s">
        <v>214</v>
      </c>
      <c r="B81" t="s">
        <v>535</v>
      </c>
      <c r="C81" t="s">
        <v>531</v>
      </c>
      <c r="D81" t="s">
        <v>520</v>
      </c>
      <c r="E81" t="s">
        <v>521</v>
      </c>
      <c r="F81">
        <v>8126.1945618773643</v>
      </c>
      <c r="G81">
        <v>8106.661121873205</v>
      </c>
      <c r="H81">
        <v>8469.9964545997555</v>
      </c>
      <c r="I81">
        <v>8922.6885824844103</v>
      </c>
      <c r="J81">
        <v>9583.8002483498967</v>
      </c>
      <c r="K81">
        <v>10247.564720783123</v>
      </c>
      <c r="L81">
        <v>10378.724398951666</v>
      </c>
      <c r="M81">
        <v>10605.333888617772</v>
      </c>
      <c r="N81">
        <v>10810.458340752642</v>
      </c>
      <c r="O81">
        <v>11096.605458727845</v>
      </c>
      <c r="P81">
        <v>11648.310343290637</v>
      </c>
      <c r="Q81">
        <v>11705.871223077451</v>
      </c>
      <c r="R81">
        <v>12162.021231248526</v>
      </c>
      <c r="S81">
        <v>12697.797549640931</v>
      </c>
      <c r="T81">
        <v>12992.367162928625</v>
      </c>
      <c r="U81">
        <v>13063.440862686894</v>
      </c>
      <c r="V81">
        <v>13182.198504199005</v>
      </c>
      <c r="W81">
        <v>13284.806809600492</v>
      </c>
      <c r="X81">
        <v>13293.959706338926</v>
      </c>
      <c r="Y81">
        <v>13101.086214174264</v>
      </c>
      <c r="Z81">
        <v>13348.937535477718</v>
      </c>
      <c r="AA81">
        <v>13331.827621000642</v>
      </c>
      <c r="AB81">
        <v>13006.487718579234</v>
      </c>
      <c r="AC81">
        <v>13081.360160828839</v>
      </c>
      <c r="AD81">
        <v>13339.646613066796</v>
      </c>
      <c r="AE81">
        <v>13805.025309105527</v>
      </c>
      <c r="AF81">
        <v>13906.520809611657</v>
      </c>
      <c r="AG81">
        <v>14803.702978914342</v>
      </c>
      <c r="AH81">
        <v>15126.124771992951</v>
      </c>
      <c r="AI81">
        <v>14654.704680232724</v>
      </c>
      <c r="AJ81">
        <v>13175.66592208733</v>
      </c>
      <c r="AK81">
        <v>14505.252671613069</v>
      </c>
      <c r="AL81">
        <v>15301.644218797499</v>
      </c>
      <c r="AM81">
        <v>15485.647663144959</v>
      </c>
      <c r="AN81">
        <v>15432.253034510912</v>
      </c>
      <c r="AO81">
        <v>15343.349775583321</v>
      </c>
      <c r="AP81">
        <v>15163.245871986252</v>
      </c>
      <c r="AQ81">
        <v>14946.159923925246</v>
      </c>
      <c r="AR81">
        <v>14619.031933265851</v>
      </c>
      <c r="AS81">
        <v>14170.269059098815</v>
      </c>
      <c r="AT81">
        <v>13619.266643631971</v>
      </c>
      <c r="AU81">
        <v>12951.035251210691</v>
      </c>
      <c r="AV81">
        <v>12156.658481514609</v>
      </c>
      <c r="AW81">
        <v>11353.455792598563</v>
      </c>
      <c r="AX81">
        <v>10476.302256114228</v>
      </c>
      <c r="AY81">
        <v>9615.3470767522358</v>
      </c>
      <c r="AZ81">
        <v>8844.2919324111026</v>
      </c>
      <c r="BA81">
        <v>8037.7489962978925</v>
      </c>
      <c r="BB81">
        <v>7280.058840604971</v>
      </c>
      <c r="BC81">
        <v>6560.0461182418685</v>
      </c>
      <c r="BD81">
        <v>5845.8323266465359</v>
      </c>
      <c r="BE81">
        <v>5296.5749667105456</v>
      </c>
      <c r="BF81">
        <v>4740.5520621509168</v>
      </c>
      <c r="BG81">
        <v>4233.5479039808579</v>
      </c>
      <c r="BH81">
        <v>3721.1413090880769</v>
      </c>
      <c r="BI81">
        <v>3219.4265982764432</v>
      </c>
      <c r="BJ81">
        <v>2839.735673741794</v>
      </c>
      <c r="BK81">
        <v>2483.5242569385491</v>
      </c>
      <c r="BL81">
        <v>2151.8121611455849</v>
      </c>
      <c r="BM81">
        <v>1869.6753899259825</v>
      </c>
      <c r="BN81">
        <v>1625.7132633606793</v>
      </c>
    </row>
    <row r="82" spans="1:66" x14ac:dyDescent="0.25">
      <c r="A82" t="s">
        <v>214</v>
      </c>
      <c r="B82" t="s">
        <v>535</v>
      </c>
      <c r="C82" t="s">
        <v>531</v>
      </c>
      <c r="D82" t="s">
        <v>522</v>
      </c>
      <c r="E82" t="s">
        <v>521</v>
      </c>
      <c r="F82">
        <v>15640.940843035291</v>
      </c>
      <c r="G82">
        <v>16150.546759988883</v>
      </c>
      <c r="H82">
        <v>17648.388786263939</v>
      </c>
      <c r="I82">
        <v>16725.370693795405</v>
      </c>
      <c r="J82">
        <v>16380.548324839787</v>
      </c>
      <c r="K82">
        <v>15499.119986501893</v>
      </c>
      <c r="L82">
        <v>16964.973485962018</v>
      </c>
      <c r="M82">
        <v>18776.307489236842</v>
      </c>
      <c r="N82">
        <v>16990.87642543549</v>
      </c>
      <c r="O82">
        <v>18068.06638576484</v>
      </c>
      <c r="P82">
        <v>18247.587022073894</v>
      </c>
      <c r="Q82">
        <v>20209.470689366266</v>
      </c>
      <c r="R82">
        <v>19699.848793804682</v>
      </c>
      <c r="S82">
        <v>20589.961823411428</v>
      </c>
      <c r="T82">
        <v>19932.694122895617</v>
      </c>
      <c r="U82">
        <v>21455.132172136808</v>
      </c>
      <c r="V82">
        <v>21734.471668911941</v>
      </c>
      <c r="W82">
        <v>20224.013693454704</v>
      </c>
      <c r="X82">
        <v>21356.548009904149</v>
      </c>
      <c r="Y82">
        <v>18870.840564758502</v>
      </c>
      <c r="Z82">
        <v>18772.299934571802</v>
      </c>
      <c r="AA82">
        <v>18114.081314169005</v>
      </c>
      <c r="AB82">
        <v>19820.47191931152</v>
      </c>
      <c r="AC82">
        <v>18884.997469550366</v>
      </c>
      <c r="AD82">
        <v>18698.599087495157</v>
      </c>
      <c r="AE82">
        <v>18478.836391393874</v>
      </c>
      <c r="AF82">
        <v>16973.70962476591</v>
      </c>
      <c r="AG82">
        <v>17531.475135032353</v>
      </c>
      <c r="AH82">
        <v>17282.73541087965</v>
      </c>
      <c r="AI82">
        <v>19152.571947895391</v>
      </c>
      <c r="AJ82">
        <v>18178.313197265285</v>
      </c>
      <c r="AK82">
        <v>18356.186781136625</v>
      </c>
      <c r="AL82">
        <v>17066.265992041735</v>
      </c>
      <c r="AM82">
        <v>16047.960371240175</v>
      </c>
      <c r="AN82">
        <v>14353.869158738938</v>
      </c>
      <c r="AO82">
        <v>12798.600481759839</v>
      </c>
      <c r="AP82">
        <v>12461.165990694557</v>
      </c>
      <c r="AQ82">
        <v>12247.577177740952</v>
      </c>
      <c r="AR82">
        <v>11751.678191350744</v>
      </c>
      <c r="AS82">
        <v>11349.912673345234</v>
      </c>
      <c r="AT82">
        <v>10164.057917809121</v>
      </c>
      <c r="AU82">
        <v>9663.5233380132086</v>
      </c>
      <c r="AV82">
        <v>9186.2726182144925</v>
      </c>
      <c r="AW82">
        <v>8825.9418565467568</v>
      </c>
      <c r="AX82">
        <v>8463.9165657948706</v>
      </c>
      <c r="AY82">
        <v>8120.9113357304868</v>
      </c>
      <c r="AZ82">
        <v>7962.1617972569238</v>
      </c>
      <c r="BA82">
        <v>7655.1654633383769</v>
      </c>
      <c r="BB82">
        <v>7355.2603790775584</v>
      </c>
      <c r="BC82">
        <v>7054.7939985213752</v>
      </c>
      <c r="BD82">
        <v>5884.7939387459974</v>
      </c>
      <c r="BE82">
        <v>5647.8418485515576</v>
      </c>
      <c r="BF82">
        <v>5362.3312701012546</v>
      </c>
      <c r="BG82">
        <v>5153.5555050555977</v>
      </c>
      <c r="BH82">
        <v>4917.2548392434865</v>
      </c>
      <c r="BI82">
        <v>4675.4069681226192</v>
      </c>
      <c r="BJ82">
        <v>4336.3647820544847</v>
      </c>
      <c r="BK82">
        <v>4072.0330553769313</v>
      </c>
      <c r="BL82">
        <v>3804.3263309526214</v>
      </c>
      <c r="BM82">
        <v>3551.6327878386778</v>
      </c>
      <c r="BN82">
        <v>3322.408526385706</v>
      </c>
    </row>
    <row r="83" spans="1:66" x14ac:dyDescent="0.25">
      <c r="A83" t="s">
        <v>214</v>
      </c>
      <c r="B83" t="s">
        <v>535</v>
      </c>
      <c r="C83" t="s">
        <v>531</v>
      </c>
      <c r="D83" t="s">
        <v>523</v>
      </c>
      <c r="E83" t="s">
        <v>521</v>
      </c>
      <c r="F83">
        <v>3429.1023206090149</v>
      </c>
      <c r="G83">
        <v>3582.0933132143959</v>
      </c>
      <c r="H83">
        <v>3230.4006797977117</v>
      </c>
      <c r="I83">
        <v>3072.4080540294026</v>
      </c>
      <c r="J83">
        <v>2943.5832063652938</v>
      </c>
      <c r="K83">
        <v>3036.6428253355557</v>
      </c>
      <c r="L83">
        <v>3231.1178764295346</v>
      </c>
      <c r="M83">
        <v>3121.0509253025539</v>
      </c>
      <c r="N83">
        <v>3108.4252054479571</v>
      </c>
      <c r="O83">
        <v>3287.2502963250704</v>
      </c>
      <c r="P83">
        <v>3324.3535917273935</v>
      </c>
      <c r="Q83">
        <v>3441.9326499549325</v>
      </c>
      <c r="R83">
        <v>3562.3255597822995</v>
      </c>
      <c r="S83">
        <v>3798.3629146741546</v>
      </c>
      <c r="T83">
        <v>3833.9993752516589</v>
      </c>
      <c r="U83">
        <v>3949.7863117346769</v>
      </c>
      <c r="V83">
        <v>4067.1636114352182</v>
      </c>
      <c r="W83">
        <v>4324.6641433976283</v>
      </c>
      <c r="X83">
        <v>4207.5754142911601</v>
      </c>
      <c r="Y83">
        <v>4156.3376144420381</v>
      </c>
      <c r="Z83">
        <v>4471.2064224286651</v>
      </c>
      <c r="AA83">
        <v>4511.1732699008671</v>
      </c>
      <c r="AB83">
        <v>4584.743425822363</v>
      </c>
      <c r="AC83">
        <v>4716.1203271304976</v>
      </c>
      <c r="AD83">
        <v>4887.0741014170871</v>
      </c>
      <c r="AE83">
        <v>5014.426570819578</v>
      </c>
      <c r="AF83">
        <v>4761.4486978313562</v>
      </c>
      <c r="AG83">
        <v>4803.9943473754338</v>
      </c>
      <c r="AH83">
        <v>4679.6792337008401</v>
      </c>
      <c r="AI83">
        <v>4713.1761267541115</v>
      </c>
      <c r="AJ83">
        <v>4482.2708369643005</v>
      </c>
      <c r="AK83">
        <v>4684.6924221093341</v>
      </c>
      <c r="AL83">
        <v>4615.5306846943822</v>
      </c>
      <c r="AM83">
        <v>4527.0774901879568</v>
      </c>
      <c r="AN83">
        <v>4561.4447140260791</v>
      </c>
      <c r="AO83">
        <v>4531.5830099871318</v>
      </c>
      <c r="AP83">
        <v>4520.2431432731055</v>
      </c>
      <c r="AQ83">
        <v>4475.9232009926691</v>
      </c>
      <c r="AR83">
        <v>4437.3438495564878</v>
      </c>
      <c r="AS83">
        <v>4418.4714579346737</v>
      </c>
      <c r="AT83">
        <v>4189.6175136617467</v>
      </c>
      <c r="AU83">
        <v>4152.7025661890148</v>
      </c>
      <c r="AV83">
        <v>4118.1638381475095</v>
      </c>
      <c r="AW83">
        <v>4074.2373670370253</v>
      </c>
      <c r="AX83">
        <v>4037.0588209614439</v>
      </c>
      <c r="AY83">
        <v>4032.1997556739384</v>
      </c>
      <c r="AZ83">
        <v>3995.9161703264613</v>
      </c>
      <c r="BA83">
        <v>3975.3458681184588</v>
      </c>
      <c r="BB83">
        <v>3956.6216979861983</v>
      </c>
      <c r="BC83">
        <v>3939.8745394675066</v>
      </c>
      <c r="BD83">
        <v>3868.9310985478323</v>
      </c>
      <c r="BE83">
        <v>3857.8291521529131</v>
      </c>
      <c r="BF83">
        <v>3849.1543209366041</v>
      </c>
      <c r="BG83">
        <v>3844.9585287107939</v>
      </c>
      <c r="BH83">
        <v>3843.2882370622556</v>
      </c>
      <c r="BI83">
        <v>3843.9088929607183</v>
      </c>
      <c r="BJ83">
        <v>3847.4001159475315</v>
      </c>
      <c r="BK83">
        <v>3853.8389159319904</v>
      </c>
      <c r="BL83">
        <v>3862.0590012565417</v>
      </c>
      <c r="BM83">
        <v>3871.3081527366885</v>
      </c>
      <c r="BN83">
        <v>3883.1322715546034</v>
      </c>
    </row>
    <row r="84" spans="1:66" x14ac:dyDescent="0.25">
      <c r="A84" t="s">
        <v>214</v>
      </c>
      <c r="B84" t="s">
        <v>535</v>
      </c>
      <c r="C84" t="s">
        <v>531</v>
      </c>
      <c r="D84" t="s">
        <v>524</v>
      </c>
      <c r="E84" t="s">
        <v>521</v>
      </c>
      <c r="F84">
        <v>1816.6596733237263</v>
      </c>
      <c r="G84">
        <v>1893.7218802684215</v>
      </c>
      <c r="H84">
        <v>1971.3222733100288</v>
      </c>
      <c r="I84">
        <v>2049.4503492491226</v>
      </c>
      <c r="J84">
        <v>1947.5325263313807</v>
      </c>
      <c r="K84">
        <v>2023.8252549837712</v>
      </c>
      <c r="L84">
        <v>2102.1656796823004</v>
      </c>
      <c r="M84">
        <v>2125.7547716447093</v>
      </c>
      <c r="N84">
        <v>2086.8629737313777</v>
      </c>
      <c r="O84">
        <v>2084.0346339247499</v>
      </c>
      <c r="P84">
        <v>2103.6901401299438</v>
      </c>
      <c r="Q84">
        <v>2134.2537068539705</v>
      </c>
      <c r="R84">
        <v>2173.5947283527944</v>
      </c>
      <c r="S84">
        <v>2101.4028129686244</v>
      </c>
      <c r="T84">
        <v>2124.9026062551302</v>
      </c>
      <c r="U84">
        <v>2134.5667014321762</v>
      </c>
      <c r="V84">
        <v>1957.2003317893241</v>
      </c>
      <c r="W84">
        <v>1922.5694677164029</v>
      </c>
      <c r="X84">
        <v>1846.56179242198</v>
      </c>
      <c r="Y84">
        <v>1723.3205496528278</v>
      </c>
      <c r="Z84">
        <v>1665.7456629024559</v>
      </c>
      <c r="AA84">
        <v>1519.6605558608351</v>
      </c>
      <c r="AB84">
        <v>1410.5413176396301</v>
      </c>
      <c r="AC84">
        <v>1359.9084848190901</v>
      </c>
      <c r="AD84">
        <v>1314.1708670740722</v>
      </c>
      <c r="AE84">
        <v>1275.9271345153275</v>
      </c>
      <c r="AF84">
        <v>1246.0586846922251</v>
      </c>
      <c r="AG84">
        <v>1214.8602401561525</v>
      </c>
      <c r="AH84">
        <v>1156.3598029499428</v>
      </c>
      <c r="AI84">
        <v>1114.3950725962225</v>
      </c>
      <c r="AJ84">
        <v>1075.3643344180375</v>
      </c>
      <c r="AK84">
        <v>1058.4109684228663</v>
      </c>
      <c r="AL84">
        <v>1033.212300658286</v>
      </c>
      <c r="AM84">
        <v>996.3164129459052</v>
      </c>
      <c r="AN84">
        <v>960.78960512158892</v>
      </c>
      <c r="AO84">
        <v>925.04832155596773</v>
      </c>
      <c r="AP84">
        <v>889.02457419959956</v>
      </c>
      <c r="AQ84">
        <v>853.30502435548965</v>
      </c>
      <c r="AR84">
        <v>818.06085119369118</v>
      </c>
      <c r="AS84">
        <v>783.33888514538035</v>
      </c>
      <c r="AT84">
        <v>749.00661600423484</v>
      </c>
      <c r="AU84">
        <v>713.12299893040836</v>
      </c>
      <c r="AV84">
        <v>681.75265381906581</v>
      </c>
      <c r="AW84">
        <v>653.07251772298503</v>
      </c>
      <c r="AX84">
        <v>626.11264777642305</v>
      </c>
      <c r="AY84">
        <v>600.52316314937514</v>
      </c>
      <c r="AZ84">
        <v>575.86587763045134</v>
      </c>
      <c r="BA84">
        <v>552.05563434795374</v>
      </c>
      <c r="BB84">
        <v>529.03379695458602</v>
      </c>
      <c r="BC84">
        <v>506.69177205864327</v>
      </c>
      <c r="BD84">
        <v>485.08300206828466</v>
      </c>
      <c r="BE84">
        <v>465.02988086753226</v>
      </c>
      <c r="BF84">
        <v>445.48055289878113</v>
      </c>
      <c r="BG84">
        <v>426.42962227669557</v>
      </c>
      <c r="BH84">
        <v>407.82667776884568</v>
      </c>
      <c r="BI84">
        <v>389.73655503451369</v>
      </c>
      <c r="BJ84">
        <v>372.05944067249334</v>
      </c>
      <c r="BK84">
        <v>354.75156639017149</v>
      </c>
      <c r="BL84">
        <v>337.84939136662678</v>
      </c>
      <c r="BM84">
        <v>321.36782763857866</v>
      </c>
      <c r="BN84">
        <v>305.31110019557548</v>
      </c>
    </row>
    <row r="85" spans="1:66" x14ac:dyDescent="0.25">
      <c r="A85" t="s">
        <v>214</v>
      </c>
      <c r="B85" t="s">
        <v>535</v>
      </c>
      <c r="C85" t="s">
        <v>531</v>
      </c>
      <c r="D85" t="s">
        <v>525</v>
      </c>
      <c r="E85" t="s">
        <v>521</v>
      </c>
      <c r="F85">
        <v>29012.897398845394</v>
      </c>
      <c r="G85">
        <v>29733.023075344903</v>
      </c>
      <c r="H85">
        <v>31320.108193971439</v>
      </c>
      <c r="I85">
        <v>30769.917679558341</v>
      </c>
      <c r="J85">
        <v>30855.464305886358</v>
      </c>
      <c r="K85">
        <v>30807.15278760434</v>
      </c>
      <c r="L85">
        <v>32676.98144102552</v>
      </c>
      <c r="M85">
        <v>34628.447074801872</v>
      </c>
      <c r="N85">
        <v>32996.622945367468</v>
      </c>
      <c r="O85">
        <v>34535.956774742503</v>
      </c>
      <c r="P85">
        <v>35323.941097221861</v>
      </c>
      <c r="Q85">
        <v>37491.528269252616</v>
      </c>
      <c r="R85">
        <v>37597.790313188299</v>
      </c>
      <c r="S85">
        <v>39187.525100695137</v>
      </c>
      <c r="T85">
        <v>38883.963267331026</v>
      </c>
      <c r="U85">
        <v>40602.92604799055</v>
      </c>
      <c r="V85">
        <v>40941.03411633549</v>
      </c>
      <c r="W85">
        <v>39756.054114169223</v>
      </c>
      <c r="X85">
        <v>40704.644922956213</v>
      </c>
      <c r="Y85">
        <v>37851.584943027628</v>
      </c>
      <c r="Z85">
        <v>38258.189555380639</v>
      </c>
      <c r="AA85">
        <v>37476.742760931345</v>
      </c>
      <c r="AB85">
        <v>38822.24438135275</v>
      </c>
      <c r="AC85">
        <v>38042.386442328796</v>
      </c>
      <c r="AD85">
        <v>38239.490669053106</v>
      </c>
      <c r="AE85">
        <v>38574.2154058343</v>
      </c>
      <c r="AF85">
        <v>36887.73781690115</v>
      </c>
      <c r="AG85">
        <v>38354.032701478282</v>
      </c>
      <c r="AH85">
        <v>38244.89921952338</v>
      </c>
      <c r="AI85">
        <v>39634.847827478443</v>
      </c>
      <c r="AJ85">
        <v>36911.614290734949</v>
      </c>
      <c r="AK85">
        <v>38604.542843281895</v>
      </c>
      <c r="AL85">
        <v>38016.653196191895</v>
      </c>
      <c r="AM85">
        <v>37057.001937518995</v>
      </c>
      <c r="AN85">
        <v>35308.35651239752</v>
      </c>
      <c r="AO85">
        <v>33598.581588886256</v>
      </c>
      <c r="AP85">
        <v>33033.679580153512</v>
      </c>
      <c r="AQ85">
        <v>32522.965327014361</v>
      </c>
      <c r="AR85">
        <v>31626.114825366774</v>
      </c>
      <c r="AS85">
        <v>30721.992075524104</v>
      </c>
      <c r="AT85">
        <v>28721.948691107071</v>
      </c>
      <c r="AU85">
        <v>27480.384154343323</v>
      </c>
      <c r="AV85">
        <v>26142.847591695678</v>
      </c>
      <c r="AW85">
        <v>24906.70753390533</v>
      </c>
      <c r="AX85">
        <v>23603.390290646963</v>
      </c>
      <c r="AY85">
        <v>22368.981331306033</v>
      </c>
      <c r="AZ85">
        <v>21378.235777624941</v>
      </c>
      <c r="BA85">
        <v>20220.315962102683</v>
      </c>
      <c r="BB85">
        <v>19120.974714623313</v>
      </c>
      <c r="BC85">
        <v>18061.406428289392</v>
      </c>
      <c r="BD85">
        <v>16084.640366008651</v>
      </c>
      <c r="BE85">
        <v>15267.275848282548</v>
      </c>
      <c r="BF85">
        <v>14397.518206087558</v>
      </c>
      <c r="BG85">
        <v>13658.491560023946</v>
      </c>
      <c r="BH85">
        <v>12889.511063162665</v>
      </c>
      <c r="BI85">
        <v>12128.479014394294</v>
      </c>
      <c r="BJ85">
        <v>11395.560012416305</v>
      </c>
      <c r="BK85">
        <v>10764.147794637644</v>
      </c>
      <c r="BL85">
        <v>10156.046884721374</v>
      </c>
      <c r="BM85">
        <v>9613.9841581399269</v>
      </c>
      <c r="BN85">
        <v>9136.5651614965627</v>
      </c>
    </row>
    <row r="86" spans="1:66" x14ac:dyDescent="0.25">
      <c r="A86" t="s">
        <v>215</v>
      </c>
      <c r="B86" t="s">
        <v>535</v>
      </c>
      <c r="C86" t="s">
        <v>532</v>
      </c>
      <c r="D86" t="s">
        <v>518</v>
      </c>
      <c r="E86" t="s">
        <v>519</v>
      </c>
      <c r="F86">
        <v>0</v>
      </c>
      <c r="G86">
        <v>0</v>
      </c>
      <c r="H86">
        <v>0</v>
      </c>
      <c r="I86">
        <v>0</v>
      </c>
      <c r="J86">
        <v>0</v>
      </c>
      <c r="K86">
        <v>0</v>
      </c>
      <c r="L86">
        <v>0</v>
      </c>
      <c r="M86">
        <v>0</v>
      </c>
      <c r="N86">
        <v>0</v>
      </c>
      <c r="O86">
        <v>0</v>
      </c>
      <c r="P86">
        <v>0</v>
      </c>
      <c r="Q86">
        <v>0</v>
      </c>
      <c r="R86">
        <v>0</v>
      </c>
      <c r="S86">
        <v>0</v>
      </c>
      <c r="T86">
        <v>0</v>
      </c>
      <c r="U86">
        <v>0</v>
      </c>
      <c r="V86">
        <v>0</v>
      </c>
      <c r="W86">
        <v>0</v>
      </c>
      <c r="X86">
        <v>0</v>
      </c>
      <c r="Y86">
        <v>0</v>
      </c>
      <c r="Z86">
        <v>11.416538041464802</v>
      </c>
      <c r="AA86">
        <v>8.7327708333333316</v>
      </c>
      <c r="AB86">
        <v>2.2770791666666668</v>
      </c>
      <c r="AC86">
        <v>1.3566666666666667</v>
      </c>
      <c r="AD86">
        <v>1.9666666666666663</v>
      </c>
      <c r="AE86">
        <v>4.4622309027777769</v>
      </c>
      <c r="AF86">
        <v>7.7698003472222208</v>
      </c>
      <c r="AG86">
        <v>11.941235920833332</v>
      </c>
      <c r="AH86">
        <v>18.817684762500001</v>
      </c>
      <c r="AI86">
        <v>24.5</v>
      </c>
      <c r="AJ86">
        <v>30</v>
      </c>
      <c r="AK86">
        <v>46.305643178011259</v>
      </c>
      <c r="AL86">
        <v>69.696559398715706</v>
      </c>
      <c r="AM86">
        <v>300</v>
      </c>
      <c r="AN86">
        <v>309</v>
      </c>
      <c r="AO86">
        <v>318.27</v>
      </c>
      <c r="AP86">
        <v>327.81810000000002</v>
      </c>
      <c r="AQ86">
        <v>337.65264300000001</v>
      </c>
      <c r="AR86">
        <v>347.78222228999999</v>
      </c>
      <c r="AS86">
        <v>358.21568895870001</v>
      </c>
      <c r="AT86">
        <v>368.96215962746101</v>
      </c>
      <c r="AU86">
        <v>380.03102441628482</v>
      </c>
      <c r="AV86">
        <v>391.4319551487734</v>
      </c>
      <c r="AW86">
        <v>403.17491380323662</v>
      </c>
      <c r="AX86">
        <v>415.27016121733374</v>
      </c>
      <c r="AY86">
        <v>427.72826605385376</v>
      </c>
      <c r="AZ86">
        <v>440.56011403546938</v>
      </c>
      <c r="BA86">
        <v>453.77691745653345</v>
      </c>
      <c r="BB86">
        <v>467.39022498022945</v>
      </c>
      <c r="BC86">
        <v>481.41193172963636</v>
      </c>
      <c r="BD86">
        <v>495.85428968152547</v>
      </c>
      <c r="BE86">
        <v>510.72991837197122</v>
      </c>
      <c r="BF86">
        <v>526.05181592313033</v>
      </c>
      <c r="BG86">
        <v>541.83337040082426</v>
      </c>
      <c r="BH86">
        <v>558.08837151284899</v>
      </c>
      <c r="BI86">
        <v>574.83102265823447</v>
      </c>
      <c r="BJ86">
        <v>592.07595333798156</v>
      </c>
      <c r="BK86">
        <v>609.838231938121</v>
      </c>
      <c r="BL86">
        <v>628.13337889626462</v>
      </c>
      <c r="BM86">
        <v>646.97738026315255</v>
      </c>
      <c r="BN86">
        <v>666.38670167104715</v>
      </c>
    </row>
    <row r="87" spans="1:66" x14ac:dyDescent="0.25">
      <c r="A87" t="s">
        <v>215</v>
      </c>
      <c r="B87" t="s">
        <v>535</v>
      </c>
      <c r="C87" t="s">
        <v>532</v>
      </c>
      <c r="D87" t="s">
        <v>520</v>
      </c>
      <c r="E87" t="s">
        <v>521</v>
      </c>
      <c r="F87">
        <v>8126.1945618773643</v>
      </c>
      <c r="G87">
        <v>8106.661121873205</v>
      </c>
      <c r="H87">
        <v>8469.9964545997555</v>
      </c>
      <c r="I87">
        <v>8922.6885824844103</v>
      </c>
      <c r="J87">
        <v>9583.8002483498967</v>
      </c>
      <c r="K87">
        <v>10247.564720783123</v>
      </c>
      <c r="L87">
        <v>10378.724398951666</v>
      </c>
      <c r="M87">
        <v>10605.333888617772</v>
      </c>
      <c r="N87">
        <v>10810.458340752642</v>
      </c>
      <c r="O87">
        <v>11096.605458727845</v>
      </c>
      <c r="P87">
        <v>11648.310343290637</v>
      </c>
      <c r="Q87">
        <v>11705.871223077451</v>
      </c>
      <c r="R87">
        <v>12162.021231248526</v>
      </c>
      <c r="S87">
        <v>12697.797549640931</v>
      </c>
      <c r="T87">
        <v>12992.367162928625</v>
      </c>
      <c r="U87">
        <v>13063.440862686894</v>
      </c>
      <c r="V87">
        <v>13182.198504199005</v>
      </c>
      <c r="W87">
        <v>13284.806809600492</v>
      </c>
      <c r="X87">
        <v>13293.959706338926</v>
      </c>
      <c r="Y87">
        <v>13101.086214174264</v>
      </c>
      <c r="Z87">
        <v>13348.937535477718</v>
      </c>
      <c r="AA87">
        <v>13331.827621000642</v>
      </c>
      <c r="AB87">
        <v>13006.487718579234</v>
      </c>
      <c r="AC87">
        <v>13081.360160828839</v>
      </c>
      <c r="AD87">
        <v>13339.646613066796</v>
      </c>
      <c r="AE87">
        <v>13805.025309105527</v>
      </c>
      <c r="AF87">
        <v>13906.520809611657</v>
      </c>
      <c r="AG87">
        <v>14803.702978914342</v>
      </c>
      <c r="AH87">
        <v>15126.124771992951</v>
      </c>
      <c r="AI87">
        <v>14654.704680232724</v>
      </c>
      <c r="AJ87">
        <v>13175.66592208733</v>
      </c>
      <c r="AK87">
        <v>14505.252671613069</v>
      </c>
      <c r="AL87">
        <v>15301.533552355706</v>
      </c>
      <c r="AM87">
        <v>15484.606510220632</v>
      </c>
      <c r="AN87">
        <v>15426.037868636571</v>
      </c>
      <c r="AO87">
        <v>15319.759437475106</v>
      </c>
      <c r="AP87">
        <v>15121.37569499794</v>
      </c>
      <c r="AQ87">
        <v>14887.188533859886</v>
      </c>
      <c r="AR87">
        <v>14525.783836358089</v>
      </c>
      <c r="AS87">
        <v>14030.967954809095</v>
      </c>
      <c r="AT87">
        <v>13422.827515903471</v>
      </c>
      <c r="AU87">
        <v>12750.876913255566</v>
      </c>
      <c r="AV87">
        <v>11924.546414708553</v>
      </c>
      <c r="AW87">
        <v>11133.254729665625</v>
      </c>
      <c r="AX87">
        <v>10253.097025595926</v>
      </c>
      <c r="AY87">
        <v>9370.8760937788647</v>
      </c>
      <c r="AZ87">
        <v>8534.8135491467838</v>
      </c>
      <c r="BA87">
        <v>7816.0413280773055</v>
      </c>
      <c r="BB87">
        <v>7002.8516617012874</v>
      </c>
      <c r="BC87">
        <v>6320.7560881507188</v>
      </c>
      <c r="BD87">
        <v>5694.3420073057505</v>
      </c>
      <c r="BE87">
        <v>5096.5263595018587</v>
      </c>
      <c r="BF87">
        <v>4581.6566708549562</v>
      </c>
      <c r="BG87">
        <v>4085.7635114649529</v>
      </c>
      <c r="BH87">
        <v>3568.8933629159569</v>
      </c>
      <c r="BI87">
        <v>3140.8856042248444</v>
      </c>
      <c r="BJ87">
        <v>2708.6709681818538</v>
      </c>
      <c r="BK87">
        <v>2390.0417920557543</v>
      </c>
      <c r="BL87">
        <v>2086.5663922522122</v>
      </c>
      <c r="BM87">
        <v>1812.0573315546035</v>
      </c>
      <c r="BN87">
        <v>1593.0425218868511</v>
      </c>
    </row>
    <row r="88" spans="1:66" x14ac:dyDescent="0.25">
      <c r="A88" t="s">
        <v>215</v>
      </c>
      <c r="B88" t="s">
        <v>535</v>
      </c>
      <c r="C88" t="s">
        <v>532</v>
      </c>
      <c r="D88" t="s">
        <v>522</v>
      </c>
      <c r="E88" t="s">
        <v>521</v>
      </c>
      <c r="F88">
        <v>15640.940843035291</v>
      </c>
      <c r="G88">
        <v>16150.546759988883</v>
      </c>
      <c r="H88">
        <v>17648.388786263939</v>
      </c>
      <c r="I88">
        <v>16725.370693795405</v>
      </c>
      <c r="J88">
        <v>16380.548324839787</v>
      </c>
      <c r="K88">
        <v>15499.119986501893</v>
      </c>
      <c r="L88">
        <v>16964.973485962018</v>
      </c>
      <c r="M88">
        <v>18776.307489236842</v>
      </c>
      <c r="N88">
        <v>16990.87642543549</v>
      </c>
      <c r="O88">
        <v>18068.06638576484</v>
      </c>
      <c r="P88">
        <v>18247.587022073894</v>
      </c>
      <c r="Q88">
        <v>20209.470689366266</v>
      </c>
      <c r="R88">
        <v>19699.848793804682</v>
      </c>
      <c r="S88">
        <v>20589.961823411428</v>
      </c>
      <c r="T88">
        <v>19932.694122895617</v>
      </c>
      <c r="U88">
        <v>21455.132172136808</v>
      </c>
      <c r="V88">
        <v>21734.471668911941</v>
      </c>
      <c r="W88">
        <v>20224.013693454704</v>
      </c>
      <c r="X88">
        <v>21356.548009904149</v>
      </c>
      <c r="Y88">
        <v>18870.840564758502</v>
      </c>
      <c r="Z88">
        <v>18772.299934571802</v>
      </c>
      <c r="AA88">
        <v>18114.081314169005</v>
      </c>
      <c r="AB88">
        <v>19820.47191931152</v>
      </c>
      <c r="AC88">
        <v>18884.997469550366</v>
      </c>
      <c r="AD88">
        <v>18698.599087495157</v>
      </c>
      <c r="AE88">
        <v>18478.836391393874</v>
      </c>
      <c r="AF88">
        <v>16973.70962476591</v>
      </c>
      <c r="AG88">
        <v>17531.475135032353</v>
      </c>
      <c r="AH88">
        <v>17282.73541087965</v>
      </c>
      <c r="AI88">
        <v>19152.571947895391</v>
      </c>
      <c r="AJ88">
        <v>18178.313197265285</v>
      </c>
      <c r="AK88">
        <v>18356.186781136625</v>
      </c>
      <c r="AL88">
        <v>17042.001305389997</v>
      </c>
      <c r="AM88">
        <v>15737.029860408042</v>
      </c>
      <c r="AN88">
        <v>14058.715770522092</v>
      </c>
      <c r="AO88">
        <v>12368.744119114039</v>
      </c>
      <c r="AP88">
        <v>11931.045763208378</v>
      </c>
      <c r="AQ88">
        <v>11651.103923135954</v>
      </c>
      <c r="AR88">
        <v>11288.331752030872</v>
      </c>
      <c r="AS88">
        <v>10782.079030570269</v>
      </c>
      <c r="AT88">
        <v>9390.6211047802681</v>
      </c>
      <c r="AU88">
        <v>8795.6065775705993</v>
      </c>
      <c r="AV88">
        <v>8347.1947258352084</v>
      </c>
      <c r="AW88">
        <v>8132.6377360738197</v>
      </c>
      <c r="AX88">
        <v>7890.1505486433452</v>
      </c>
      <c r="AY88">
        <v>7621.6835553483816</v>
      </c>
      <c r="AZ88">
        <v>7376.0206078307765</v>
      </c>
      <c r="BA88">
        <v>7140.3207700495595</v>
      </c>
      <c r="BB88">
        <v>6904.8958574155095</v>
      </c>
      <c r="BC88">
        <v>6675.2077696806064</v>
      </c>
      <c r="BD88">
        <v>5579.1788439735119</v>
      </c>
      <c r="BE88">
        <v>5333.2414333045572</v>
      </c>
      <c r="BF88">
        <v>5121.5099635882652</v>
      </c>
      <c r="BG88">
        <v>4903.0999041482864</v>
      </c>
      <c r="BH88">
        <v>4679.1075141383808</v>
      </c>
      <c r="BI88">
        <v>4370.7666436361224</v>
      </c>
      <c r="BJ88">
        <v>4128.2230781062253</v>
      </c>
      <c r="BK88">
        <v>3877.7640430885303</v>
      </c>
      <c r="BL88">
        <v>3624.8772020749157</v>
      </c>
      <c r="BM88">
        <v>3392.3739789429169</v>
      </c>
      <c r="BN88">
        <v>3163.3131357060788</v>
      </c>
    </row>
    <row r="89" spans="1:66" x14ac:dyDescent="0.25">
      <c r="A89" t="s">
        <v>215</v>
      </c>
      <c r="B89" t="s">
        <v>535</v>
      </c>
      <c r="C89" t="s">
        <v>532</v>
      </c>
      <c r="D89" t="s">
        <v>523</v>
      </c>
      <c r="E89" t="s">
        <v>521</v>
      </c>
      <c r="F89">
        <v>3429.1023206090149</v>
      </c>
      <c r="G89">
        <v>3582.0933132143959</v>
      </c>
      <c r="H89">
        <v>3230.4006797977117</v>
      </c>
      <c r="I89">
        <v>3072.4080540294026</v>
      </c>
      <c r="J89">
        <v>2943.5832063652938</v>
      </c>
      <c r="K89">
        <v>3036.6428253355557</v>
      </c>
      <c r="L89">
        <v>3231.1178764295346</v>
      </c>
      <c r="M89">
        <v>3121.0509253025539</v>
      </c>
      <c r="N89">
        <v>3108.4252054479571</v>
      </c>
      <c r="O89">
        <v>3287.2502963250704</v>
      </c>
      <c r="P89">
        <v>3324.3535917273935</v>
      </c>
      <c r="Q89">
        <v>3441.9326499549325</v>
      </c>
      <c r="R89">
        <v>3562.3255597822995</v>
      </c>
      <c r="S89">
        <v>3798.3629146741546</v>
      </c>
      <c r="T89">
        <v>3833.9993752516589</v>
      </c>
      <c r="U89">
        <v>3949.7863117346769</v>
      </c>
      <c r="V89">
        <v>4067.1636114352182</v>
      </c>
      <c r="W89">
        <v>4324.6641433976283</v>
      </c>
      <c r="X89">
        <v>4207.5754142911601</v>
      </c>
      <c r="Y89">
        <v>4156.3376144420381</v>
      </c>
      <c r="Z89">
        <v>4471.2064224286651</v>
      </c>
      <c r="AA89">
        <v>4511.1732699008671</v>
      </c>
      <c r="AB89">
        <v>4584.743425822363</v>
      </c>
      <c r="AC89">
        <v>4716.1203271304976</v>
      </c>
      <c r="AD89">
        <v>4887.0741014170871</v>
      </c>
      <c r="AE89">
        <v>5014.426570819578</v>
      </c>
      <c r="AF89">
        <v>4761.4486978313562</v>
      </c>
      <c r="AG89">
        <v>4803.9943473754338</v>
      </c>
      <c r="AH89">
        <v>4679.6792337008401</v>
      </c>
      <c r="AI89">
        <v>4713.1761267541115</v>
      </c>
      <c r="AJ89">
        <v>4482.2708369643005</v>
      </c>
      <c r="AK89">
        <v>4684.6924221093341</v>
      </c>
      <c r="AL89">
        <v>4615.5306846943831</v>
      </c>
      <c r="AM89">
        <v>4527.0774901879586</v>
      </c>
      <c r="AN89">
        <v>4561.4447140260791</v>
      </c>
      <c r="AO89">
        <v>4531.5830099871318</v>
      </c>
      <c r="AP89">
        <v>4520.2431432731055</v>
      </c>
      <c r="AQ89">
        <v>4475.9232009926691</v>
      </c>
      <c r="AR89">
        <v>4437.3438495564878</v>
      </c>
      <c r="AS89">
        <v>4418.4714579346728</v>
      </c>
      <c r="AT89">
        <v>4189.6175136617467</v>
      </c>
      <c r="AU89">
        <v>4152.7025661890157</v>
      </c>
      <c r="AV89">
        <v>4118.1638381475086</v>
      </c>
      <c r="AW89">
        <v>4074.2373670370248</v>
      </c>
      <c r="AX89">
        <v>4037.058820961443</v>
      </c>
      <c r="AY89">
        <v>4032.1997556739384</v>
      </c>
      <c r="AZ89">
        <v>3995.9161703264608</v>
      </c>
      <c r="BA89">
        <v>3975.3458681184588</v>
      </c>
      <c r="BB89">
        <v>3956.6216979861979</v>
      </c>
      <c r="BC89">
        <v>3939.8745394675066</v>
      </c>
      <c r="BD89">
        <v>3868.9310985478319</v>
      </c>
      <c r="BE89">
        <v>3857.8291521529136</v>
      </c>
      <c r="BF89">
        <v>3849.1543209366041</v>
      </c>
      <c r="BG89">
        <v>3844.9585287107939</v>
      </c>
      <c r="BH89">
        <v>3843.2882370622551</v>
      </c>
      <c r="BI89">
        <v>3843.9088929607178</v>
      </c>
      <c r="BJ89">
        <v>3847.4001159475315</v>
      </c>
      <c r="BK89">
        <v>3853.83891593199</v>
      </c>
      <c r="BL89">
        <v>3862.0590012565413</v>
      </c>
      <c r="BM89">
        <v>3871.308152736688</v>
      </c>
      <c r="BN89">
        <v>3883.1322715546034</v>
      </c>
    </row>
    <row r="90" spans="1:66" x14ac:dyDescent="0.25">
      <c r="A90" t="s">
        <v>215</v>
      </c>
      <c r="B90" t="s">
        <v>535</v>
      </c>
      <c r="C90" t="s">
        <v>532</v>
      </c>
      <c r="D90" t="s">
        <v>524</v>
      </c>
      <c r="E90" t="s">
        <v>521</v>
      </c>
      <c r="F90">
        <v>1816.6596733237263</v>
      </c>
      <c r="G90">
        <v>1893.7218802684215</v>
      </c>
      <c r="H90">
        <v>1971.3222733100288</v>
      </c>
      <c r="I90">
        <v>2049.4503492491226</v>
      </c>
      <c r="J90">
        <v>1947.5325263313807</v>
      </c>
      <c r="K90">
        <v>2023.8252549837712</v>
      </c>
      <c r="L90">
        <v>2102.1656796823004</v>
      </c>
      <c r="M90">
        <v>2125.7547716447093</v>
      </c>
      <c r="N90">
        <v>2086.8629737313777</v>
      </c>
      <c r="O90">
        <v>2084.0346339247499</v>
      </c>
      <c r="P90">
        <v>2103.6901401299438</v>
      </c>
      <c r="Q90">
        <v>2134.2537068539705</v>
      </c>
      <c r="R90">
        <v>2173.5947283527944</v>
      </c>
      <c r="S90">
        <v>2101.4028129686244</v>
      </c>
      <c r="T90">
        <v>2124.9026062551302</v>
      </c>
      <c r="U90">
        <v>2134.5667014321762</v>
      </c>
      <c r="V90">
        <v>1957.2003317893241</v>
      </c>
      <c r="W90">
        <v>1922.5694677164029</v>
      </c>
      <c r="X90">
        <v>1846.56179242198</v>
      </c>
      <c r="Y90">
        <v>1723.3205496528278</v>
      </c>
      <c r="Z90">
        <v>1665.7456629024559</v>
      </c>
      <c r="AA90">
        <v>1519.6605558608351</v>
      </c>
      <c r="AB90">
        <v>1410.5413176396301</v>
      </c>
      <c r="AC90">
        <v>1359.9084848190901</v>
      </c>
      <c r="AD90">
        <v>1314.1708670740722</v>
      </c>
      <c r="AE90">
        <v>1275.9271345153275</v>
      </c>
      <c r="AF90">
        <v>1246.0586846922251</v>
      </c>
      <c r="AG90">
        <v>1214.8602401561525</v>
      </c>
      <c r="AH90">
        <v>1156.3598029499428</v>
      </c>
      <c r="AI90">
        <v>1114.3950725962225</v>
      </c>
      <c r="AJ90">
        <v>1075.3643344180375</v>
      </c>
      <c r="AK90">
        <v>1058.4109684228663</v>
      </c>
      <c r="AL90">
        <v>1033.212300658286</v>
      </c>
      <c r="AM90">
        <v>996.3164129459052</v>
      </c>
      <c r="AN90">
        <v>960.78960512158892</v>
      </c>
      <c r="AO90">
        <v>925.04832155596773</v>
      </c>
      <c r="AP90">
        <v>889.02457419959956</v>
      </c>
      <c r="AQ90">
        <v>853.30502435548965</v>
      </c>
      <c r="AR90">
        <v>818.06085119369118</v>
      </c>
      <c r="AS90">
        <v>783.33888514538035</v>
      </c>
      <c r="AT90">
        <v>749.00661600423484</v>
      </c>
      <c r="AU90">
        <v>713.12299893040836</v>
      </c>
      <c r="AV90">
        <v>681.75265381906581</v>
      </c>
      <c r="AW90">
        <v>653.07251772298503</v>
      </c>
      <c r="AX90">
        <v>626.11264777642305</v>
      </c>
      <c r="AY90">
        <v>600.52316314937514</v>
      </c>
      <c r="AZ90">
        <v>575.86587763045134</v>
      </c>
      <c r="BA90">
        <v>552.05563434795374</v>
      </c>
      <c r="BB90">
        <v>529.03379695458602</v>
      </c>
      <c r="BC90">
        <v>506.69177205864327</v>
      </c>
      <c r="BD90">
        <v>485.08300206828466</v>
      </c>
      <c r="BE90">
        <v>465.02988086753226</v>
      </c>
      <c r="BF90">
        <v>445.48055289878113</v>
      </c>
      <c r="BG90">
        <v>426.42962227669557</v>
      </c>
      <c r="BH90">
        <v>407.82667776884568</v>
      </c>
      <c r="BI90">
        <v>389.73655503451369</v>
      </c>
      <c r="BJ90">
        <v>372.05944067249334</v>
      </c>
      <c r="BK90">
        <v>354.75156639017149</v>
      </c>
      <c r="BL90">
        <v>337.84939136662678</v>
      </c>
      <c r="BM90">
        <v>321.36782763857866</v>
      </c>
      <c r="BN90">
        <v>305.31110019557548</v>
      </c>
    </row>
    <row r="91" spans="1:66" x14ac:dyDescent="0.25">
      <c r="A91" t="s">
        <v>215</v>
      </c>
      <c r="B91" t="s">
        <v>535</v>
      </c>
      <c r="C91" t="s">
        <v>532</v>
      </c>
      <c r="D91" t="s">
        <v>525</v>
      </c>
      <c r="E91" t="s">
        <v>521</v>
      </c>
      <c r="F91">
        <v>29012.897398845394</v>
      </c>
      <c r="G91">
        <v>29733.023075344903</v>
      </c>
      <c r="H91">
        <v>31320.108193971439</v>
      </c>
      <c r="I91">
        <v>30769.917679558341</v>
      </c>
      <c r="J91">
        <v>30855.464305886358</v>
      </c>
      <c r="K91">
        <v>30807.15278760434</v>
      </c>
      <c r="L91">
        <v>32676.98144102552</v>
      </c>
      <c r="M91">
        <v>34628.447074801872</v>
      </c>
      <c r="N91">
        <v>32996.622945367468</v>
      </c>
      <c r="O91">
        <v>34535.956774742503</v>
      </c>
      <c r="P91">
        <v>35323.941097221861</v>
      </c>
      <c r="Q91">
        <v>37491.528269252616</v>
      </c>
      <c r="R91">
        <v>37597.790313188299</v>
      </c>
      <c r="S91">
        <v>39187.525100695137</v>
      </c>
      <c r="T91">
        <v>38883.963267331026</v>
      </c>
      <c r="U91">
        <v>40602.92604799055</v>
      </c>
      <c r="V91">
        <v>40941.03411633549</v>
      </c>
      <c r="W91">
        <v>39756.054114169223</v>
      </c>
      <c r="X91">
        <v>40704.644922956213</v>
      </c>
      <c r="Y91">
        <v>37851.584943027628</v>
      </c>
      <c r="Z91">
        <v>38258.189555380639</v>
      </c>
      <c r="AA91">
        <v>37476.742760931345</v>
      </c>
      <c r="AB91">
        <v>38822.24438135275</v>
      </c>
      <c r="AC91">
        <v>38042.386442328796</v>
      </c>
      <c r="AD91">
        <v>38239.490669053106</v>
      </c>
      <c r="AE91">
        <v>38574.2154058343</v>
      </c>
      <c r="AF91">
        <v>36887.73781690115</v>
      </c>
      <c r="AG91">
        <v>38354.032701478282</v>
      </c>
      <c r="AH91">
        <v>38244.89921952338</v>
      </c>
      <c r="AI91">
        <v>39634.847827478443</v>
      </c>
      <c r="AJ91">
        <v>36911.614290734949</v>
      </c>
      <c r="AK91">
        <v>38604.542843281895</v>
      </c>
      <c r="AL91">
        <v>37992.277843098374</v>
      </c>
      <c r="AM91">
        <v>36745.030273762532</v>
      </c>
      <c r="AN91">
        <v>35006.98795830633</v>
      </c>
      <c r="AO91">
        <v>33145.134888132241</v>
      </c>
      <c r="AP91">
        <v>32461.689175679025</v>
      </c>
      <c r="AQ91">
        <v>31867.520682344002</v>
      </c>
      <c r="AR91">
        <v>31069.520289139138</v>
      </c>
      <c r="AS91">
        <v>30014.857328459417</v>
      </c>
      <c r="AT91">
        <v>27752.072750349718</v>
      </c>
      <c r="AU91">
        <v>26412.309055945589</v>
      </c>
      <c r="AV91">
        <v>25071.657632510334</v>
      </c>
      <c r="AW91">
        <v>23993.202350499454</v>
      </c>
      <c r="AX91">
        <v>22806.419042977137</v>
      </c>
      <c r="AY91">
        <v>21625.282567950555</v>
      </c>
      <c r="AZ91">
        <v>20482.616204934471</v>
      </c>
      <c r="BA91">
        <v>19483.76360059328</v>
      </c>
      <c r="BB91">
        <v>18393.403014057581</v>
      </c>
      <c r="BC91">
        <v>17442.530169357473</v>
      </c>
      <c r="BD91">
        <v>15627.534951895379</v>
      </c>
      <c r="BE91">
        <v>14752.626825826861</v>
      </c>
      <c r="BF91">
        <v>13997.801508278608</v>
      </c>
      <c r="BG91">
        <v>13260.251566600729</v>
      </c>
      <c r="BH91">
        <v>12499.115791885439</v>
      </c>
      <c r="BI91">
        <v>11745.297695856198</v>
      </c>
      <c r="BJ91">
        <v>11056.353602908104</v>
      </c>
      <c r="BK91">
        <v>10476.396317466448</v>
      </c>
      <c r="BL91">
        <v>9911.3519869502943</v>
      </c>
      <c r="BM91">
        <v>9397.1072908727874</v>
      </c>
      <c r="BN91">
        <v>8944.7990293431085</v>
      </c>
    </row>
    <row r="92" spans="1:66" x14ac:dyDescent="0.25">
      <c r="A92" t="s">
        <v>216</v>
      </c>
      <c r="B92" t="s">
        <v>535</v>
      </c>
      <c r="C92" t="s">
        <v>533</v>
      </c>
      <c r="D92" t="s">
        <v>518</v>
      </c>
      <c r="E92" t="s">
        <v>519</v>
      </c>
      <c r="F92">
        <v>0</v>
      </c>
      <c r="G92">
        <v>0</v>
      </c>
      <c r="H92">
        <v>0</v>
      </c>
      <c r="I92">
        <v>0</v>
      </c>
      <c r="J92">
        <v>0</v>
      </c>
      <c r="K92">
        <v>0</v>
      </c>
      <c r="L92">
        <v>0</v>
      </c>
      <c r="M92">
        <v>0</v>
      </c>
      <c r="N92">
        <v>0</v>
      </c>
      <c r="O92">
        <v>0</v>
      </c>
      <c r="P92">
        <v>0</v>
      </c>
      <c r="Q92">
        <v>0</v>
      </c>
      <c r="R92">
        <v>0</v>
      </c>
      <c r="S92">
        <v>0</v>
      </c>
      <c r="T92">
        <v>0</v>
      </c>
      <c r="U92">
        <v>0</v>
      </c>
      <c r="V92">
        <v>0</v>
      </c>
      <c r="W92">
        <v>0</v>
      </c>
      <c r="X92">
        <v>0</v>
      </c>
      <c r="Y92">
        <v>0</v>
      </c>
      <c r="Z92">
        <v>11.416538041464802</v>
      </c>
      <c r="AA92">
        <v>8.7327708333333316</v>
      </c>
      <c r="AB92">
        <v>2.2770791666666668</v>
      </c>
      <c r="AC92">
        <v>1.3566666666666667</v>
      </c>
      <c r="AD92">
        <v>1.9666666666666663</v>
      </c>
      <c r="AE92">
        <v>4.4622309027777769</v>
      </c>
      <c r="AF92">
        <v>7.7698003472222208</v>
      </c>
      <c r="AG92">
        <v>11.941235920833332</v>
      </c>
      <c r="AH92">
        <v>18.817684762500001</v>
      </c>
      <c r="AI92">
        <v>24.5</v>
      </c>
      <c r="AJ92">
        <v>30</v>
      </c>
      <c r="AK92">
        <v>46.305643178011259</v>
      </c>
      <c r="AL92">
        <v>69.696559398715706</v>
      </c>
      <c r="AM92">
        <v>50</v>
      </c>
      <c r="AN92">
        <v>51.5</v>
      </c>
      <c r="AO92">
        <v>53.045000000000002</v>
      </c>
      <c r="AP92">
        <v>54.63635</v>
      </c>
      <c r="AQ92">
        <v>56.275440500000002</v>
      </c>
      <c r="AR92">
        <v>57.963703715000001</v>
      </c>
      <c r="AS92">
        <v>59.702614826450002</v>
      </c>
      <c r="AT92">
        <v>61.493693271243501</v>
      </c>
      <c r="AU92">
        <v>63.338504069380811</v>
      </c>
      <c r="AV92">
        <v>65.238659191462233</v>
      </c>
      <c r="AW92">
        <v>67.195818967206108</v>
      </c>
      <c r="AX92">
        <v>69.211693536222299</v>
      </c>
      <c r="AY92">
        <v>71.288044342308964</v>
      </c>
      <c r="AZ92">
        <v>73.42668567257823</v>
      </c>
      <c r="BA92">
        <v>75.629486242755576</v>
      </c>
      <c r="BB92">
        <v>77.898370830038246</v>
      </c>
      <c r="BC92">
        <v>80.235321954939394</v>
      </c>
      <c r="BD92">
        <v>82.642381613587574</v>
      </c>
      <c r="BE92">
        <v>85.121653061995204</v>
      </c>
      <c r="BF92">
        <v>87.675302653855056</v>
      </c>
      <c r="BG92">
        <v>90.305561733470711</v>
      </c>
      <c r="BH92">
        <v>93.014728585474828</v>
      </c>
      <c r="BI92">
        <v>95.805170443039074</v>
      </c>
      <c r="BJ92">
        <v>98.679325556330255</v>
      </c>
      <c r="BK92">
        <v>101.63970532302017</v>
      </c>
      <c r="BL92">
        <v>104.68889648271077</v>
      </c>
      <c r="BM92">
        <v>107.8295633771921</v>
      </c>
      <c r="BN92">
        <v>111.06445027850786</v>
      </c>
    </row>
    <row r="93" spans="1:66" x14ac:dyDescent="0.25">
      <c r="A93" t="s">
        <v>216</v>
      </c>
      <c r="B93" t="s">
        <v>535</v>
      </c>
      <c r="C93" t="s">
        <v>533</v>
      </c>
      <c r="D93" t="s">
        <v>520</v>
      </c>
      <c r="E93" t="s">
        <v>521</v>
      </c>
      <c r="F93">
        <v>8126.1945618773643</v>
      </c>
      <c r="G93">
        <v>8106.661121873205</v>
      </c>
      <c r="H93">
        <v>8469.9964545997555</v>
      </c>
      <c r="I93">
        <v>8922.6885824844103</v>
      </c>
      <c r="J93">
        <v>9583.8002483498967</v>
      </c>
      <c r="K93">
        <v>10247.564720783123</v>
      </c>
      <c r="L93">
        <v>10378.724398951666</v>
      </c>
      <c r="M93">
        <v>10605.333888617772</v>
      </c>
      <c r="N93">
        <v>10810.458340752642</v>
      </c>
      <c r="O93">
        <v>11096.605458727845</v>
      </c>
      <c r="P93">
        <v>11648.310343290637</v>
      </c>
      <c r="Q93">
        <v>11705.871223077451</v>
      </c>
      <c r="R93">
        <v>12162.021231248526</v>
      </c>
      <c r="S93">
        <v>12697.797549640931</v>
      </c>
      <c r="T93">
        <v>12992.367162928625</v>
      </c>
      <c r="U93">
        <v>13063.440862686894</v>
      </c>
      <c r="V93">
        <v>13182.198504199005</v>
      </c>
      <c r="W93">
        <v>13284.806809600492</v>
      </c>
      <c r="X93">
        <v>13293.959706338926</v>
      </c>
      <c r="Y93">
        <v>13101.086214174264</v>
      </c>
      <c r="Z93">
        <v>13348.937535477718</v>
      </c>
      <c r="AA93">
        <v>13331.827621000642</v>
      </c>
      <c r="AB93">
        <v>13006.487718579234</v>
      </c>
      <c r="AC93">
        <v>13081.360160828839</v>
      </c>
      <c r="AD93">
        <v>13339.646613066796</v>
      </c>
      <c r="AE93">
        <v>13805.025309105527</v>
      </c>
      <c r="AF93">
        <v>13906.520809611657</v>
      </c>
      <c r="AG93">
        <v>14803.702978914342</v>
      </c>
      <c r="AH93">
        <v>15126.124771992951</v>
      </c>
      <c r="AI93">
        <v>14654.704680232724</v>
      </c>
      <c r="AJ93">
        <v>13175.66592208733</v>
      </c>
      <c r="AK93">
        <v>14505.252671613069</v>
      </c>
      <c r="AL93">
        <v>15301.720802414695</v>
      </c>
      <c r="AM93">
        <v>15492.755202378048</v>
      </c>
      <c r="AN93">
        <v>15450.215658034997</v>
      </c>
      <c r="AO93">
        <v>15384.23134553043</v>
      </c>
      <c r="AP93">
        <v>15250.728100146938</v>
      </c>
      <c r="AQ93">
        <v>15116.6672283063</v>
      </c>
      <c r="AR93">
        <v>14863.566134478451</v>
      </c>
      <c r="AS93">
        <v>14512.482112770555</v>
      </c>
      <c r="AT93">
        <v>14086.928578711926</v>
      </c>
      <c r="AU93">
        <v>13524.353102319665</v>
      </c>
      <c r="AV93">
        <v>12795.064042258236</v>
      </c>
      <c r="AW93">
        <v>12035.750556723106</v>
      </c>
      <c r="AX93">
        <v>11269.442941359523</v>
      </c>
      <c r="AY93">
        <v>10415.709023407477</v>
      </c>
      <c r="AZ93">
        <v>9622.7341675574808</v>
      </c>
      <c r="BA93">
        <v>8819.3301884052944</v>
      </c>
      <c r="BB93">
        <v>8108.9918428378078</v>
      </c>
      <c r="BC93">
        <v>7408.8569546647723</v>
      </c>
      <c r="BD93">
        <v>6770.5206322545564</v>
      </c>
      <c r="BE93">
        <v>6120.5859876278901</v>
      </c>
      <c r="BF93">
        <v>5602.6896916743372</v>
      </c>
      <c r="BG93">
        <v>4987.098344382056</v>
      </c>
      <c r="BH93">
        <v>4426.2138187201745</v>
      </c>
      <c r="BI93">
        <v>3869.6378509938918</v>
      </c>
      <c r="BJ93">
        <v>3371.2606212660808</v>
      </c>
      <c r="BK93">
        <v>2985.5082448959715</v>
      </c>
      <c r="BL93">
        <v>2609.3988969708075</v>
      </c>
      <c r="BM93">
        <v>2235.2506464480248</v>
      </c>
      <c r="BN93">
        <v>1964.4441340525468</v>
      </c>
    </row>
    <row r="94" spans="1:66" x14ac:dyDescent="0.25">
      <c r="A94" t="s">
        <v>216</v>
      </c>
      <c r="B94" t="s">
        <v>535</v>
      </c>
      <c r="C94" t="s">
        <v>533</v>
      </c>
      <c r="D94" t="s">
        <v>522</v>
      </c>
      <c r="E94" t="s">
        <v>521</v>
      </c>
      <c r="F94">
        <v>15640.940843035291</v>
      </c>
      <c r="G94">
        <v>16150.546759988883</v>
      </c>
      <c r="H94">
        <v>17648.388786263939</v>
      </c>
      <c r="I94">
        <v>16725.370693795405</v>
      </c>
      <c r="J94">
        <v>16380.548324839787</v>
      </c>
      <c r="K94">
        <v>15499.119986501893</v>
      </c>
      <c r="L94">
        <v>16964.973485962018</v>
      </c>
      <c r="M94">
        <v>18776.307489236842</v>
      </c>
      <c r="N94">
        <v>16990.87642543549</v>
      </c>
      <c r="O94">
        <v>18068.06638576484</v>
      </c>
      <c r="P94">
        <v>18247.587022073894</v>
      </c>
      <c r="Q94">
        <v>20209.470689366266</v>
      </c>
      <c r="R94">
        <v>19699.848793804682</v>
      </c>
      <c r="S94">
        <v>20589.961823411428</v>
      </c>
      <c r="T94">
        <v>19932.694122895617</v>
      </c>
      <c r="U94">
        <v>21455.132172136808</v>
      </c>
      <c r="V94">
        <v>21734.471668911941</v>
      </c>
      <c r="W94">
        <v>20224.013693454704</v>
      </c>
      <c r="X94">
        <v>21356.548009904149</v>
      </c>
      <c r="Y94">
        <v>18870.840564758502</v>
      </c>
      <c r="Z94">
        <v>18772.299934571802</v>
      </c>
      <c r="AA94">
        <v>18114.081314169005</v>
      </c>
      <c r="AB94">
        <v>19820.47191931152</v>
      </c>
      <c r="AC94">
        <v>18884.997469550366</v>
      </c>
      <c r="AD94">
        <v>18698.599087495157</v>
      </c>
      <c r="AE94">
        <v>18478.836391393874</v>
      </c>
      <c r="AF94">
        <v>16973.70962476591</v>
      </c>
      <c r="AG94">
        <v>17531.475135032353</v>
      </c>
      <c r="AH94">
        <v>17282.73541087965</v>
      </c>
      <c r="AI94">
        <v>19152.571947895391</v>
      </c>
      <c r="AJ94">
        <v>18178.313197265285</v>
      </c>
      <c r="AK94">
        <v>18373.937086539234</v>
      </c>
      <c r="AL94">
        <v>17159.83861360417</v>
      </c>
      <c r="AM94">
        <v>16526.303527855012</v>
      </c>
      <c r="AN94">
        <v>15826.623769081434</v>
      </c>
      <c r="AO94">
        <v>15271.289989450403</v>
      </c>
      <c r="AP94">
        <v>15141.233431686007</v>
      </c>
      <c r="AQ94">
        <v>15077.345975972279</v>
      </c>
      <c r="AR94">
        <v>14924.000719460699</v>
      </c>
      <c r="AS94">
        <v>14905.651302632426</v>
      </c>
      <c r="AT94">
        <v>14112.039011533325</v>
      </c>
      <c r="AU94">
        <v>13964.54014389803</v>
      </c>
      <c r="AV94">
        <v>13728.433283790198</v>
      </c>
      <c r="AW94">
        <v>13690.03872052256</v>
      </c>
      <c r="AX94">
        <v>13580.055066328125</v>
      </c>
      <c r="AY94">
        <v>13451.012975235517</v>
      </c>
      <c r="AZ94">
        <v>13331.713933875588</v>
      </c>
      <c r="BA94">
        <v>13202.059219466377</v>
      </c>
      <c r="BB94">
        <v>13060.68739965703</v>
      </c>
      <c r="BC94">
        <v>12900.389870508836</v>
      </c>
      <c r="BD94">
        <v>11953.639678818798</v>
      </c>
      <c r="BE94">
        <v>11766.672308588411</v>
      </c>
      <c r="BF94">
        <v>11203.504569064255</v>
      </c>
      <c r="BG94">
        <v>10855.642178585849</v>
      </c>
      <c r="BH94">
        <v>10483.805343466798</v>
      </c>
      <c r="BI94">
        <v>10092.331215117574</v>
      </c>
      <c r="BJ94">
        <v>9670.5851772968199</v>
      </c>
      <c r="BK94">
        <v>9236.1872825393584</v>
      </c>
      <c r="BL94">
        <v>8806.7564964344638</v>
      </c>
      <c r="BM94">
        <v>8388.5583798095577</v>
      </c>
      <c r="BN94">
        <v>7993.8336321537781</v>
      </c>
    </row>
    <row r="95" spans="1:66" x14ac:dyDescent="0.25">
      <c r="A95" t="s">
        <v>216</v>
      </c>
      <c r="B95" t="s">
        <v>535</v>
      </c>
      <c r="C95" t="s">
        <v>533</v>
      </c>
      <c r="D95" t="s">
        <v>523</v>
      </c>
      <c r="E95" t="s">
        <v>521</v>
      </c>
      <c r="F95">
        <v>3429.1023206090149</v>
      </c>
      <c r="G95">
        <v>3582.0933132143959</v>
      </c>
      <c r="H95">
        <v>3230.4006797977117</v>
      </c>
      <c r="I95">
        <v>3072.4080540294026</v>
      </c>
      <c r="J95">
        <v>2943.5832063652938</v>
      </c>
      <c r="K95">
        <v>3036.6428253355557</v>
      </c>
      <c r="L95">
        <v>3231.1178764295346</v>
      </c>
      <c r="M95">
        <v>3121.0509253025539</v>
      </c>
      <c r="N95">
        <v>3108.4252054479571</v>
      </c>
      <c r="O95">
        <v>3287.2502963250704</v>
      </c>
      <c r="P95">
        <v>3324.3535917273935</v>
      </c>
      <c r="Q95">
        <v>3441.9326499549325</v>
      </c>
      <c r="R95">
        <v>3562.3255597822995</v>
      </c>
      <c r="S95">
        <v>3798.3629146741546</v>
      </c>
      <c r="T95">
        <v>3833.9993752516589</v>
      </c>
      <c r="U95">
        <v>3949.7863117346769</v>
      </c>
      <c r="V95">
        <v>4067.1636114352182</v>
      </c>
      <c r="W95">
        <v>4324.6641433976283</v>
      </c>
      <c r="X95">
        <v>4207.5754142911601</v>
      </c>
      <c r="Y95">
        <v>4156.3376144420381</v>
      </c>
      <c r="Z95">
        <v>4471.2064224286651</v>
      </c>
      <c r="AA95">
        <v>4511.1732699008671</v>
      </c>
      <c r="AB95">
        <v>4584.743425822363</v>
      </c>
      <c r="AC95">
        <v>4716.1203271304976</v>
      </c>
      <c r="AD95">
        <v>4887.0741014170871</v>
      </c>
      <c r="AE95">
        <v>5014.426570819578</v>
      </c>
      <c r="AF95">
        <v>4761.4486978313562</v>
      </c>
      <c r="AG95">
        <v>4803.9943473754338</v>
      </c>
      <c r="AH95">
        <v>4679.6792337008401</v>
      </c>
      <c r="AI95">
        <v>4713.1761267541115</v>
      </c>
      <c r="AJ95">
        <v>4482.2708369643005</v>
      </c>
      <c r="AK95">
        <v>4684.6924221093341</v>
      </c>
      <c r="AL95">
        <v>4615.5306846943822</v>
      </c>
      <c r="AM95">
        <v>4527.0774901879577</v>
      </c>
      <c r="AN95">
        <v>4561.4447140260781</v>
      </c>
      <c r="AO95">
        <v>4531.5830099871318</v>
      </c>
      <c r="AP95">
        <v>4520.2431432731055</v>
      </c>
      <c r="AQ95">
        <v>4475.9232009926682</v>
      </c>
      <c r="AR95">
        <v>4437.3438495564887</v>
      </c>
      <c r="AS95">
        <v>4418.4714579346737</v>
      </c>
      <c r="AT95">
        <v>4189.6175136617467</v>
      </c>
      <c r="AU95">
        <v>4152.7025661890148</v>
      </c>
      <c r="AV95">
        <v>4118.1638381475086</v>
      </c>
      <c r="AW95">
        <v>4074.2373670370253</v>
      </c>
      <c r="AX95">
        <v>4037.058820961443</v>
      </c>
      <c r="AY95">
        <v>4032.1997556739384</v>
      </c>
      <c r="AZ95">
        <v>3995.9161703264608</v>
      </c>
      <c r="BA95">
        <v>3975.3458681184584</v>
      </c>
      <c r="BB95">
        <v>3956.6216979861979</v>
      </c>
      <c r="BC95">
        <v>3939.874539467507</v>
      </c>
      <c r="BD95">
        <v>3868.9310985478323</v>
      </c>
      <c r="BE95">
        <v>3857.8291521529131</v>
      </c>
      <c r="BF95">
        <v>3849.1543209366041</v>
      </c>
      <c r="BG95">
        <v>3844.9585287107939</v>
      </c>
      <c r="BH95">
        <v>3843.2882370622556</v>
      </c>
      <c r="BI95">
        <v>3843.9088929607183</v>
      </c>
      <c r="BJ95">
        <v>3847.400115947531</v>
      </c>
      <c r="BK95">
        <v>3853.8389159319904</v>
      </c>
      <c r="BL95">
        <v>3862.0590012565417</v>
      </c>
      <c r="BM95">
        <v>3871.308152736688</v>
      </c>
      <c r="BN95">
        <v>3883.132271554603</v>
      </c>
    </row>
    <row r="96" spans="1:66" x14ac:dyDescent="0.25">
      <c r="A96" t="s">
        <v>216</v>
      </c>
      <c r="B96" t="s">
        <v>535</v>
      </c>
      <c r="C96" t="s">
        <v>533</v>
      </c>
      <c r="D96" t="s">
        <v>524</v>
      </c>
      <c r="E96" t="s">
        <v>521</v>
      </c>
      <c r="F96">
        <v>1816.6596733237263</v>
      </c>
      <c r="G96">
        <v>1893.7218802684215</v>
      </c>
      <c r="H96">
        <v>1971.3222733100288</v>
      </c>
      <c r="I96">
        <v>2049.4503492491226</v>
      </c>
      <c r="J96">
        <v>1947.5325263313807</v>
      </c>
      <c r="K96">
        <v>2023.8252549837712</v>
      </c>
      <c r="L96">
        <v>2102.1656796823004</v>
      </c>
      <c r="M96">
        <v>2125.7547716447093</v>
      </c>
      <c r="N96">
        <v>2086.8629737313777</v>
      </c>
      <c r="O96">
        <v>2084.0346339247499</v>
      </c>
      <c r="P96">
        <v>2103.6901401299438</v>
      </c>
      <c r="Q96">
        <v>2134.2537068539705</v>
      </c>
      <c r="R96">
        <v>2173.5947283527944</v>
      </c>
      <c r="S96">
        <v>2101.4028129686244</v>
      </c>
      <c r="T96">
        <v>2124.9026062551302</v>
      </c>
      <c r="U96">
        <v>2134.5667014321762</v>
      </c>
      <c r="V96">
        <v>1957.2003317893241</v>
      </c>
      <c r="W96">
        <v>1922.5694677164029</v>
      </c>
      <c r="X96">
        <v>1846.56179242198</v>
      </c>
      <c r="Y96">
        <v>1723.3205496528278</v>
      </c>
      <c r="Z96">
        <v>1665.7456629024559</v>
      </c>
      <c r="AA96">
        <v>1519.6605558608351</v>
      </c>
      <c r="AB96">
        <v>1410.5413176396301</v>
      </c>
      <c r="AC96">
        <v>1359.9084848190901</v>
      </c>
      <c r="AD96">
        <v>1314.1708670740722</v>
      </c>
      <c r="AE96">
        <v>1275.9271345153275</v>
      </c>
      <c r="AF96">
        <v>1246.0586846922251</v>
      </c>
      <c r="AG96">
        <v>1214.8602401561525</v>
      </c>
      <c r="AH96">
        <v>1156.3598029499428</v>
      </c>
      <c r="AI96">
        <v>1114.3950725962225</v>
      </c>
      <c r="AJ96">
        <v>1075.3643344180375</v>
      </c>
      <c r="AK96">
        <v>1058.4109684228663</v>
      </c>
      <c r="AL96">
        <v>1033.212300658286</v>
      </c>
      <c r="AM96">
        <v>996.3164129459052</v>
      </c>
      <c r="AN96">
        <v>960.78960512158892</v>
      </c>
      <c r="AO96">
        <v>925.04832155596773</v>
      </c>
      <c r="AP96">
        <v>889.02457419959956</v>
      </c>
      <c r="AQ96">
        <v>853.30502435548965</v>
      </c>
      <c r="AR96">
        <v>818.06085119369118</v>
      </c>
      <c r="AS96">
        <v>783.33888514538035</v>
      </c>
      <c r="AT96">
        <v>749.00661600423484</v>
      </c>
      <c r="AU96">
        <v>713.12299893040836</v>
      </c>
      <c r="AV96">
        <v>681.75265381906581</v>
      </c>
      <c r="AW96">
        <v>653.07251772298503</v>
      </c>
      <c r="AX96">
        <v>626.11264777642305</v>
      </c>
      <c r="AY96">
        <v>600.52316314937514</v>
      </c>
      <c r="AZ96">
        <v>575.86587763045134</v>
      </c>
      <c r="BA96">
        <v>552.05563434795374</v>
      </c>
      <c r="BB96">
        <v>529.03379695458602</v>
      </c>
      <c r="BC96">
        <v>506.69177205864327</v>
      </c>
      <c r="BD96">
        <v>485.08300206828466</v>
      </c>
      <c r="BE96">
        <v>465.02988086753226</v>
      </c>
      <c r="BF96">
        <v>445.48055289878113</v>
      </c>
      <c r="BG96">
        <v>426.42962227669557</v>
      </c>
      <c r="BH96">
        <v>407.82667776884568</v>
      </c>
      <c r="BI96">
        <v>389.73655503451369</v>
      </c>
      <c r="BJ96">
        <v>372.05944067249334</v>
      </c>
      <c r="BK96">
        <v>354.75156639017149</v>
      </c>
      <c r="BL96">
        <v>337.84939136662678</v>
      </c>
      <c r="BM96">
        <v>321.36782763857866</v>
      </c>
      <c r="BN96">
        <v>305.31110019557548</v>
      </c>
    </row>
    <row r="97" spans="1:66" x14ac:dyDescent="0.25">
      <c r="A97" t="s">
        <v>216</v>
      </c>
      <c r="B97" t="s">
        <v>535</v>
      </c>
      <c r="C97" t="s">
        <v>533</v>
      </c>
      <c r="D97" t="s">
        <v>525</v>
      </c>
      <c r="E97" t="s">
        <v>521</v>
      </c>
      <c r="F97">
        <v>29012.897398845394</v>
      </c>
      <c r="G97">
        <v>29733.023075344903</v>
      </c>
      <c r="H97">
        <v>31320.108193971439</v>
      </c>
      <c r="I97">
        <v>30769.917679558341</v>
      </c>
      <c r="J97">
        <v>30855.464305886358</v>
      </c>
      <c r="K97">
        <v>30807.15278760434</v>
      </c>
      <c r="L97">
        <v>32676.98144102552</v>
      </c>
      <c r="M97">
        <v>34628.447074801872</v>
      </c>
      <c r="N97">
        <v>32996.622945367468</v>
      </c>
      <c r="O97">
        <v>34535.956774742503</v>
      </c>
      <c r="P97">
        <v>35323.941097221861</v>
      </c>
      <c r="Q97">
        <v>37491.528269252616</v>
      </c>
      <c r="R97">
        <v>37597.790313188299</v>
      </c>
      <c r="S97">
        <v>39187.525100695137</v>
      </c>
      <c r="T97">
        <v>38883.963267331026</v>
      </c>
      <c r="U97">
        <v>40602.92604799055</v>
      </c>
      <c r="V97">
        <v>40941.03411633549</v>
      </c>
      <c r="W97">
        <v>39756.054114169223</v>
      </c>
      <c r="X97">
        <v>40704.644922956213</v>
      </c>
      <c r="Y97">
        <v>37851.584943027628</v>
      </c>
      <c r="Z97">
        <v>38258.189555380639</v>
      </c>
      <c r="AA97">
        <v>37476.742760931345</v>
      </c>
      <c r="AB97">
        <v>38822.24438135275</v>
      </c>
      <c r="AC97">
        <v>38042.386442328796</v>
      </c>
      <c r="AD97">
        <v>38239.490669053106</v>
      </c>
      <c r="AE97">
        <v>38574.2154058343</v>
      </c>
      <c r="AF97">
        <v>36887.73781690115</v>
      </c>
      <c r="AG97">
        <v>38354.032701478282</v>
      </c>
      <c r="AH97">
        <v>38244.89921952338</v>
      </c>
      <c r="AI97">
        <v>39634.847827478443</v>
      </c>
      <c r="AJ97">
        <v>36911.614290734949</v>
      </c>
      <c r="AK97">
        <v>38622.293148684505</v>
      </c>
      <c r="AL97">
        <v>38110.302401371533</v>
      </c>
      <c r="AM97">
        <v>37542.45263336692</v>
      </c>
      <c r="AN97">
        <v>36799.07374626409</v>
      </c>
      <c r="AO97">
        <v>36112.152666523929</v>
      </c>
      <c r="AP97">
        <v>35801.229249305645</v>
      </c>
      <c r="AQ97">
        <v>35523.241429626738</v>
      </c>
      <c r="AR97">
        <v>35042.971554689328</v>
      </c>
      <c r="AS97">
        <v>34619.943758483038</v>
      </c>
      <c r="AT97">
        <v>33137.59171991123</v>
      </c>
      <c r="AU97">
        <v>32354.718811337119</v>
      </c>
      <c r="AV97">
        <v>31323.413818015008</v>
      </c>
      <c r="AW97">
        <v>30453.099162005674</v>
      </c>
      <c r="AX97">
        <v>29512.669476425512</v>
      </c>
      <c r="AY97">
        <v>28499.444917466302</v>
      </c>
      <c r="AZ97">
        <v>27526.230149389979</v>
      </c>
      <c r="BA97">
        <v>26548.790910338081</v>
      </c>
      <c r="BB97">
        <v>25655.33473743562</v>
      </c>
      <c r="BC97">
        <v>24755.813136699755</v>
      </c>
      <c r="BD97">
        <v>23078.174411689473</v>
      </c>
      <c r="BE97">
        <v>22210.117329236746</v>
      </c>
      <c r="BF97">
        <v>21100.829134573978</v>
      </c>
      <c r="BG97">
        <v>20114.128673955398</v>
      </c>
      <c r="BH97">
        <v>19161.134077018072</v>
      </c>
      <c r="BI97">
        <v>18195.614514106695</v>
      </c>
      <c r="BJ97">
        <v>17261.305355182925</v>
      </c>
      <c r="BK97">
        <v>16430.286009757492</v>
      </c>
      <c r="BL97">
        <v>15616.063786028439</v>
      </c>
      <c r="BM97">
        <v>14816.485006632849</v>
      </c>
      <c r="BN97">
        <v>14146.721137956503</v>
      </c>
    </row>
    <row r="98" spans="1:66" x14ac:dyDescent="0.25">
      <c r="A98" t="s">
        <v>217</v>
      </c>
      <c r="B98" t="s">
        <v>535</v>
      </c>
      <c r="C98" t="s">
        <v>534</v>
      </c>
      <c r="D98" t="s">
        <v>518</v>
      </c>
      <c r="E98" t="s">
        <v>519</v>
      </c>
      <c r="F98">
        <v>0</v>
      </c>
      <c r="G98">
        <v>0</v>
      </c>
      <c r="H98">
        <v>0</v>
      </c>
      <c r="I98">
        <v>0</v>
      </c>
      <c r="J98">
        <v>0</v>
      </c>
      <c r="K98">
        <v>0</v>
      </c>
      <c r="L98">
        <v>0</v>
      </c>
      <c r="M98">
        <v>0</v>
      </c>
      <c r="N98">
        <v>0</v>
      </c>
      <c r="O98">
        <v>0</v>
      </c>
      <c r="P98">
        <v>0</v>
      </c>
      <c r="Q98">
        <v>0</v>
      </c>
      <c r="R98">
        <v>0</v>
      </c>
      <c r="S98">
        <v>0</v>
      </c>
      <c r="T98">
        <v>0</v>
      </c>
      <c r="U98">
        <v>0</v>
      </c>
      <c r="V98">
        <v>0</v>
      </c>
      <c r="W98">
        <v>0</v>
      </c>
      <c r="X98">
        <v>0</v>
      </c>
      <c r="Y98">
        <v>0</v>
      </c>
      <c r="Z98">
        <v>11.416538041464802</v>
      </c>
      <c r="AA98">
        <v>8.7327708333333316</v>
      </c>
      <c r="AB98">
        <v>2.2770791666666668</v>
      </c>
      <c r="AC98">
        <v>1.3566666666666667</v>
      </c>
      <c r="AD98">
        <v>1.9666666666666663</v>
      </c>
      <c r="AE98">
        <v>4.4622309027777769</v>
      </c>
      <c r="AF98">
        <v>7.7698003472222208</v>
      </c>
      <c r="AG98">
        <v>11.941235920833332</v>
      </c>
      <c r="AH98">
        <v>18.817684762500001</v>
      </c>
      <c r="AI98">
        <v>24.5</v>
      </c>
      <c r="AJ98">
        <v>30</v>
      </c>
      <c r="AK98">
        <v>46.305643178011259</v>
      </c>
      <c r="AL98">
        <v>69.696559398715706</v>
      </c>
      <c r="AM98">
        <v>78.978951484932111</v>
      </c>
      <c r="AN98">
        <v>88.261343571148515</v>
      </c>
      <c r="AO98">
        <v>97.54373565736492</v>
      </c>
      <c r="AP98">
        <v>106.82612774358132</v>
      </c>
      <c r="AQ98">
        <v>116.10851982979773</v>
      </c>
      <c r="AR98">
        <v>125.39091191601413</v>
      </c>
      <c r="AS98">
        <v>134.67330400223054</v>
      </c>
      <c r="AT98">
        <v>143.95569608844693</v>
      </c>
      <c r="AU98">
        <v>148.27436697110033</v>
      </c>
      <c r="AV98">
        <v>152.72259798023336</v>
      </c>
      <c r="AW98">
        <v>157.30427591964036</v>
      </c>
      <c r="AX98">
        <v>162.02340419722958</v>
      </c>
      <c r="AY98">
        <v>166.88410632314648</v>
      </c>
      <c r="AZ98">
        <v>171.89062951284089</v>
      </c>
      <c r="BA98">
        <v>177.04734839822612</v>
      </c>
      <c r="BB98">
        <v>182.35876885017291</v>
      </c>
      <c r="BC98">
        <v>187.8295319156781</v>
      </c>
      <c r="BD98">
        <v>193.46441787314845</v>
      </c>
      <c r="BE98">
        <v>199.2683504093429</v>
      </c>
      <c r="BF98">
        <v>205.24640092162321</v>
      </c>
      <c r="BG98">
        <v>211.40379294927192</v>
      </c>
      <c r="BH98">
        <v>217.74590673775009</v>
      </c>
      <c r="BI98">
        <v>224.27828393988258</v>
      </c>
      <c r="BJ98">
        <v>231.00663245807908</v>
      </c>
      <c r="BK98">
        <v>237.93683143182147</v>
      </c>
      <c r="BL98">
        <v>245.07493637477612</v>
      </c>
      <c r="BM98">
        <v>252.42718446601941</v>
      </c>
      <c r="BN98">
        <v>260</v>
      </c>
    </row>
    <row r="99" spans="1:66" x14ac:dyDescent="0.25">
      <c r="A99" t="s">
        <v>217</v>
      </c>
      <c r="B99" t="s">
        <v>535</v>
      </c>
      <c r="C99" t="s">
        <v>534</v>
      </c>
      <c r="D99" t="s">
        <v>520</v>
      </c>
      <c r="E99" t="s">
        <v>521</v>
      </c>
      <c r="F99">
        <v>8126.1945618773643</v>
      </c>
      <c r="G99">
        <v>8106.661121873205</v>
      </c>
      <c r="H99">
        <v>8469.9964545997555</v>
      </c>
      <c r="I99">
        <v>8922.6885824844103</v>
      </c>
      <c r="J99">
        <v>9583.8002483498967</v>
      </c>
      <c r="K99">
        <v>10247.564720783123</v>
      </c>
      <c r="L99">
        <v>10378.724398951666</v>
      </c>
      <c r="M99">
        <v>10605.333888617772</v>
      </c>
      <c r="N99">
        <v>10810.458340752642</v>
      </c>
      <c r="O99">
        <v>11096.605458727845</v>
      </c>
      <c r="P99">
        <v>11648.310343290637</v>
      </c>
      <c r="Q99">
        <v>11705.871223077451</v>
      </c>
      <c r="R99">
        <v>12162.021231248526</v>
      </c>
      <c r="S99">
        <v>12697.797549640931</v>
      </c>
      <c r="T99">
        <v>12992.367162928625</v>
      </c>
      <c r="U99">
        <v>13063.440862686894</v>
      </c>
      <c r="V99">
        <v>13182.198504199005</v>
      </c>
      <c r="W99">
        <v>13284.806809600492</v>
      </c>
      <c r="X99">
        <v>13293.959706338926</v>
      </c>
      <c r="Y99">
        <v>13101.086214174264</v>
      </c>
      <c r="Z99">
        <v>13348.937535477718</v>
      </c>
      <c r="AA99">
        <v>13331.827621000642</v>
      </c>
      <c r="AB99">
        <v>13006.487718579234</v>
      </c>
      <c r="AC99">
        <v>13081.360160828839</v>
      </c>
      <c r="AD99">
        <v>13339.646613066796</v>
      </c>
      <c r="AE99">
        <v>13805.025309105527</v>
      </c>
      <c r="AF99">
        <v>13906.520809611657</v>
      </c>
      <c r="AG99">
        <v>14803.702978914342</v>
      </c>
      <c r="AH99">
        <v>15126.124771992951</v>
      </c>
      <c r="AI99">
        <v>14654.704680232724</v>
      </c>
      <c r="AJ99">
        <v>13175.66592208733</v>
      </c>
      <c r="AK99">
        <v>14505.252671613069</v>
      </c>
      <c r="AL99">
        <v>15301.720801420213</v>
      </c>
      <c r="AM99">
        <v>15490.497407921517</v>
      </c>
      <c r="AN99">
        <v>15445.339923698515</v>
      </c>
      <c r="AO99">
        <v>15376.301577839842</v>
      </c>
      <c r="AP99">
        <v>15231.376464091118</v>
      </c>
      <c r="AQ99">
        <v>15076.248995242429</v>
      </c>
      <c r="AR99">
        <v>14806.657333829886</v>
      </c>
      <c r="AS99">
        <v>14429.62839344587</v>
      </c>
      <c r="AT99">
        <v>13977.305323691355</v>
      </c>
      <c r="AU99">
        <v>13395.578231196389</v>
      </c>
      <c r="AV99">
        <v>12653.340305867048</v>
      </c>
      <c r="AW99">
        <v>11880.938016192582</v>
      </c>
      <c r="AX99">
        <v>11006.918534888724</v>
      </c>
      <c r="AY99">
        <v>10214.307083763433</v>
      </c>
      <c r="AZ99">
        <v>9411.9006965001518</v>
      </c>
      <c r="BA99">
        <v>8611.1773622568398</v>
      </c>
      <c r="BB99">
        <v>7859.9921530176525</v>
      </c>
      <c r="BC99">
        <v>7109.8342738326137</v>
      </c>
      <c r="BD99">
        <v>6461.9102130825013</v>
      </c>
      <c r="BE99">
        <v>5859.8447465769095</v>
      </c>
      <c r="BF99">
        <v>5262.510398797599</v>
      </c>
      <c r="BG99">
        <v>4712.8734720168986</v>
      </c>
      <c r="BH99">
        <v>4133.2752131403895</v>
      </c>
      <c r="BI99">
        <v>3594.0725705877007</v>
      </c>
      <c r="BJ99">
        <v>3148.4027707572254</v>
      </c>
      <c r="BK99">
        <v>2777.5478732958895</v>
      </c>
      <c r="BL99">
        <v>2388.5409265626927</v>
      </c>
      <c r="BM99">
        <v>2108.0994737538808</v>
      </c>
      <c r="BN99">
        <v>1827.5088871335729</v>
      </c>
    </row>
    <row r="100" spans="1:66" x14ac:dyDescent="0.25">
      <c r="A100" t="s">
        <v>217</v>
      </c>
      <c r="B100" t="s">
        <v>535</v>
      </c>
      <c r="C100" t="s">
        <v>534</v>
      </c>
      <c r="D100" t="s">
        <v>522</v>
      </c>
      <c r="E100" t="s">
        <v>521</v>
      </c>
      <c r="F100">
        <v>15640.940843035291</v>
      </c>
      <c r="G100">
        <v>16150.546759988883</v>
      </c>
      <c r="H100">
        <v>17648.388786263939</v>
      </c>
      <c r="I100">
        <v>16725.370693795405</v>
      </c>
      <c r="J100">
        <v>16380.548324839787</v>
      </c>
      <c r="K100">
        <v>15499.119986501893</v>
      </c>
      <c r="L100">
        <v>16964.973485962018</v>
      </c>
      <c r="M100">
        <v>18776.307489236842</v>
      </c>
      <c r="N100">
        <v>16990.87642543549</v>
      </c>
      <c r="O100">
        <v>18068.06638576484</v>
      </c>
      <c r="P100">
        <v>18247.587022073894</v>
      </c>
      <c r="Q100">
        <v>20209.470689366266</v>
      </c>
      <c r="R100">
        <v>19699.848793804682</v>
      </c>
      <c r="S100">
        <v>20589.961823411428</v>
      </c>
      <c r="T100">
        <v>19932.694122895617</v>
      </c>
      <c r="U100">
        <v>21455.132172136808</v>
      </c>
      <c r="V100">
        <v>21734.471668911941</v>
      </c>
      <c r="W100">
        <v>20224.013693454704</v>
      </c>
      <c r="X100">
        <v>21356.548009904149</v>
      </c>
      <c r="Y100">
        <v>18870.840564758502</v>
      </c>
      <c r="Z100">
        <v>18772.299934571802</v>
      </c>
      <c r="AA100">
        <v>18114.081314169005</v>
      </c>
      <c r="AB100">
        <v>19820.47191931152</v>
      </c>
      <c r="AC100">
        <v>18884.997469550366</v>
      </c>
      <c r="AD100">
        <v>18698.599087495157</v>
      </c>
      <c r="AE100">
        <v>18478.836391393874</v>
      </c>
      <c r="AF100">
        <v>16973.70962476591</v>
      </c>
      <c r="AG100">
        <v>17531.475135032353</v>
      </c>
      <c r="AH100">
        <v>17282.73541087965</v>
      </c>
      <c r="AI100">
        <v>19152.571947895391</v>
      </c>
      <c r="AJ100">
        <v>18178.313197265285</v>
      </c>
      <c r="AK100">
        <v>18359.325191900502</v>
      </c>
      <c r="AL100">
        <v>17099.870885908171</v>
      </c>
      <c r="AM100">
        <v>16269.519402595863</v>
      </c>
      <c r="AN100">
        <v>15346.641389813591</v>
      </c>
      <c r="AO100">
        <v>14472.650486842269</v>
      </c>
      <c r="AP100">
        <v>14272.994624683242</v>
      </c>
      <c r="AQ100">
        <v>14000.952789394416</v>
      </c>
      <c r="AR100">
        <v>13687.738977584335</v>
      </c>
      <c r="AS100">
        <v>13570.067631450895</v>
      </c>
      <c r="AT100">
        <v>12603.230205566113</v>
      </c>
      <c r="AU100">
        <v>12403.067710747498</v>
      </c>
      <c r="AV100">
        <v>12137.378760516469</v>
      </c>
      <c r="AW100">
        <v>11996.860951745748</v>
      </c>
      <c r="AX100">
        <v>11800.597521726126</v>
      </c>
      <c r="AY100">
        <v>11504.488284972151</v>
      </c>
      <c r="AZ100">
        <v>11187.944289993146</v>
      </c>
      <c r="BA100">
        <v>10857.77799096761</v>
      </c>
      <c r="BB100">
        <v>10520.669705325237</v>
      </c>
      <c r="BC100">
        <v>10155.16833080614</v>
      </c>
      <c r="BD100">
        <v>9030.5254429473134</v>
      </c>
      <c r="BE100">
        <v>8681.2677552568402</v>
      </c>
      <c r="BF100">
        <v>8263.1763936144889</v>
      </c>
      <c r="BG100">
        <v>7879.1338307194383</v>
      </c>
      <c r="BH100">
        <v>7479.6309580121115</v>
      </c>
      <c r="BI100">
        <v>7056.1659559665486</v>
      </c>
      <c r="BJ100">
        <v>6611.5180424021964</v>
      </c>
      <c r="BK100">
        <v>6136.5433200279804</v>
      </c>
      <c r="BL100">
        <v>5650.5608780358725</v>
      </c>
      <c r="BM100">
        <v>5212.2794150944037</v>
      </c>
      <c r="BN100">
        <v>4850.5669086486641</v>
      </c>
    </row>
    <row r="101" spans="1:66" x14ac:dyDescent="0.25">
      <c r="A101" t="s">
        <v>217</v>
      </c>
      <c r="B101" t="s">
        <v>535</v>
      </c>
      <c r="C101" t="s">
        <v>534</v>
      </c>
      <c r="D101" t="s">
        <v>523</v>
      </c>
      <c r="E101" t="s">
        <v>521</v>
      </c>
      <c r="F101">
        <v>3429.1023206090149</v>
      </c>
      <c r="G101">
        <v>3582.0933132143959</v>
      </c>
      <c r="H101">
        <v>3230.4006797977117</v>
      </c>
      <c r="I101">
        <v>3072.4080540294026</v>
      </c>
      <c r="J101">
        <v>2943.5832063652938</v>
      </c>
      <c r="K101">
        <v>3036.6428253355557</v>
      </c>
      <c r="L101">
        <v>3231.1178764295346</v>
      </c>
      <c r="M101">
        <v>3121.0509253025539</v>
      </c>
      <c r="N101">
        <v>3108.4252054479571</v>
      </c>
      <c r="O101">
        <v>3287.2502963250704</v>
      </c>
      <c r="P101">
        <v>3324.3535917273935</v>
      </c>
      <c r="Q101">
        <v>3441.9326499549325</v>
      </c>
      <c r="R101">
        <v>3562.3255597822995</v>
      </c>
      <c r="S101">
        <v>3798.3629146741546</v>
      </c>
      <c r="T101">
        <v>3833.9993752516589</v>
      </c>
      <c r="U101">
        <v>3949.7863117346769</v>
      </c>
      <c r="V101">
        <v>4067.1636114352182</v>
      </c>
      <c r="W101">
        <v>4324.6641433976283</v>
      </c>
      <c r="X101">
        <v>4207.5754142911601</v>
      </c>
      <c r="Y101">
        <v>4156.3376144420381</v>
      </c>
      <c r="Z101">
        <v>4471.2064224286651</v>
      </c>
      <c r="AA101">
        <v>4511.1732699008671</v>
      </c>
      <c r="AB101">
        <v>4584.743425822363</v>
      </c>
      <c r="AC101">
        <v>4716.1203271304976</v>
      </c>
      <c r="AD101">
        <v>4887.0741014170871</v>
      </c>
      <c r="AE101">
        <v>5014.426570819578</v>
      </c>
      <c r="AF101">
        <v>4761.4486978313562</v>
      </c>
      <c r="AG101">
        <v>4803.9943473754338</v>
      </c>
      <c r="AH101">
        <v>4679.6792337008401</v>
      </c>
      <c r="AI101">
        <v>4713.1761267541115</v>
      </c>
      <c r="AJ101">
        <v>4482.2708369643005</v>
      </c>
      <c r="AK101">
        <v>4684.6924221093341</v>
      </c>
      <c r="AL101">
        <v>4615.5306846943822</v>
      </c>
      <c r="AM101">
        <v>4527.0774901879577</v>
      </c>
      <c r="AN101">
        <v>4561.4447140260791</v>
      </c>
      <c r="AO101">
        <v>4531.5830099871318</v>
      </c>
      <c r="AP101">
        <v>4520.2431432731046</v>
      </c>
      <c r="AQ101">
        <v>4475.9232009926682</v>
      </c>
      <c r="AR101">
        <v>4437.3438495564878</v>
      </c>
      <c r="AS101">
        <v>4418.4714579346737</v>
      </c>
      <c r="AT101">
        <v>4189.6175136617467</v>
      </c>
      <c r="AU101">
        <v>4152.7025661890157</v>
      </c>
      <c r="AV101">
        <v>4118.1638381475086</v>
      </c>
      <c r="AW101">
        <v>4074.2373670370248</v>
      </c>
      <c r="AX101">
        <v>4037.058820961443</v>
      </c>
      <c r="AY101">
        <v>4032.1997556739379</v>
      </c>
      <c r="AZ101">
        <v>3995.9161703264608</v>
      </c>
      <c r="BA101">
        <v>3975.3458681184584</v>
      </c>
      <c r="BB101">
        <v>3956.6216979861979</v>
      </c>
      <c r="BC101">
        <v>3939.8745394675066</v>
      </c>
      <c r="BD101">
        <v>3868.9310985478323</v>
      </c>
      <c r="BE101">
        <v>3857.8291521529131</v>
      </c>
      <c r="BF101">
        <v>3849.1543209366041</v>
      </c>
      <c r="BG101">
        <v>3844.9585287107939</v>
      </c>
      <c r="BH101">
        <v>3843.2882370622556</v>
      </c>
      <c r="BI101">
        <v>3843.9088929607183</v>
      </c>
      <c r="BJ101">
        <v>3847.4001159475315</v>
      </c>
      <c r="BK101">
        <v>3853.83891593199</v>
      </c>
      <c r="BL101">
        <v>3862.0590012565413</v>
      </c>
      <c r="BM101">
        <v>3871.3081527366885</v>
      </c>
      <c r="BN101">
        <v>3883.1322715546034</v>
      </c>
    </row>
    <row r="102" spans="1:66" x14ac:dyDescent="0.25">
      <c r="A102" t="s">
        <v>217</v>
      </c>
      <c r="B102" t="s">
        <v>535</v>
      </c>
      <c r="C102" t="s">
        <v>534</v>
      </c>
      <c r="D102" t="s">
        <v>524</v>
      </c>
      <c r="E102" t="s">
        <v>521</v>
      </c>
      <c r="F102">
        <v>1816.6596733237263</v>
      </c>
      <c r="G102">
        <v>1893.7218802684215</v>
      </c>
      <c r="H102">
        <v>1971.3222733100288</v>
      </c>
      <c r="I102">
        <v>2049.4503492491226</v>
      </c>
      <c r="J102">
        <v>1947.5325263313807</v>
      </c>
      <c r="K102">
        <v>2023.8252549837712</v>
      </c>
      <c r="L102">
        <v>2102.1656796823004</v>
      </c>
      <c r="M102">
        <v>2125.7547716447093</v>
      </c>
      <c r="N102">
        <v>2086.8629737313777</v>
      </c>
      <c r="O102">
        <v>2084.0346339247499</v>
      </c>
      <c r="P102">
        <v>2103.6901401299438</v>
      </c>
      <c r="Q102">
        <v>2134.2537068539705</v>
      </c>
      <c r="R102">
        <v>2173.5947283527944</v>
      </c>
      <c r="S102">
        <v>2101.4028129686244</v>
      </c>
      <c r="T102">
        <v>2124.9026062551302</v>
      </c>
      <c r="U102">
        <v>2134.5667014321762</v>
      </c>
      <c r="V102">
        <v>1957.2003317893241</v>
      </c>
      <c r="W102">
        <v>1922.5694677164029</v>
      </c>
      <c r="X102">
        <v>1846.56179242198</v>
      </c>
      <c r="Y102">
        <v>1723.3205496528278</v>
      </c>
      <c r="Z102">
        <v>1665.7456629024559</v>
      </c>
      <c r="AA102">
        <v>1519.6605558608351</v>
      </c>
      <c r="AB102">
        <v>1410.5413176396301</v>
      </c>
      <c r="AC102">
        <v>1359.9084848190901</v>
      </c>
      <c r="AD102">
        <v>1314.1708670740722</v>
      </c>
      <c r="AE102">
        <v>1275.9271345153275</v>
      </c>
      <c r="AF102">
        <v>1246.0586846922251</v>
      </c>
      <c r="AG102">
        <v>1214.8602401561525</v>
      </c>
      <c r="AH102">
        <v>1156.3598029499428</v>
      </c>
      <c r="AI102">
        <v>1114.3950725962225</v>
      </c>
      <c r="AJ102">
        <v>1075.3643344180375</v>
      </c>
      <c r="AK102">
        <v>1058.4109684228663</v>
      </c>
      <c r="AL102">
        <v>1033.212300658286</v>
      </c>
      <c r="AM102">
        <v>996.3164129459052</v>
      </c>
      <c r="AN102">
        <v>960.78960512158892</v>
      </c>
      <c r="AO102">
        <v>925.04832155596773</v>
      </c>
      <c r="AP102">
        <v>889.02457419959956</v>
      </c>
      <c r="AQ102">
        <v>853.30502435548965</v>
      </c>
      <c r="AR102">
        <v>818.06085119369118</v>
      </c>
      <c r="AS102">
        <v>783.33888514538035</v>
      </c>
      <c r="AT102">
        <v>749.00661600423484</v>
      </c>
      <c r="AU102">
        <v>713.12299893040836</v>
      </c>
      <c r="AV102">
        <v>681.75265381906581</v>
      </c>
      <c r="AW102">
        <v>653.07251772298503</v>
      </c>
      <c r="AX102">
        <v>626.11264777642305</v>
      </c>
      <c r="AY102">
        <v>600.52316314937514</v>
      </c>
      <c r="AZ102">
        <v>575.86587763045134</v>
      </c>
      <c r="BA102">
        <v>552.05563434795374</v>
      </c>
      <c r="BB102">
        <v>529.03379695458602</v>
      </c>
      <c r="BC102">
        <v>506.69177205864327</v>
      </c>
      <c r="BD102">
        <v>485.08300206828466</v>
      </c>
      <c r="BE102">
        <v>465.02988086753226</v>
      </c>
      <c r="BF102">
        <v>445.48055289878113</v>
      </c>
      <c r="BG102">
        <v>426.42962227669557</v>
      </c>
      <c r="BH102">
        <v>407.82667776884568</v>
      </c>
      <c r="BI102">
        <v>389.73655503451369</v>
      </c>
      <c r="BJ102">
        <v>372.05944067249334</v>
      </c>
      <c r="BK102">
        <v>354.75156639017149</v>
      </c>
      <c r="BL102">
        <v>337.84939136662678</v>
      </c>
      <c r="BM102">
        <v>321.36782763857866</v>
      </c>
      <c r="BN102">
        <v>305.31110019557548</v>
      </c>
    </row>
    <row r="103" spans="1:66" x14ac:dyDescent="0.25">
      <c r="A103" t="s">
        <v>217</v>
      </c>
      <c r="B103" t="s">
        <v>535</v>
      </c>
      <c r="C103" t="s">
        <v>534</v>
      </c>
      <c r="D103" t="s">
        <v>525</v>
      </c>
      <c r="E103" t="s">
        <v>521</v>
      </c>
      <c r="F103">
        <v>29012.897398845394</v>
      </c>
      <c r="G103">
        <v>29733.023075344903</v>
      </c>
      <c r="H103">
        <v>31320.108193971439</v>
      </c>
      <c r="I103">
        <v>30769.917679558341</v>
      </c>
      <c r="J103">
        <v>30855.464305886358</v>
      </c>
      <c r="K103">
        <v>30807.15278760434</v>
      </c>
      <c r="L103">
        <v>32676.98144102552</v>
      </c>
      <c r="M103">
        <v>34628.447074801872</v>
      </c>
      <c r="N103">
        <v>32996.622945367468</v>
      </c>
      <c r="O103">
        <v>34535.956774742503</v>
      </c>
      <c r="P103">
        <v>35323.941097221861</v>
      </c>
      <c r="Q103">
        <v>37491.528269252616</v>
      </c>
      <c r="R103">
        <v>37597.790313188299</v>
      </c>
      <c r="S103">
        <v>39187.525100695137</v>
      </c>
      <c r="T103">
        <v>38883.963267331026</v>
      </c>
      <c r="U103">
        <v>40602.92604799055</v>
      </c>
      <c r="V103">
        <v>40941.03411633549</v>
      </c>
      <c r="W103">
        <v>39756.054114169223</v>
      </c>
      <c r="X103">
        <v>40704.644922956213</v>
      </c>
      <c r="Y103">
        <v>37851.584943027628</v>
      </c>
      <c r="Z103">
        <v>38258.189555380639</v>
      </c>
      <c r="AA103">
        <v>37476.742760931345</v>
      </c>
      <c r="AB103">
        <v>38822.24438135275</v>
      </c>
      <c r="AC103">
        <v>38042.386442328796</v>
      </c>
      <c r="AD103">
        <v>38239.490669053106</v>
      </c>
      <c r="AE103">
        <v>38574.2154058343</v>
      </c>
      <c r="AF103">
        <v>36887.73781690115</v>
      </c>
      <c r="AG103">
        <v>38354.032701478282</v>
      </c>
      <c r="AH103">
        <v>38244.89921952338</v>
      </c>
      <c r="AI103">
        <v>39634.847827478443</v>
      </c>
      <c r="AJ103">
        <v>36911.614290734949</v>
      </c>
      <c r="AK103">
        <v>38607.681254045776</v>
      </c>
      <c r="AL103">
        <v>38050.334672681056</v>
      </c>
      <c r="AM103">
        <v>37283.410713651239</v>
      </c>
      <c r="AN103">
        <v>36314.215632659776</v>
      </c>
      <c r="AO103">
        <v>35305.583396225207</v>
      </c>
      <c r="AP103">
        <v>34913.638806247058</v>
      </c>
      <c r="AQ103">
        <v>34406.430009985008</v>
      </c>
      <c r="AR103">
        <v>33749.801012164397</v>
      </c>
      <c r="AS103">
        <v>33201.506367976821</v>
      </c>
      <c r="AT103">
        <v>31519.159658923447</v>
      </c>
      <c r="AU103">
        <v>30664.47150706331</v>
      </c>
      <c r="AV103">
        <v>29590.635558350092</v>
      </c>
      <c r="AW103">
        <v>28605.10885269834</v>
      </c>
      <c r="AX103">
        <v>27470.687525352714</v>
      </c>
      <c r="AY103">
        <v>26351.518287558894</v>
      </c>
      <c r="AZ103">
        <v>25171.627034450212</v>
      </c>
      <c r="BA103">
        <v>23996.356855690865</v>
      </c>
      <c r="BB103">
        <v>22866.317353283674</v>
      </c>
      <c r="BC103">
        <v>21711.568916164902</v>
      </c>
      <c r="BD103">
        <v>19846.449756645932</v>
      </c>
      <c r="BE103">
        <v>18863.971534854194</v>
      </c>
      <c r="BF103">
        <v>17820.321666247473</v>
      </c>
      <c r="BG103">
        <v>16863.395453723828</v>
      </c>
      <c r="BH103">
        <v>15864.021085983602</v>
      </c>
      <c r="BI103">
        <v>14883.883974549481</v>
      </c>
      <c r="BJ103">
        <v>13979.380369779448</v>
      </c>
      <c r="BK103">
        <v>13122.681675646032</v>
      </c>
      <c r="BL103">
        <v>12239.010197221733</v>
      </c>
      <c r="BM103">
        <v>11513.054869223552</v>
      </c>
      <c r="BN103">
        <v>10866.519167532415</v>
      </c>
    </row>
    <row r="104" spans="1:66" x14ac:dyDescent="0.25">
      <c r="A104" t="s">
        <v>218</v>
      </c>
      <c r="B104" t="s">
        <v>535</v>
      </c>
      <c r="C104" t="s">
        <v>526</v>
      </c>
      <c r="D104" t="s">
        <v>518</v>
      </c>
      <c r="E104" t="s">
        <v>519</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11.416538041464802</v>
      </c>
      <c r="AA104">
        <v>8.7327708333333316</v>
      </c>
      <c r="AB104">
        <v>2.2770791666666668</v>
      </c>
      <c r="AC104">
        <v>1.3566666666666667</v>
      </c>
      <c r="AD104">
        <v>1.9666666666666663</v>
      </c>
      <c r="AE104">
        <v>4.4622309027777769</v>
      </c>
      <c r="AF104">
        <v>7.7698003472222208</v>
      </c>
      <c r="AG104">
        <v>11.941235920833332</v>
      </c>
      <c r="AH104">
        <v>18.817684762500001</v>
      </c>
      <c r="AI104">
        <v>24.5</v>
      </c>
      <c r="AJ104">
        <v>30</v>
      </c>
      <c r="AK104">
        <v>46.305643178011259</v>
      </c>
      <c r="AL104">
        <v>69.696559398715706</v>
      </c>
      <c r="AM104">
        <v>0.01</v>
      </c>
      <c r="AN104">
        <v>0.01</v>
      </c>
      <c r="AO104">
        <v>0.01</v>
      </c>
      <c r="AP104">
        <v>0.01</v>
      </c>
      <c r="AQ104">
        <v>0.01</v>
      </c>
      <c r="AR104">
        <v>0.01</v>
      </c>
      <c r="AS104">
        <v>0.01</v>
      </c>
      <c r="AT104">
        <v>0.01</v>
      </c>
      <c r="AU104">
        <v>0.01</v>
      </c>
      <c r="AV104">
        <v>0.01</v>
      </c>
      <c r="AW104">
        <v>0.01</v>
      </c>
      <c r="AX104">
        <v>0.01</v>
      </c>
      <c r="AY104">
        <v>0.01</v>
      </c>
      <c r="AZ104">
        <v>0.01</v>
      </c>
      <c r="BA104">
        <v>0.01</v>
      </c>
      <c r="BB104">
        <v>0.01</v>
      </c>
      <c r="BC104">
        <v>0.01</v>
      </c>
      <c r="BD104">
        <v>0.01</v>
      </c>
      <c r="BE104">
        <v>0.01</v>
      </c>
      <c r="BF104">
        <v>0.01</v>
      </c>
      <c r="BG104">
        <v>0.01</v>
      </c>
      <c r="BH104">
        <v>0.01</v>
      </c>
      <c r="BI104">
        <v>0.01</v>
      </c>
      <c r="BJ104">
        <v>0.01</v>
      </c>
      <c r="BK104">
        <v>0.01</v>
      </c>
      <c r="BL104">
        <v>0.01</v>
      </c>
      <c r="BM104">
        <v>0.01</v>
      </c>
      <c r="BN104">
        <v>0.01</v>
      </c>
    </row>
    <row r="105" spans="1:66" x14ac:dyDescent="0.25">
      <c r="A105" t="s">
        <v>218</v>
      </c>
      <c r="B105" t="s">
        <v>535</v>
      </c>
      <c r="C105" t="s">
        <v>526</v>
      </c>
      <c r="D105" t="s">
        <v>520</v>
      </c>
      <c r="E105" t="s">
        <v>521</v>
      </c>
      <c r="F105">
        <v>8126.1945618773643</v>
      </c>
      <c r="G105">
        <v>8106.661121873205</v>
      </c>
      <c r="H105">
        <v>8469.9964545997555</v>
      </c>
      <c r="I105">
        <v>8922.6885824844103</v>
      </c>
      <c r="J105">
        <v>9583.8002483498967</v>
      </c>
      <c r="K105">
        <v>10247.564720783123</v>
      </c>
      <c r="L105">
        <v>10378.724398951666</v>
      </c>
      <c r="M105">
        <v>10605.333888617772</v>
      </c>
      <c r="N105">
        <v>10810.458340752642</v>
      </c>
      <c r="O105">
        <v>11096.605458727845</v>
      </c>
      <c r="P105">
        <v>11648.310343290637</v>
      </c>
      <c r="Q105">
        <v>11705.871223077451</v>
      </c>
      <c r="R105">
        <v>12162.021231248526</v>
      </c>
      <c r="S105">
        <v>12697.797549640931</v>
      </c>
      <c r="T105">
        <v>12992.367162928625</v>
      </c>
      <c r="U105">
        <v>13063.440862686894</v>
      </c>
      <c r="V105">
        <v>13182.198504199005</v>
      </c>
      <c r="W105">
        <v>13284.806809600492</v>
      </c>
      <c r="X105">
        <v>13293.959706338926</v>
      </c>
      <c r="Y105">
        <v>13101.086214174264</v>
      </c>
      <c r="Z105">
        <v>13348.937535477718</v>
      </c>
      <c r="AA105">
        <v>13331.827621000642</v>
      </c>
      <c r="AB105">
        <v>13006.487718579234</v>
      </c>
      <c r="AC105">
        <v>13081.360160828839</v>
      </c>
      <c r="AD105">
        <v>13339.646613066796</v>
      </c>
      <c r="AE105">
        <v>13805.025309105527</v>
      </c>
      <c r="AF105">
        <v>13906.520809611657</v>
      </c>
      <c r="AG105">
        <v>14803.702978914342</v>
      </c>
      <c r="AH105">
        <v>15126.124771992951</v>
      </c>
      <c r="AI105">
        <v>14654.704680232724</v>
      </c>
      <c r="AJ105">
        <v>13175.66592208733</v>
      </c>
      <c r="AK105">
        <v>14505.252671613069</v>
      </c>
      <c r="AL105">
        <v>15301.720802414695</v>
      </c>
      <c r="AM105">
        <v>15496.286617243128</v>
      </c>
      <c r="AN105">
        <v>15458.241755588624</v>
      </c>
      <c r="AO105">
        <v>15397.370184803076</v>
      </c>
      <c r="AP105">
        <v>15271.531892189252</v>
      </c>
      <c r="AQ105">
        <v>15147.3027816664</v>
      </c>
      <c r="AR105">
        <v>14909.274877317879</v>
      </c>
      <c r="AS105">
        <v>14573.455943228459</v>
      </c>
      <c r="AT105">
        <v>14172.988763660116</v>
      </c>
      <c r="AU105">
        <v>13605.238022377069</v>
      </c>
      <c r="AV105">
        <v>12886.862081057017</v>
      </c>
      <c r="AW105">
        <v>12135.420204106904</v>
      </c>
      <c r="AX105">
        <v>11372.523257328985</v>
      </c>
      <c r="AY105">
        <v>10530.742168636911</v>
      </c>
      <c r="AZ105">
        <v>9740.6566163109419</v>
      </c>
      <c r="BA105">
        <v>8970.3250807531022</v>
      </c>
      <c r="BB105">
        <v>8199.1467697552162</v>
      </c>
      <c r="BC105">
        <v>7511.4589400725827</v>
      </c>
      <c r="BD105">
        <v>6884.9715006645156</v>
      </c>
      <c r="BE105">
        <v>6236.8207448257717</v>
      </c>
      <c r="BF105">
        <v>5731.017046494776</v>
      </c>
      <c r="BG105">
        <v>5160.2542058709996</v>
      </c>
      <c r="BH105">
        <v>4613.6012412164619</v>
      </c>
      <c r="BI105">
        <v>4117.5710397035091</v>
      </c>
      <c r="BJ105">
        <v>3617.7793333890477</v>
      </c>
      <c r="BK105">
        <v>3170.9405211160606</v>
      </c>
      <c r="BL105">
        <v>2772.7081223410619</v>
      </c>
      <c r="BM105">
        <v>2396.2804679933615</v>
      </c>
      <c r="BN105">
        <v>2138.8222429056582</v>
      </c>
    </row>
    <row r="106" spans="1:66" x14ac:dyDescent="0.25">
      <c r="A106" t="s">
        <v>218</v>
      </c>
      <c r="B106" t="s">
        <v>535</v>
      </c>
      <c r="C106" t="s">
        <v>526</v>
      </c>
      <c r="D106" t="s">
        <v>522</v>
      </c>
      <c r="E106" t="s">
        <v>521</v>
      </c>
      <c r="F106">
        <v>15640.940843035291</v>
      </c>
      <c r="G106">
        <v>16150.546759988883</v>
      </c>
      <c r="H106">
        <v>17648.388786263939</v>
      </c>
      <c r="I106">
        <v>16725.370693795405</v>
      </c>
      <c r="J106">
        <v>16380.548324839787</v>
      </c>
      <c r="K106">
        <v>15499.119986501893</v>
      </c>
      <c r="L106">
        <v>16964.973485962018</v>
      </c>
      <c r="M106">
        <v>18776.307489236842</v>
      </c>
      <c r="N106">
        <v>16990.87642543549</v>
      </c>
      <c r="O106">
        <v>18068.06638576484</v>
      </c>
      <c r="P106">
        <v>18247.587022073894</v>
      </c>
      <c r="Q106">
        <v>20209.470689366266</v>
      </c>
      <c r="R106">
        <v>19699.848793804682</v>
      </c>
      <c r="S106">
        <v>20589.961823411428</v>
      </c>
      <c r="T106">
        <v>19932.694122895617</v>
      </c>
      <c r="U106">
        <v>21455.132172136808</v>
      </c>
      <c r="V106">
        <v>21734.471668911941</v>
      </c>
      <c r="W106">
        <v>20224.013693454704</v>
      </c>
      <c r="X106">
        <v>21356.548009904149</v>
      </c>
      <c r="Y106">
        <v>18870.840564758502</v>
      </c>
      <c r="Z106">
        <v>18772.299934571802</v>
      </c>
      <c r="AA106">
        <v>18114.081314169005</v>
      </c>
      <c r="AB106">
        <v>19820.47191931152</v>
      </c>
      <c r="AC106">
        <v>18884.997469550366</v>
      </c>
      <c r="AD106">
        <v>18698.599087495157</v>
      </c>
      <c r="AE106">
        <v>18478.836391393874</v>
      </c>
      <c r="AF106">
        <v>16973.70962476591</v>
      </c>
      <c r="AG106">
        <v>17531.475135032353</v>
      </c>
      <c r="AH106">
        <v>17282.73541087965</v>
      </c>
      <c r="AI106">
        <v>19152.571947895391</v>
      </c>
      <c r="AJ106">
        <v>18178.313197265285</v>
      </c>
      <c r="AK106">
        <v>18391.551846168222</v>
      </c>
      <c r="AL106">
        <v>17221.567715113517</v>
      </c>
      <c r="AM106">
        <v>16672.209171373557</v>
      </c>
      <c r="AN106">
        <v>16000.235058289945</v>
      </c>
      <c r="AO106">
        <v>15855.705281796954</v>
      </c>
      <c r="AP106">
        <v>16021.367475409579</v>
      </c>
      <c r="AQ106">
        <v>16189.218817980614</v>
      </c>
      <c r="AR106">
        <v>16394.699554821294</v>
      </c>
      <c r="AS106">
        <v>16627.438976475649</v>
      </c>
      <c r="AT106">
        <v>16104.477679913833</v>
      </c>
      <c r="AU106">
        <v>16441.263411620872</v>
      </c>
      <c r="AV106">
        <v>16907.339803245704</v>
      </c>
      <c r="AW106">
        <v>17481.178121607103</v>
      </c>
      <c r="AX106">
        <v>18087.450606267874</v>
      </c>
      <c r="AY106">
        <v>18769.930210011524</v>
      </c>
      <c r="AZ106">
        <v>19548.955434527885</v>
      </c>
      <c r="BA106">
        <v>20398.056844585302</v>
      </c>
      <c r="BB106">
        <v>21279.026284273157</v>
      </c>
      <c r="BC106">
        <v>13338.788767038903</v>
      </c>
      <c r="BD106">
        <v>12439.931113420791</v>
      </c>
      <c r="BE106">
        <v>12338.035438096942</v>
      </c>
      <c r="BF106">
        <v>12221.119182525807</v>
      </c>
      <c r="BG106">
        <v>12042.98892550985</v>
      </c>
      <c r="BH106">
        <v>11814.156112336952</v>
      </c>
      <c r="BI106">
        <v>11547.398800513834</v>
      </c>
      <c r="BJ106">
        <v>11219.661976182513</v>
      </c>
      <c r="BK106">
        <v>10851.905778534418</v>
      </c>
      <c r="BL106">
        <v>10482.569082741551</v>
      </c>
      <c r="BM106">
        <v>10112.548066320996</v>
      </c>
      <c r="BN106">
        <v>9763.8270549019162</v>
      </c>
    </row>
    <row r="107" spans="1:66" x14ac:dyDescent="0.25">
      <c r="A107" t="s">
        <v>218</v>
      </c>
      <c r="B107" t="s">
        <v>535</v>
      </c>
      <c r="C107" t="s">
        <v>526</v>
      </c>
      <c r="D107" t="s">
        <v>523</v>
      </c>
      <c r="E107" t="s">
        <v>521</v>
      </c>
      <c r="F107">
        <v>3429.1023206090149</v>
      </c>
      <c r="G107">
        <v>3582.0933132143959</v>
      </c>
      <c r="H107">
        <v>3230.4006797977117</v>
      </c>
      <c r="I107">
        <v>3072.4080540294026</v>
      </c>
      <c r="J107">
        <v>2943.5832063652938</v>
      </c>
      <c r="K107">
        <v>3036.6428253355557</v>
      </c>
      <c r="L107">
        <v>3231.1178764295346</v>
      </c>
      <c r="M107">
        <v>3121.0509253025539</v>
      </c>
      <c r="N107">
        <v>3108.4252054479571</v>
      </c>
      <c r="O107">
        <v>3287.2502963250704</v>
      </c>
      <c r="P107">
        <v>3324.3535917273935</v>
      </c>
      <c r="Q107">
        <v>3441.9326499549325</v>
      </c>
      <c r="R107">
        <v>3562.3255597822995</v>
      </c>
      <c r="S107">
        <v>3798.3629146741546</v>
      </c>
      <c r="T107">
        <v>3833.9993752516589</v>
      </c>
      <c r="U107">
        <v>3949.7863117346769</v>
      </c>
      <c r="V107">
        <v>4067.1636114352182</v>
      </c>
      <c r="W107">
        <v>4324.6641433976283</v>
      </c>
      <c r="X107">
        <v>4207.5754142911601</v>
      </c>
      <c r="Y107">
        <v>4156.3376144420381</v>
      </c>
      <c r="Z107">
        <v>4471.2064224286651</v>
      </c>
      <c r="AA107">
        <v>4511.1732699008671</v>
      </c>
      <c r="AB107">
        <v>4584.743425822363</v>
      </c>
      <c r="AC107">
        <v>4716.1203271304976</v>
      </c>
      <c r="AD107">
        <v>4887.0741014170871</v>
      </c>
      <c r="AE107">
        <v>5014.426570819578</v>
      </c>
      <c r="AF107">
        <v>4761.4486978313562</v>
      </c>
      <c r="AG107">
        <v>4803.9943473754338</v>
      </c>
      <c r="AH107">
        <v>4679.6792337008401</v>
      </c>
      <c r="AI107">
        <v>4713.1761267541115</v>
      </c>
      <c r="AJ107">
        <v>4482.2708369643005</v>
      </c>
      <c r="AK107">
        <v>4684.6924221093341</v>
      </c>
      <c r="AL107">
        <v>4615.5306846943831</v>
      </c>
      <c r="AM107">
        <v>4527.0774901879577</v>
      </c>
      <c r="AN107">
        <v>4561.4447140260791</v>
      </c>
      <c r="AO107">
        <v>4531.5830099871318</v>
      </c>
      <c r="AP107">
        <v>4520.2431432731055</v>
      </c>
      <c r="AQ107">
        <v>4475.9232009926691</v>
      </c>
      <c r="AR107">
        <v>4437.3438495564887</v>
      </c>
      <c r="AS107">
        <v>4418.4714579346737</v>
      </c>
      <c r="AT107">
        <v>4189.6175136617467</v>
      </c>
      <c r="AU107">
        <v>4152.7025661890148</v>
      </c>
      <c r="AV107">
        <v>4118.1638381475086</v>
      </c>
      <c r="AW107">
        <v>4074.2373670370253</v>
      </c>
      <c r="AX107">
        <v>4037.0588209614434</v>
      </c>
      <c r="AY107">
        <v>4032.1997556739384</v>
      </c>
      <c r="AZ107">
        <v>3995.9161703264613</v>
      </c>
      <c r="BA107">
        <v>3975.3458681184584</v>
      </c>
      <c r="BB107">
        <v>3956.6216979861979</v>
      </c>
      <c r="BC107">
        <v>3939.874539467507</v>
      </c>
      <c r="BD107">
        <v>3868.9310985478323</v>
      </c>
      <c r="BE107">
        <v>3857.8291521529131</v>
      </c>
      <c r="BF107">
        <v>3849.1543209366041</v>
      </c>
      <c r="BG107">
        <v>3844.9585287107934</v>
      </c>
      <c r="BH107">
        <v>3843.2882370622556</v>
      </c>
      <c r="BI107">
        <v>3843.9088929607183</v>
      </c>
      <c r="BJ107">
        <v>3847.400115947531</v>
      </c>
      <c r="BK107">
        <v>3853.83891593199</v>
      </c>
      <c r="BL107">
        <v>3862.0590012565413</v>
      </c>
      <c r="BM107">
        <v>3871.308152736688</v>
      </c>
      <c r="BN107">
        <v>3883.1322715546039</v>
      </c>
    </row>
    <row r="108" spans="1:66" x14ac:dyDescent="0.25">
      <c r="A108" t="s">
        <v>218</v>
      </c>
      <c r="B108" t="s">
        <v>535</v>
      </c>
      <c r="C108" t="s">
        <v>526</v>
      </c>
      <c r="D108" t="s">
        <v>524</v>
      </c>
      <c r="E108" t="s">
        <v>521</v>
      </c>
      <c r="F108">
        <v>1816.6596733237263</v>
      </c>
      <c r="G108">
        <v>1893.7218802684215</v>
      </c>
      <c r="H108">
        <v>1971.3222733100288</v>
      </c>
      <c r="I108">
        <v>2049.4503492491226</v>
      </c>
      <c r="J108">
        <v>1947.5325263313807</v>
      </c>
      <c r="K108">
        <v>2023.8252549837712</v>
      </c>
      <c r="L108">
        <v>2102.1656796823004</v>
      </c>
      <c r="M108">
        <v>2125.7547716447093</v>
      </c>
      <c r="N108">
        <v>2086.8629737313777</v>
      </c>
      <c r="O108">
        <v>2084.0346339247499</v>
      </c>
      <c r="P108">
        <v>2103.6901401299438</v>
      </c>
      <c r="Q108">
        <v>2134.2537068539705</v>
      </c>
      <c r="R108">
        <v>2173.5947283527944</v>
      </c>
      <c r="S108">
        <v>2101.4028129686244</v>
      </c>
      <c r="T108">
        <v>2124.9026062551302</v>
      </c>
      <c r="U108">
        <v>2134.5667014321762</v>
      </c>
      <c r="V108">
        <v>1957.2003317893241</v>
      </c>
      <c r="W108">
        <v>1922.5694677164029</v>
      </c>
      <c r="X108">
        <v>1846.56179242198</v>
      </c>
      <c r="Y108">
        <v>1723.3205496528278</v>
      </c>
      <c r="Z108">
        <v>1665.7456629024559</v>
      </c>
      <c r="AA108">
        <v>1519.6605558608351</v>
      </c>
      <c r="AB108">
        <v>1410.5413176396301</v>
      </c>
      <c r="AC108">
        <v>1359.9084848190901</v>
      </c>
      <c r="AD108">
        <v>1314.1708670740722</v>
      </c>
      <c r="AE108">
        <v>1275.9271345153275</v>
      </c>
      <c r="AF108">
        <v>1246.0586846922251</v>
      </c>
      <c r="AG108">
        <v>1214.8602401561525</v>
      </c>
      <c r="AH108">
        <v>1156.3598029499428</v>
      </c>
      <c r="AI108">
        <v>1114.3950725962225</v>
      </c>
      <c r="AJ108">
        <v>1075.3643344180375</v>
      </c>
      <c r="AK108">
        <v>1058.4109684228663</v>
      </c>
      <c r="AL108">
        <v>1033.212300658286</v>
      </c>
      <c r="AM108">
        <v>996.3164129459052</v>
      </c>
      <c r="AN108">
        <v>960.78960512158892</v>
      </c>
      <c r="AO108">
        <v>925.04832155596773</v>
      </c>
      <c r="AP108">
        <v>889.02457419959956</v>
      </c>
      <c r="AQ108">
        <v>853.30502435548965</v>
      </c>
      <c r="AR108">
        <v>818.06085119369118</v>
      </c>
      <c r="AS108">
        <v>783.33888514538035</v>
      </c>
      <c r="AT108">
        <v>749.00661600423484</v>
      </c>
      <c r="AU108">
        <v>713.12299893040836</v>
      </c>
      <c r="AV108">
        <v>681.75265381906581</v>
      </c>
      <c r="AW108">
        <v>653.07251772298503</v>
      </c>
      <c r="AX108">
        <v>626.11264777642305</v>
      </c>
      <c r="AY108">
        <v>600.52316314937514</v>
      </c>
      <c r="AZ108">
        <v>575.86587763045134</v>
      </c>
      <c r="BA108">
        <v>552.05563434795374</v>
      </c>
      <c r="BB108">
        <v>529.03379695458602</v>
      </c>
      <c r="BC108">
        <v>506.69177205864327</v>
      </c>
      <c r="BD108">
        <v>485.08300206828466</v>
      </c>
      <c r="BE108">
        <v>465.02988086753226</v>
      </c>
      <c r="BF108">
        <v>445.48055289878113</v>
      </c>
      <c r="BG108">
        <v>426.42962227669557</v>
      </c>
      <c r="BH108">
        <v>407.82667776884568</v>
      </c>
      <c r="BI108">
        <v>389.73655503451369</v>
      </c>
      <c r="BJ108">
        <v>372.05944067249334</v>
      </c>
      <c r="BK108">
        <v>354.75156639017149</v>
      </c>
      <c r="BL108">
        <v>337.84939136662678</v>
      </c>
      <c r="BM108">
        <v>321.36782763857866</v>
      </c>
      <c r="BN108">
        <v>305.31110019557548</v>
      </c>
    </row>
    <row r="109" spans="1:66" x14ac:dyDescent="0.25">
      <c r="A109" t="s">
        <v>218</v>
      </c>
      <c r="B109" t="s">
        <v>535</v>
      </c>
      <c r="C109" t="s">
        <v>526</v>
      </c>
      <c r="D109" t="s">
        <v>525</v>
      </c>
      <c r="E109" t="s">
        <v>521</v>
      </c>
      <c r="F109">
        <v>29012.897398845394</v>
      </c>
      <c r="G109">
        <v>29733.023075344903</v>
      </c>
      <c r="H109">
        <v>31320.108193971439</v>
      </c>
      <c r="I109">
        <v>30769.917679558341</v>
      </c>
      <c r="J109">
        <v>30855.464305886358</v>
      </c>
      <c r="K109">
        <v>30807.15278760434</v>
      </c>
      <c r="L109">
        <v>32676.98144102552</v>
      </c>
      <c r="M109">
        <v>34628.447074801872</v>
      </c>
      <c r="N109">
        <v>32996.622945367468</v>
      </c>
      <c r="O109">
        <v>34535.956774742503</v>
      </c>
      <c r="P109">
        <v>35323.941097221861</v>
      </c>
      <c r="Q109">
        <v>37491.528269252616</v>
      </c>
      <c r="R109">
        <v>37597.790313188299</v>
      </c>
      <c r="S109">
        <v>39187.525100695137</v>
      </c>
      <c r="T109">
        <v>38883.963267331026</v>
      </c>
      <c r="U109">
        <v>40602.92604799055</v>
      </c>
      <c r="V109">
        <v>40941.03411633549</v>
      </c>
      <c r="W109">
        <v>39756.054114169223</v>
      </c>
      <c r="X109">
        <v>40704.644922956213</v>
      </c>
      <c r="Y109">
        <v>37851.584943027628</v>
      </c>
      <c r="Z109">
        <v>38258.189555380639</v>
      </c>
      <c r="AA109">
        <v>37476.742760931345</v>
      </c>
      <c r="AB109">
        <v>38822.24438135275</v>
      </c>
      <c r="AC109">
        <v>38042.386442328796</v>
      </c>
      <c r="AD109">
        <v>38239.490669053106</v>
      </c>
      <c r="AE109">
        <v>38574.2154058343</v>
      </c>
      <c r="AF109">
        <v>36887.73781690115</v>
      </c>
      <c r="AG109">
        <v>38354.032701478282</v>
      </c>
      <c r="AH109">
        <v>38244.89921952338</v>
      </c>
      <c r="AI109">
        <v>39634.847827478443</v>
      </c>
      <c r="AJ109">
        <v>36911.614290734949</v>
      </c>
      <c r="AK109">
        <v>38639.907908313493</v>
      </c>
      <c r="AL109">
        <v>38172.031502880884</v>
      </c>
      <c r="AM109">
        <v>37691.889691750548</v>
      </c>
      <c r="AN109">
        <v>36980.711133026234</v>
      </c>
      <c r="AO109">
        <v>36709.706798143125</v>
      </c>
      <c r="AP109">
        <v>36702.167085071531</v>
      </c>
      <c r="AQ109">
        <v>36665.749824995175</v>
      </c>
      <c r="AR109">
        <v>36559.379132889349</v>
      </c>
      <c r="AS109">
        <v>36402.705262784162</v>
      </c>
      <c r="AT109">
        <v>35216.090573239926</v>
      </c>
      <c r="AU109">
        <v>34912.326999117358</v>
      </c>
      <c r="AV109">
        <v>34594.118376269296</v>
      </c>
      <c r="AW109">
        <v>34343.908210474016</v>
      </c>
      <c r="AX109">
        <v>34123.14533233473</v>
      </c>
      <c r="AY109">
        <v>33933.395297471747</v>
      </c>
      <c r="AZ109">
        <v>33861.394098795739</v>
      </c>
      <c r="BA109">
        <v>33895.783427804818</v>
      </c>
      <c r="BB109">
        <v>33963.828548969163</v>
      </c>
      <c r="BC109">
        <v>25296.814018637633</v>
      </c>
      <c r="BD109">
        <v>23678.916714701423</v>
      </c>
      <c r="BE109">
        <v>22897.715215943161</v>
      </c>
      <c r="BF109">
        <v>22246.771102855968</v>
      </c>
      <c r="BG109">
        <v>21474.63128236834</v>
      </c>
      <c r="BH109">
        <v>20678.872268384515</v>
      </c>
      <c r="BI109">
        <v>19898.615288212575</v>
      </c>
      <c r="BJ109">
        <v>19056.900866191583</v>
      </c>
      <c r="BK109">
        <v>18231.436781972639</v>
      </c>
      <c r="BL109">
        <v>17455.185597705782</v>
      </c>
      <c r="BM109">
        <v>16701.504514689626</v>
      </c>
      <c r="BN109">
        <v>16091.092669557753</v>
      </c>
    </row>
    <row r="110" spans="1:66" x14ac:dyDescent="0.25">
      <c r="A110" t="s">
        <v>219</v>
      </c>
      <c r="B110" t="s">
        <v>536</v>
      </c>
      <c r="C110" t="s">
        <v>528</v>
      </c>
      <c r="D110" t="s">
        <v>518</v>
      </c>
      <c r="E110" t="s">
        <v>519</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11.416538041464802</v>
      </c>
      <c r="AA110">
        <v>8.7327708333333316</v>
      </c>
      <c r="AB110">
        <v>2.2770791666666668</v>
      </c>
      <c r="AC110">
        <v>1.3566666666666667</v>
      </c>
      <c r="AD110">
        <v>1.9666666666666663</v>
      </c>
      <c r="AE110">
        <v>4.4622309027777769</v>
      </c>
      <c r="AF110">
        <v>7.7698003472222208</v>
      </c>
      <c r="AG110">
        <v>11.941235920833332</v>
      </c>
      <c r="AH110">
        <v>18.817684762500001</v>
      </c>
      <c r="AI110">
        <v>24.5</v>
      </c>
      <c r="AJ110">
        <v>30</v>
      </c>
      <c r="AK110">
        <v>46.305643178011259</v>
      </c>
      <c r="AL110">
        <v>69.696559398715706</v>
      </c>
      <c r="AM110">
        <v>100</v>
      </c>
      <c r="AN110">
        <v>103</v>
      </c>
      <c r="AO110">
        <v>106.09</v>
      </c>
      <c r="AP110">
        <v>109.2727</v>
      </c>
      <c r="AQ110">
        <v>112.550881</v>
      </c>
      <c r="AR110">
        <v>115.92740743</v>
      </c>
      <c r="AS110">
        <v>119.4052296529</v>
      </c>
      <c r="AT110">
        <v>122.987386542487</v>
      </c>
      <c r="AU110">
        <v>126.67700813876162</v>
      </c>
      <c r="AV110">
        <v>130.47731838292447</v>
      </c>
      <c r="AW110">
        <v>134.39163793441222</v>
      </c>
      <c r="AX110">
        <v>138.4233870724446</v>
      </c>
      <c r="AY110">
        <v>142.57608868461793</v>
      </c>
      <c r="AZ110">
        <v>146.85337134515646</v>
      </c>
      <c r="BA110">
        <v>151.25897248551115</v>
      </c>
      <c r="BB110">
        <v>155.79674166007649</v>
      </c>
      <c r="BC110">
        <v>160.47064390987879</v>
      </c>
      <c r="BD110">
        <v>165.28476322717515</v>
      </c>
      <c r="BE110">
        <v>170.24330612399041</v>
      </c>
      <c r="BF110">
        <v>175.35060530771011</v>
      </c>
      <c r="BG110">
        <v>180.61112346694142</v>
      </c>
      <c r="BH110">
        <v>186.02945717094966</v>
      </c>
      <c r="BI110">
        <v>191.61034088607815</v>
      </c>
      <c r="BJ110">
        <v>197.35865111266051</v>
      </c>
      <c r="BK110">
        <v>203.27941064604033</v>
      </c>
      <c r="BL110">
        <v>209.37779296542155</v>
      </c>
      <c r="BM110">
        <v>215.6591267543842</v>
      </c>
      <c r="BN110">
        <v>222.12890055701573</v>
      </c>
    </row>
    <row r="111" spans="1:66" x14ac:dyDescent="0.25">
      <c r="A111" t="s">
        <v>219</v>
      </c>
      <c r="B111" t="s">
        <v>536</v>
      </c>
      <c r="C111" t="s">
        <v>528</v>
      </c>
      <c r="D111" t="s">
        <v>520</v>
      </c>
      <c r="E111" t="s">
        <v>521</v>
      </c>
      <c r="F111">
        <v>8126.1945618773643</v>
      </c>
      <c r="G111">
        <v>8106.661121873205</v>
      </c>
      <c r="H111">
        <v>8469.9964545997555</v>
      </c>
      <c r="I111">
        <v>8922.6885824844103</v>
      </c>
      <c r="J111">
        <v>9583.8002483498967</v>
      </c>
      <c r="K111">
        <v>10247.564720783123</v>
      </c>
      <c r="L111">
        <v>10378.724398951666</v>
      </c>
      <c r="M111">
        <v>10605.333888617772</v>
      </c>
      <c r="N111">
        <v>10810.458340752642</v>
      </c>
      <c r="O111">
        <v>11096.605458727845</v>
      </c>
      <c r="P111">
        <v>11648.310343290637</v>
      </c>
      <c r="Q111">
        <v>11705.871223077451</v>
      </c>
      <c r="R111">
        <v>12162.021231248526</v>
      </c>
      <c r="S111">
        <v>12697.797549640931</v>
      </c>
      <c r="T111">
        <v>12992.367162928625</v>
      </c>
      <c r="U111">
        <v>13063.440862686894</v>
      </c>
      <c r="V111">
        <v>13182.198504199005</v>
      </c>
      <c r="W111">
        <v>13284.806809600492</v>
      </c>
      <c r="X111">
        <v>13293.959706338926</v>
      </c>
      <c r="Y111">
        <v>13101.086214174264</v>
      </c>
      <c r="Z111">
        <v>13348.937535477718</v>
      </c>
      <c r="AA111">
        <v>13331.827621000642</v>
      </c>
      <c r="AB111">
        <v>13006.487718579234</v>
      </c>
      <c r="AC111">
        <v>13081.360160828839</v>
      </c>
      <c r="AD111">
        <v>13339.646613066796</v>
      </c>
      <c r="AE111">
        <v>13805.025309105527</v>
      </c>
      <c r="AF111">
        <v>13906.520809611657</v>
      </c>
      <c r="AG111">
        <v>14803.702978914342</v>
      </c>
      <c r="AH111">
        <v>15126.124771992951</v>
      </c>
      <c r="AI111">
        <v>14654.704680232724</v>
      </c>
      <c r="AJ111">
        <v>13175.66592208733</v>
      </c>
      <c r="AK111">
        <v>14276.695445242463</v>
      </c>
      <c r="AL111">
        <v>14964.971690946624</v>
      </c>
      <c r="AM111">
        <v>15039.42207234825</v>
      </c>
      <c r="AN111">
        <v>14839.916632743198</v>
      </c>
      <c r="AO111">
        <v>14581.489382061523</v>
      </c>
      <c r="AP111">
        <v>14188.059443472874</v>
      </c>
      <c r="AQ111">
        <v>13724.594815268896</v>
      </c>
      <c r="AR111">
        <v>13124.998464987437</v>
      </c>
      <c r="AS111">
        <v>12462.179976029507</v>
      </c>
      <c r="AT111">
        <v>11774.576050432355</v>
      </c>
      <c r="AU111">
        <v>11001.689568558753</v>
      </c>
      <c r="AV111">
        <v>10169.712922039997</v>
      </c>
      <c r="AW111">
        <v>9372.3968868158518</v>
      </c>
      <c r="AX111">
        <v>8574.9997267849649</v>
      </c>
      <c r="AY111">
        <v>7826.1774403136178</v>
      </c>
      <c r="AZ111">
        <v>7094.0351157285268</v>
      </c>
      <c r="BA111">
        <v>6401.682261425517</v>
      </c>
      <c r="BB111">
        <v>5755.794328974348</v>
      </c>
      <c r="BC111">
        <v>5157.3400154785641</v>
      </c>
      <c r="BD111">
        <v>4680.6136605605125</v>
      </c>
      <c r="BE111">
        <v>4213.309397164363</v>
      </c>
      <c r="BF111">
        <v>3790.7382758635799</v>
      </c>
      <c r="BG111">
        <v>3371.3413196881779</v>
      </c>
      <c r="BH111">
        <v>2926.4866568671346</v>
      </c>
      <c r="BI111">
        <v>2574.0999425902469</v>
      </c>
      <c r="BJ111">
        <v>2254.6719250219012</v>
      </c>
      <c r="BK111">
        <v>1994.1761777737984</v>
      </c>
      <c r="BL111">
        <v>1751.0188417174259</v>
      </c>
      <c r="BM111">
        <v>1502.866447767165</v>
      </c>
      <c r="BN111">
        <v>1327.4066181261383</v>
      </c>
    </row>
    <row r="112" spans="1:66" x14ac:dyDescent="0.25">
      <c r="A112" t="s">
        <v>219</v>
      </c>
      <c r="B112" t="s">
        <v>536</v>
      </c>
      <c r="C112" t="s">
        <v>528</v>
      </c>
      <c r="D112" t="s">
        <v>522</v>
      </c>
      <c r="E112" t="s">
        <v>521</v>
      </c>
      <c r="F112">
        <v>15640.940843035291</v>
      </c>
      <c r="G112">
        <v>16150.546759988883</v>
      </c>
      <c r="H112">
        <v>17648.388786263939</v>
      </c>
      <c r="I112">
        <v>16725.370693795405</v>
      </c>
      <c r="J112">
        <v>16380.548324839787</v>
      </c>
      <c r="K112">
        <v>15499.119986501893</v>
      </c>
      <c r="L112">
        <v>16964.973485962018</v>
      </c>
      <c r="M112">
        <v>18776.307489236842</v>
      </c>
      <c r="N112">
        <v>16990.87642543549</v>
      </c>
      <c r="O112">
        <v>18068.06638576484</v>
      </c>
      <c r="P112">
        <v>18247.587022073894</v>
      </c>
      <c r="Q112">
        <v>20209.470689366266</v>
      </c>
      <c r="R112">
        <v>19699.848793804682</v>
      </c>
      <c r="S112">
        <v>20589.961823411428</v>
      </c>
      <c r="T112">
        <v>19932.694122895617</v>
      </c>
      <c r="U112">
        <v>21455.132172136808</v>
      </c>
      <c r="V112">
        <v>21734.471668911941</v>
      </c>
      <c r="W112">
        <v>20224.013693454704</v>
      </c>
      <c r="X112">
        <v>21356.548009904149</v>
      </c>
      <c r="Y112">
        <v>18870.840564758502</v>
      </c>
      <c r="Z112">
        <v>18772.299934571802</v>
      </c>
      <c r="AA112">
        <v>18114.081314169005</v>
      </c>
      <c r="AB112">
        <v>19820.47191931152</v>
      </c>
      <c r="AC112">
        <v>18884.997469550366</v>
      </c>
      <c r="AD112">
        <v>18698.599087495157</v>
      </c>
      <c r="AE112">
        <v>18478.836391393874</v>
      </c>
      <c r="AF112">
        <v>16973.70962476591</v>
      </c>
      <c r="AG112">
        <v>17531.475135032353</v>
      </c>
      <c r="AH112">
        <v>17282.73541087965</v>
      </c>
      <c r="AI112">
        <v>19152.571947895391</v>
      </c>
      <c r="AJ112">
        <v>18178.313197265285</v>
      </c>
      <c r="AK112">
        <v>18330.112375099405</v>
      </c>
      <c r="AL112">
        <v>16881.250811779708</v>
      </c>
      <c r="AM112">
        <v>15815.412875615097</v>
      </c>
      <c r="AN112">
        <v>14786.169641142526</v>
      </c>
      <c r="AO112">
        <v>13875.624363772293</v>
      </c>
      <c r="AP112">
        <v>13553.9103197078</v>
      </c>
      <c r="AQ112">
        <v>13245.225350119945</v>
      </c>
      <c r="AR112">
        <v>12891.266501245091</v>
      </c>
      <c r="AS112">
        <v>12680.517740268209</v>
      </c>
      <c r="AT112">
        <v>11651.379025153452</v>
      </c>
      <c r="AU112">
        <v>11239.264993430861</v>
      </c>
      <c r="AV112">
        <v>10751.799599873704</v>
      </c>
      <c r="AW112">
        <v>10360.227065490835</v>
      </c>
      <c r="AX112">
        <v>9967.6175660175104</v>
      </c>
      <c r="AY112">
        <v>9583.1518833930386</v>
      </c>
      <c r="AZ112">
        <v>9187.7279978266906</v>
      </c>
      <c r="BA112">
        <v>8760.6589429974028</v>
      </c>
      <c r="BB112">
        <v>8281.8243574446005</v>
      </c>
      <c r="BC112">
        <v>7747.6709594237891</v>
      </c>
      <c r="BD112">
        <v>6463.8216179943565</v>
      </c>
      <c r="BE112">
        <v>6040.5958504321807</v>
      </c>
      <c r="BF112">
        <v>5611.9280554281686</v>
      </c>
      <c r="BG112">
        <v>5226.0531371370498</v>
      </c>
      <c r="BH112">
        <v>4748.3540355956693</v>
      </c>
      <c r="BI112">
        <v>4239.9386942515075</v>
      </c>
      <c r="BJ112">
        <v>3859.7026494592105</v>
      </c>
      <c r="BK112">
        <v>3222.2400084607675</v>
      </c>
      <c r="BL112">
        <v>3033.0828148998457</v>
      </c>
      <c r="BM112">
        <v>2847.9436272467678</v>
      </c>
      <c r="BN112">
        <v>2672.5199484068607</v>
      </c>
    </row>
    <row r="113" spans="1:66" x14ac:dyDescent="0.25">
      <c r="A113" t="s">
        <v>219</v>
      </c>
      <c r="B113" t="s">
        <v>536</v>
      </c>
      <c r="C113" t="s">
        <v>528</v>
      </c>
      <c r="D113" t="s">
        <v>523</v>
      </c>
      <c r="E113" t="s">
        <v>521</v>
      </c>
      <c r="F113">
        <v>3429.1023206090149</v>
      </c>
      <c r="G113">
        <v>3582.0933132143959</v>
      </c>
      <c r="H113">
        <v>3230.4006797977117</v>
      </c>
      <c r="I113">
        <v>3072.4080540294026</v>
      </c>
      <c r="J113">
        <v>2943.5832063652938</v>
      </c>
      <c r="K113">
        <v>3036.6428253355557</v>
      </c>
      <c r="L113">
        <v>3231.1178764295346</v>
      </c>
      <c r="M113">
        <v>3121.0509253025539</v>
      </c>
      <c r="N113">
        <v>3108.4252054479571</v>
      </c>
      <c r="O113">
        <v>3287.2502963250704</v>
      </c>
      <c r="P113">
        <v>3324.3535917273935</v>
      </c>
      <c r="Q113">
        <v>3441.9326499549325</v>
      </c>
      <c r="R113">
        <v>3562.3255597822995</v>
      </c>
      <c r="S113">
        <v>3798.3629146741546</v>
      </c>
      <c r="T113">
        <v>3833.9993752516589</v>
      </c>
      <c r="U113">
        <v>3949.7863117346769</v>
      </c>
      <c r="V113">
        <v>4067.1636114352182</v>
      </c>
      <c r="W113">
        <v>4324.6641433976283</v>
      </c>
      <c r="X113">
        <v>4207.5754142911601</v>
      </c>
      <c r="Y113">
        <v>4156.3376144420381</v>
      </c>
      <c r="Z113">
        <v>4471.2064224286651</v>
      </c>
      <c r="AA113">
        <v>4511.1732699008671</v>
      </c>
      <c r="AB113">
        <v>4584.743425822363</v>
      </c>
      <c r="AC113">
        <v>4716.1203271304976</v>
      </c>
      <c r="AD113">
        <v>4887.0741014170871</v>
      </c>
      <c r="AE113">
        <v>5014.426570819578</v>
      </c>
      <c r="AF113">
        <v>4761.4486978313562</v>
      </c>
      <c r="AG113">
        <v>4803.9943473754338</v>
      </c>
      <c r="AH113">
        <v>4679.6792337008401</v>
      </c>
      <c r="AI113">
        <v>4713.1761267541115</v>
      </c>
      <c r="AJ113">
        <v>4482.2708369643005</v>
      </c>
      <c r="AK113">
        <v>4684.6924221093341</v>
      </c>
      <c r="AL113">
        <v>4615.5306846943822</v>
      </c>
      <c r="AM113">
        <v>4527.0774901879577</v>
      </c>
      <c r="AN113">
        <v>4561.4447140260791</v>
      </c>
      <c r="AO113">
        <v>4531.5830099871318</v>
      </c>
      <c r="AP113">
        <v>4520.2431432731055</v>
      </c>
      <c r="AQ113">
        <v>4475.9232009926691</v>
      </c>
      <c r="AR113">
        <v>4437.3438495564878</v>
      </c>
      <c r="AS113">
        <v>4418.4714579346737</v>
      </c>
      <c r="AT113">
        <v>4189.6175136617467</v>
      </c>
      <c r="AU113">
        <v>4152.7025661890157</v>
      </c>
      <c r="AV113">
        <v>4118.1638381475086</v>
      </c>
      <c r="AW113">
        <v>4074.2373670370248</v>
      </c>
      <c r="AX113">
        <v>4037.0588209614434</v>
      </c>
      <c r="AY113">
        <v>4032.1997556739384</v>
      </c>
      <c r="AZ113">
        <v>3995.9161703264613</v>
      </c>
      <c r="BA113">
        <v>3975.3458681184584</v>
      </c>
      <c r="BB113">
        <v>3956.6216979861979</v>
      </c>
      <c r="BC113">
        <v>3939.8745394675066</v>
      </c>
      <c r="BD113">
        <v>3868.9310985478323</v>
      </c>
      <c r="BE113">
        <v>3857.8291521529131</v>
      </c>
      <c r="BF113">
        <v>3849.1543209366041</v>
      </c>
      <c r="BG113">
        <v>3844.9585287107934</v>
      </c>
      <c r="BH113">
        <v>3843.2882370622556</v>
      </c>
      <c r="BI113">
        <v>3843.9088929607183</v>
      </c>
      <c r="BJ113">
        <v>3847.400115947531</v>
      </c>
      <c r="BK113">
        <v>3853.83891593199</v>
      </c>
      <c r="BL113">
        <v>3862.0590012565408</v>
      </c>
      <c r="BM113">
        <v>3871.308152736688</v>
      </c>
      <c r="BN113">
        <v>3883.1322715546034</v>
      </c>
    </row>
    <row r="114" spans="1:66" x14ac:dyDescent="0.25">
      <c r="A114" t="s">
        <v>219</v>
      </c>
      <c r="B114" t="s">
        <v>536</v>
      </c>
      <c r="C114" t="s">
        <v>528</v>
      </c>
      <c r="D114" t="s">
        <v>524</v>
      </c>
      <c r="E114" t="s">
        <v>521</v>
      </c>
      <c r="F114">
        <v>1816.6596733237263</v>
      </c>
      <c r="G114">
        <v>1893.7218802684215</v>
      </c>
      <c r="H114">
        <v>1971.3222733100288</v>
      </c>
      <c r="I114">
        <v>2049.4503492491226</v>
      </c>
      <c r="J114">
        <v>1947.5325263313807</v>
      </c>
      <c r="K114">
        <v>2023.8252549837712</v>
      </c>
      <c r="L114">
        <v>2102.1656796823004</v>
      </c>
      <c r="M114">
        <v>2125.7547716447093</v>
      </c>
      <c r="N114">
        <v>2086.8629737313777</v>
      </c>
      <c r="O114">
        <v>2084.0346339247499</v>
      </c>
      <c r="P114">
        <v>2103.6901401299438</v>
      </c>
      <c r="Q114">
        <v>2134.2537068539705</v>
      </c>
      <c r="R114">
        <v>2173.5947283527944</v>
      </c>
      <c r="S114">
        <v>2101.4028129686244</v>
      </c>
      <c r="T114">
        <v>2124.9026062551302</v>
      </c>
      <c r="U114">
        <v>2134.5667014321762</v>
      </c>
      <c r="V114">
        <v>1957.2003317893241</v>
      </c>
      <c r="W114">
        <v>1922.5694677164029</v>
      </c>
      <c r="X114">
        <v>1846.56179242198</v>
      </c>
      <c r="Y114">
        <v>1723.3205496528278</v>
      </c>
      <c r="Z114">
        <v>1665.7456629024559</v>
      </c>
      <c r="AA114">
        <v>1519.6605558608351</v>
      </c>
      <c r="AB114">
        <v>1410.5413176396301</v>
      </c>
      <c r="AC114">
        <v>1359.9084848190901</v>
      </c>
      <c r="AD114">
        <v>1314.1708670740722</v>
      </c>
      <c r="AE114">
        <v>1275.9271345153275</v>
      </c>
      <c r="AF114">
        <v>1246.0586846922251</v>
      </c>
      <c r="AG114">
        <v>1214.8602401561525</v>
      </c>
      <c r="AH114">
        <v>1156.3598029499428</v>
      </c>
      <c r="AI114">
        <v>1114.3950725962225</v>
      </c>
      <c r="AJ114">
        <v>1075.3643344180375</v>
      </c>
      <c r="AK114">
        <v>1058.4109684228663</v>
      </c>
      <c r="AL114">
        <v>1033.212300658286</v>
      </c>
      <c r="AM114">
        <v>996.3164129459052</v>
      </c>
      <c r="AN114">
        <v>960.78960512158892</v>
      </c>
      <c r="AO114">
        <v>925.04832155596773</v>
      </c>
      <c r="AP114">
        <v>889.02457419959956</v>
      </c>
      <c r="AQ114">
        <v>853.30502435548965</v>
      </c>
      <c r="AR114">
        <v>818.06085119369118</v>
      </c>
      <c r="AS114">
        <v>783.33888514538035</v>
      </c>
      <c r="AT114">
        <v>749.00661600423484</v>
      </c>
      <c r="AU114">
        <v>713.12299893040836</v>
      </c>
      <c r="AV114">
        <v>681.75265381906581</v>
      </c>
      <c r="AW114">
        <v>653.07251772298503</v>
      </c>
      <c r="AX114">
        <v>626.11264777642305</v>
      </c>
      <c r="AY114">
        <v>600.52316314937514</v>
      </c>
      <c r="AZ114">
        <v>575.86587763045134</v>
      </c>
      <c r="BA114">
        <v>552.05563434795374</v>
      </c>
      <c r="BB114">
        <v>529.03379695458602</v>
      </c>
      <c r="BC114">
        <v>506.69177205864327</v>
      </c>
      <c r="BD114">
        <v>485.08300206828466</v>
      </c>
      <c r="BE114">
        <v>465.02988086753226</v>
      </c>
      <c r="BF114">
        <v>445.48055289878113</v>
      </c>
      <c r="BG114">
        <v>426.42962227669557</v>
      </c>
      <c r="BH114">
        <v>407.82667776884568</v>
      </c>
      <c r="BI114">
        <v>389.73655503451369</v>
      </c>
      <c r="BJ114">
        <v>372.05944067249334</v>
      </c>
      <c r="BK114">
        <v>354.75156639017149</v>
      </c>
      <c r="BL114">
        <v>337.84939136662678</v>
      </c>
      <c r="BM114">
        <v>321.36782763857866</v>
      </c>
      <c r="BN114">
        <v>305.31110019557548</v>
      </c>
    </row>
    <row r="115" spans="1:66" x14ac:dyDescent="0.25">
      <c r="A115" t="s">
        <v>219</v>
      </c>
      <c r="B115" t="s">
        <v>536</v>
      </c>
      <c r="C115" t="s">
        <v>528</v>
      </c>
      <c r="D115" t="s">
        <v>525</v>
      </c>
      <c r="E115" t="s">
        <v>521</v>
      </c>
      <c r="F115">
        <v>29012.897398845394</v>
      </c>
      <c r="G115">
        <v>29733.023075344903</v>
      </c>
      <c r="H115">
        <v>31320.108193971439</v>
      </c>
      <c r="I115">
        <v>30769.917679558341</v>
      </c>
      <c r="J115">
        <v>30855.464305886358</v>
      </c>
      <c r="K115">
        <v>30807.15278760434</v>
      </c>
      <c r="L115">
        <v>32676.98144102552</v>
      </c>
      <c r="M115">
        <v>34628.447074801872</v>
      </c>
      <c r="N115">
        <v>32996.622945367468</v>
      </c>
      <c r="O115">
        <v>34535.956774742503</v>
      </c>
      <c r="P115">
        <v>35323.941097221861</v>
      </c>
      <c r="Q115">
        <v>37491.528269252616</v>
      </c>
      <c r="R115">
        <v>37597.790313188299</v>
      </c>
      <c r="S115">
        <v>39187.525100695137</v>
      </c>
      <c r="T115">
        <v>38883.963267331026</v>
      </c>
      <c r="U115">
        <v>40602.92604799055</v>
      </c>
      <c r="V115">
        <v>40941.03411633549</v>
      </c>
      <c r="W115">
        <v>39756.054114169223</v>
      </c>
      <c r="X115">
        <v>40704.644922956213</v>
      </c>
      <c r="Y115">
        <v>37851.584943027628</v>
      </c>
      <c r="Z115">
        <v>38258.189555380639</v>
      </c>
      <c r="AA115">
        <v>37476.742760931345</v>
      </c>
      <c r="AB115">
        <v>38822.24438135275</v>
      </c>
      <c r="AC115">
        <v>38042.386442328796</v>
      </c>
      <c r="AD115">
        <v>38239.490669053106</v>
      </c>
      <c r="AE115">
        <v>38574.2154058343</v>
      </c>
      <c r="AF115">
        <v>36887.73781690115</v>
      </c>
      <c r="AG115">
        <v>38354.032701478282</v>
      </c>
      <c r="AH115">
        <v>38244.89921952338</v>
      </c>
      <c r="AI115">
        <v>39634.847827478443</v>
      </c>
      <c r="AJ115">
        <v>36911.614290734949</v>
      </c>
      <c r="AK115">
        <v>38349.911210874074</v>
      </c>
      <c r="AL115">
        <v>37494.965488079004</v>
      </c>
      <c r="AM115">
        <v>36378.228851097207</v>
      </c>
      <c r="AN115">
        <v>35148.320593033393</v>
      </c>
      <c r="AO115">
        <v>33913.745077376916</v>
      </c>
      <c r="AP115">
        <v>33151.237480653377</v>
      </c>
      <c r="AQ115">
        <v>32299.048390737</v>
      </c>
      <c r="AR115">
        <v>31271.669666982707</v>
      </c>
      <c r="AS115">
        <v>30344.508059377771</v>
      </c>
      <c r="AT115">
        <v>28364.579205251786</v>
      </c>
      <c r="AU115">
        <v>27106.780127109039</v>
      </c>
      <c r="AV115">
        <v>25721.429013880275</v>
      </c>
      <c r="AW115">
        <v>24459.933837066696</v>
      </c>
      <c r="AX115">
        <v>23205.788761540342</v>
      </c>
      <c r="AY115">
        <v>22042.052242529968</v>
      </c>
      <c r="AZ115">
        <v>20853.545161512131</v>
      </c>
      <c r="BA115">
        <v>19689.74270688933</v>
      </c>
      <c r="BB115">
        <v>18523.274181359731</v>
      </c>
      <c r="BC115">
        <v>17351.577286428503</v>
      </c>
      <c r="BD115">
        <v>15498.449379170987</v>
      </c>
      <c r="BE115">
        <v>14576.76428061699</v>
      </c>
      <c r="BF115">
        <v>13697.301205127134</v>
      </c>
      <c r="BG115">
        <v>12868.782607812716</v>
      </c>
      <c r="BH115">
        <v>11925.955607293905</v>
      </c>
      <c r="BI115">
        <v>11047.684084836987</v>
      </c>
      <c r="BJ115">
        <v>10333.834131101137</v>
      </c>
      <c r="BK115">
        <v>9425.006668556729</v>
      </c>
      <c r="BL115">
        <v>8984.0100492404381</v>
      </c>
      <c r="BM115">
        <v>8543.4860553891995</v>
      </c>
      <c r="BN115">
        <v>8188.3699382831783</v>
      </c>
    </row>
    <row r="116" spans="1:66" x14ac:dyDescent="0.25">
      <c r="A116" t="s">
        <v>220</v>
      </c>
      <c r="B116" t="s">
        <v>536</v>
      </c>
      <c r="C116" t="s">
        <v>529</v>
      </c>
      <c r="D116" t="s">
        <v>518</v>
      </c>
      <c r="E116" t="s">
        <v>519</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11.416538041464802</v>
      </c>
      <c r="AA116">
        <v>8.7327708333333316</v>
      </c>
      <c r="AB116">
        <v>2.2770791666666668</v>
      </c>
      <c r="AC116">
        <v>1.3566666666666667</v>
      </c>
      <c r="AD116">
        <v>1.9666666666666663</v>
      </c>
      <c r="AE116">
        <v>4.4622309027777769</v>
      </c>
      <c r="AF116">
        <v>7.7698003472222208</v>
      </c>
      <c r="AG116">
        <v>11.941235920833332</v>
      </c>
      <c r="AH116">
        <v>18.817684762500001</v>
      </c>
      <c r="AI116">
        <v>24.5</v>
      </c>
      <c r="AJ116">
        <v>30</v>
      </c>
      <c r="AK116">
        <v>46.305643178011259</v>
      </c>
      <c r="AL116">
        <v>69.696559398715706</v>
      </c>
      <c r="AM116">
        <v>150</v>
      </c>
      <c r="AN116">
        <v>154.5</v>
      </c>
      <c r="AO116">
        <v>159.13499999999999</v>
      </c>
      <c r="AP116">
        <v>163.90905000000001</v>
      </c>
      <c r="AQ116">
        <v>168.82632150000001</v>
      </c>
      <c r="AR116">
        <v>173.891111145</v>
      </c>
      <c r="AS116">
        <v>179.10784447935001</v>
      </c>
      <c r="AT116">
        <v>184.4810798137305</v>
      </c>
      <c r="AU116">
        <v>190.01551220814241</v>
      </c>
      <c r="AV116">
        <v>195.7159775743867</v>
      </c>
      <c r="AW116">
        <v>201.58745690161831</v>
      </c>
      <c r="AX116">
        <v>207.63508060866687</v>
      </c>
      <c r="AY116">
        <v>213.86413302692688</v>
      </c>
      <c r="AZ116">
        <v>220.28005701773469</v>
      </c>
      <c r="BA116">
        <v>226.88845872826673</v>
      </c>
      <c r="BB116">
        <v>233.69511249011472</v>
      </c>
      <c r="BC116">
        <v>240.70596586481818</v>
      </c>
      <c r="BD116">
        <v>247.92714484076274</v>
      </c>
      <c r="BE116">
        <v>255.36495918598561</v>
      </c>
      <c r="BF116">
        <v>263.02590796156517</v>
      </c>
      <c r="BG116">
        <v>270.91668520041213</v>
      </c>
      <c r="BH116">
        <v>279.0441857564245</v>
      </c>
      <c r="BI116">
        <v>287.41551132911724</v>
      </c>
      <c r="BJ116">
        <v>296.03797666899078</v>
      </c>
      <c r="BK116">
        <v>304.9191159690605</v>
      </c>
      <c r="BL116">
        <v>314.06668944813231</v>
      </c>
      <c r="BM116">
        <v>323.48869013157628</v>
      </c>
      <c r="BN116">
        <v>333.19335083552357</v>
      </c>
    </row>
    <row r="117" spans="1:66" x14ac:dyDescent="0.25">
      <c r="A117" t="s">
        <v>220</v>
      </c>
      <c r="B117" t="s">
        <v>536</v>
      </c>
      <c r="C117" t="s">
        <v>529</v>
      </c>
      <c r="D117" t="s">
        <v>520</v>
      </c>
      <c r="E117" t="s">
        <v>521</v>
      </c>
      <c r="F117">
        <v>8126.1945618773643</v>
      </c>
      <c r="G117">
        <v>8106.661121873205</v>
      </c>
      <c r="H117">
        <v>8469.9964545997555</v>
      </c>
      <c r="I117">
        <v>8922.6885824844103</v>
      </c>
      <c r="J117">
        <v>9583.8002483498967</v>
      </c>
      <c r="K117">
        <v>10247.564720783123</v>
      </c>
      <c r="L117">
        <v>10378.724398951666</v>
      </c>
      <c r="M117">
        <v>10605.333888617772</v>
      </c>
      <c r="N117">
        <v>10810.458340752642</v>
      </c>
      <c r="O117">
        <v>11096.605458727845</v>
      </c>
      <c r="P117">
        <v>11648.310343290637</v>
      </c>
      <c r="Q117">
        <v>11705.871223077451</v>
      </c>
      <c r="R117">
        <v>12162.021231248526</v>
      </c>
      <c r="S117">
        <v>12697.797549640931</v>
      </c>
      <c r="T117">
        <v>12992.367162928625</v>
      </c>
      <c r="U117">
        <v>13063.440862686894</v>
      </c>
      <c r="V117">
        <v>13182.198504199005</v>
      </c>
      <c r="W117">
        <v>13284.806809600492</v>
      </c>
      <c r="X117">
        <v>13293.959706338926</v>
      </c>
      <c r="Y117">
        <v>13101.086214174264</v>
      </c>
      <c r="Z117">
        <v>13348.937535477718</v>
      </c>
      <c r="AA117">
        <v>13331.827621000642</v>
      </c>
      <c r="AB117">
        <v>13006.487718579234</v>
      </c>
      <c r="AC117">
        <v>13081.360160828839</v>
      </c>
      <c r="AD117">
        <v>13339.646613066796</v>
      </c>
      <c r="AE117">
        <v>13805.025309105527</v>
      </c>
      <c r="AF117">
        <v>13906.520809611657</v>
      </c>
      <c r="AG117">
        <v>14803.702978914342</v>
      </c>
      <c r="AH117">
        <v>15126.124771992951</v>
      </c>
      <c r="AI117">
        <v>14654.704680232724</v>
      </c>
      <c r="AJ117">
        <v>13175.66592208733</v>
      </c>
      <c r="AK117">
        <v>14276.695445242463</v>
      </c>
      <c r="AL117">
        <v>14964.789511391931</v>
      </c>
      <c r="AM117">
        <v>15033.569299586312</v>
      </c>
      <c r="AN117">
        <v>14829.261045475516</v>
      </c>
      <c r="AO117">
        <v>14556.903136356204</v>
      </c>
      <c r="AP117">
        <v>14133.352127455511</v>
      </c>
      <c r="AQ117">
        <v>13602.754462826244</v>
      </c>
      <c r="AR117">
        <v>13000.848678626697</v>
      </c>
      <c r="AS117">
        <v>12312.796615472218</v>
      </c>
      <c r="AT117">
        <v>11605.350342962403</v>
      </c>
      <c r="AU117">
        <v>10844.69826760214</v>
      </c>
      <c r="AV117">
        <v>10046.659059477623</v>
      </c>
      <c r="AW117">
        <v>9233.7765856762453</v>
      </c>
      <c r="AX117">
        <v>8455.3405312719915</v>
      </c>
      <c r="AY117">
        <v>7680.2596531488416</v>
      </c>
      <c r="AZ117">
        <v>6948.6014880526845</v>
      </c>
      <c r="BA117">
        <v>6272.688328384228</v>
      </c>
      <c r="BB117">
        <v>5617.9898255293374</v>
      </c>
      <c r="BC117">
        <v>5014.481871433698</v>
      </c>
      <c r="BD117">
        <v>4555.7272512253758</v>
      </c>
      <c r="BE117">
        <v>4075.2509108246522</v>
      </c>
      <c r="BF117">
        <v>3662.2737840998943</v>
      </c>
      <c r="BG117">
        <v>3300.6948949043731</v>
      </c>
      <c r="BH117">
        <v>2841.5503514958609</v>
      </c>
      <c r="BI117">
        <v>2475.9069000055074</v>
      </c>
      <c r="BJ117">
        <v>2185.9192820823764</v>
      </c>
      <c r="BK117">
        <v>1930.0468650213934</v>
      </c>
      <c r="BL117">
        <v>1679.892656617375</v>
      </c>
      <c r="BM117">
        <v>1461.3165056367327</v>
      </c>
      <c r="BN117">
        <v>1271.3318002861899</v>
      </c>
    </row>
    <row r="118" spans="1:66" x14ac:dyDescent="0.25">
      <c r="A118" t="s">
        <v>220</v>
      </c>
      <c r="B118" t="s">
        <v>536</v>
      </c>
      <c r="C118" t="s">
        <v>529</v>
      </c>
      <c r="D118" t="s">
        <v>522</v>
      </c>
      <c r="E118" t="s">
        <v>521</v>
      </c>
      <c r="F118">
        <v>15640.940843035291</v>
      </c>
      <c r="G118">
        <v>16150.546759988883</v>
      </c>
      <c r="H118">
        <v>17648.388786263939</v>
      </c>
      <c r="I118">
        <v>16725.370693795405</v>
      </c>
      <c r="J118">
        <v>16380.548324839787</v>
      </c>
      <c r="K118">
        <v>15499.119986501893</v>
      </c>
      <c r="L118">
        <v>16964.973485962018</v>
      </c>
      <c r="M118">
        <v>18776.307489236842</v>
      </c>
      <c r="N118">
        <v>16990.87642543549</v>
      </c>
      <c r="O118">
        <v>18068.06638576484</v>
      </c>
      <c r="P118">
        <v>18247.587022073894</v>
      </c>
      <c r="Q118">
        <v>20209.470689366266</v>
      </c>
      <c r="R118">
        <v>19699.848793804682</v>
      </c>
      <c r="S118">
        <v>20589.961823411428</v>
      </c>
      <c r="T118">
        <v>19932.694122895617</v>
      </c>
      <c r="U118">
        <v>21455.132172136808</v>
      </c>
      <c r="V118">
        <v>21734.471668911941</v>
      </c>
      <c r="W118">
        <v>20224.013693454704</v>
      </c>
      <c r="X118">
        <v>21356.548009904149</v>
      </c>
      <c r="Y118">
        <v>18870.840564758502</v>
      </c>
      <c r="Z118">
        <v>18772.299934571802</v>
      </c>
      <c r="AA118">
        <v>18114.081314169005</v>
      </c>
      <c r="AB118">
        <v>19820.47191931152</v>
      </c>
      <c r="AC118">
        <v>18884.997469550366</v>
      </c>
      <c r="AD118">
        <v>18698.599087495157</v>
      </c>
      <c r="AE118">
        <v>18478.836391393874</v>
      </c>
      <c r="AF118">
        <v>16973.70962476591</v>
      </c>
      <c r="AG118">
        <v>17531.475135032353</v>
      </c>
      <c r="AH118">
        <v>17282.73541087965</v>
      </c>
      <c r="AI118">
        <v>19152.571947895391</v>
      </c>
      <c r="AJ118">
        <v>18178.313197265285</v>
      </c>
      <c r="AK118">
        <v>18330.112375099405</v>
      </c>
      <c r="AL118">
        <v>16793.213304187273</v>
      </c>
      <c r="AM118">
        <v>15675.820650949165</v>
      </c>
      <c r="AN118">
        <v>14359.163186759986</v>
      </c>
      <c r="AO118">
        <v>13303.503910925292</v>
      </c>
      <c r="AP118">
        <v>12866.955360114971</v>
      </c>
      <c r="AQ118">
        <v>12364.628526044267</v>
      </c>
      <c r="AR118">
        <v>11896.013517874253</v>
      </c>
      <c r="AS118">
        <v>11525.316160139815</v>
      </c>
      <c r="AT118">
        <v>10353.77781190007</v>
      </c>
      <c r="AU118">
        <v>9883.0464076738499</v>
      </c>
      <c r="AV118">
        <v>9426.6507250427258</v>
      </c>
      <c r="AW118">
        <v>9062.2935931368993</v>
      </c>
      <c r="AX118">
        <v>8717.8719604884427</v>
      </c>
      <c r="AY118">
        <v>8349.0564722424569</v>
      </c>
      <c r="AZ118">
        <v>7962.7260257940752</v>
      </c>
      <c r="BA118">
        <v>7583.2486306468891</v>
      </c>
      <c r="BB118">
        <v>7195.7209886619357</v>
      </c>
      <c r="BC118">
        <v>6827.3637061244572</v>
      </c>
      <c r="BD118">
        <v>5598.343689599491</v>
      </c>
      <c r="BE118">
        <v>5032.5791878198397</v>
      </c>
      <c r="BF118">
        <v>4409.8990131033715</v>
      </c>
      <c r="BG118">
        <v>3830.2860762432119</v>
      </c>
      <c r="BH118">
        <v>3530.3910159669408</v>
      </c>
      <c r="BI118">
        <v>3334.9243819811859</v>
      </c>
      <c r="BJ118">
        <v>3137.0719112715678</v>
      </c>
      <c r="BK118">
        <v>2973.014554569058</v>
      </c>
      <c r="BL118">
        <v>2789.9821980855049</v>
      </c>
      <c r="BM118">
        <v>2615.3619738102757</v>
      </c>
      <c r="BN118">
        <v>2449.5440459809306</v>
      </c>
    </row>
    <row r="119" spans="1:66" x14ac:dyDescent="0.25">
      <c r="A119" t="s">
        <v>220</v>
      </c>
      <c r="B119" t="s">
        <v>536</v>
      </c>
      <c r="C119" t="s">
        <v>529</v>
      </c>
      <c r="D119" t="s">
        <v>523</v>
      </c>
      <c r="E119" t="s">
        <v>521</v>
      </c>
      <c r="F119">
        <v>3429.1023206090149</v>
      </c>
      <c r="G119">
        <v>3582.0933132143959</v>
      </c>
      <c r="H119">
        <v>3230.4006797977117</v>
      </c>
      <c r="I119">
        <v>3072.4080540294026</v>
      </c>
      <c r="J119">
        <v>2943.5832063652938</v>
      </c>
      <c r="K119">
        <v>3036.6428253355557</v>
      </c>
      <c r="L119">
        <v>3231.1178764295346</v>
      </c>
      <c r="M119">
        <v>3121.0509253025539</v>
      </c>
      <c r="N119">
        <v>3108.4252054479571</v>
      </c>
      <c r="O119">
        <v>3287.2502963250704</v>
      </c>
      <c r="P119">
        <v>3324.3535917273935</v>
      </c>
      <c r="Q119">
        <v>3441.9326499549325</v>
      </c>
      <c r="R119">
        <v>3562.3255597822995</v>
      </c>
      <c r="S119">
        <v>3798.3629146741546</v>
      </c>
      <c r="T119">
        <v>3833.9993752516589</v>
      </c>
      <c r="U119">
        <v>3949.7863117346769</v>
      </c>
      <c r="V119">
        <v>4067.1636114352182</v>
      </c>
      <c r="W119">
        <v>4324.6641433976283</v>
      </c>
      <c r="X119">
        <v>4207.5754142911601</v>
      </c>
      <c r="Y119">
        <v>4156.3376144420381</v>
      </c>
      <c r="Z119">
        <v>4471.2064224286651</v>
      </c>
      <c r="AA119">
        <v>4511.1732699008671</v>
      </c>
      <c r="AB119">
        <v>4584.743425822363</v>
      </c>
      <c r="AC119">
        <v>4716.1203271304976</v>
      </c>
      <c r="AD119">
        <v>4887.0741014170871</v>
      </c>
      <c r="AE119">
        <v>5014.426570819578</v>
      </c>
      <c r="AF119">
        <v>4761.4486978313562</v>
      </c>
      <c r="AG119">
        <v>4803.9943473754338</v>
      </c>
      <c r="AH119">
        <v>4679.6792337008401</v>
      </c>
      <c r="AI119">
        <v>4713.1761267541115</v>
      </c>
      <c r="AJ119">
        <v>4482.2708369643005</v>
      </c>
      <c r="AK119">
        <v>4684.6924221093341</v>
      </c>
      <c r="AL119">
        <v>4615.5306846943831</v>
      </c>
      <c r="AM119">
        <v>4527.0774901879568</v>
      </c>
      <c r="AN119">
        <v>4561.4447140260791</v>
      </c>
      <c r="AO119">
        <v>4531.5830099871309</v>
      </c>
      <c r="AP119">
        <v>4520.2431432731046</v>
      </c>
      <c r="AQ119">
        <v>4475.9232009926691</v>
      </c>
      <c r="AR119">
        <v>4437.3438495564878</v>
      </c>
      <c r="AS119">
        <v>4418.4714579346728</v>
      </c>
      <c r="AT119">
        <v>4189.6175136617467</v>
      </c>
      <c r="AU119">
        <v>4152.7025661890148</v>
      </c>
      <c r="AV119">
        <v>4118.1638381475086</v>
      </c>
      <c r="AW119">
        <v>4074.2373670370253</v>
      </c>
      <c r="AX119">
        <v>4037.058820961443</v>
      </c>
      <c r="AY119">
        <v>4032.1997556739384</v>
      </c>
      <c r="AZ119">
        <v>3995.9161703264613</v>
      </c>
      <c r="BA119">
        <v>3975.3458681184584</v>
      </c>
      <c r="BB119">
        <v>3956.6216979861974</v>
      </c>
      <c r="BC119">
        <v>3939.874539467507</v>
      </c>
      <c r="BD119">
        <v>3868.9310985478323</v>
      </c>
      <c r="BE119">
        <v>3857.8291521529131</v>
      </c>
      <c r="BF119">
        <v>3849.1543209366046</v>
      </c>
      <c r="BG119">
        <v>3844.9585287107939</v>
      </c>
      <c r="BH119">
        <v>3843.2882370622556</v>
      </c>
      <c r="BI119">
        <v>3843.9088929607178</v>
      </c>
      <c r="BJ119">
        <v>3847.400115947531</v>
      </c>
      <c r="BK119">
        <v>3853.83891593199</v>
      </c>
      <c r="BL119">
        <v>3862.0590012565413</v>
      </c>
      <c r="BM119">
        <v>3871.308152736688</v>
      </c>
      <c r="BN119">
        <v>3883.1322715546034</v>
      </c>
    </row>
    <row r="120" spans="1:66" x14ac:dyDescent="0.25">
      <c r="A120" t="s">
        <v>220</v>
      </c>
      <c r="B120" t="s">
        <v>536</v>
      </c>
      <c r="C120" t="s">
        <v>529</v>
      </c>
      <c r="D120" t="s">
        <v>524</v>
      </c>
      <c r="E120" t="s">
        <v>521</v>
      </c>
      <c r="F120">
        <v>1816.6596733237263</v>
      </c>
      <c r="G120">
        <v>1893.7218802684215</v>
      </c>
      <c r="H120">
        <v>1971.3222733100288</v>
      </c>
      <c r="I120">
        <v>2049.4503492491226</v>
      </c>
      <c r="J120">
        <v>1947.5325263313807</v>
      </c>
      <c r="K120">
        <v>2023.8252549837712</v>
      </c>
      <c r="L120">
        <v>2102.1656796823004</v>
      </c>
      <c r="M120">
        <v>2125.7547716447093</v>
      </c>
      <c r="N120">
        <v>2086.8629737313777</v>
      </c>
      <c r="O120">
        <v>2084.0346339247499</v>
      </c>
      <c r="P120">
        <v>2103.6901401299438</v>
      </c>
      <c r="Q120">
        <v>2134.2537068539705</v>
      </c>
      <c r="R120">
        <v>2173.5947283527944</v>
      </c>
      <c r="S120">
        <v>2101.4028129686244</v>
      </c>
      <c r="T120">
        <v>2124.9026062551302</v>
      </c>
      <c r="U120">
        <v>2134.5667014321762</v>
      </c>
      <c r="V120">
        <v>1957.2003317893241</v>
      </c>
      <c r="W120">
        <v>1922.5694677164029</v>
      </c>
      <c r="X120">
        <v>1846.56179242198</v>
      </c>
      <c r="Y120">
        <v>1723.3205496528278</v>
      </c>
      <c r="Z120">
        <v>1665.7456629024559</v>
      </c>
      <c r="AA120">
        <v>1519.6605558608351</v>
      </c>
      <c r="AB120">
        <v>1410.5413176396301</v>
      </c>
      <c r="AC120">
        <v>1359.9084848190901</v>
      </c>
      <c r="AD120">
        <v>1314.1708670740722</v>
      </c>
      <c r="AE120">
        <v>1275.9271345153275</v>
      </c>
      <c r="AF120">
        <v>1246.0586846922251</v>
      </c>
      <c r="AG120">
        <v>1214.8602401561525</v>
      </c>
      <c r="AH120">
        <v>1156.3598029499428</v>
      </c>
      <c r="AI120">
        <v>1114.3950725962225</v>
      </c>
      <c r="AJ120">
        <v>1075.3643344180375</v>
      </c>
      <c r="AK120">
        <v>1058.4109684228663</v>
      </c>
      <c r="AL120">
        <v>1033.212300658286</v>
      </c>
      <c r="AM120">
        <v>996.3164129459052</v>
      </c>
      <c r="AN120">
        <v>960.78960512158892</v>
      </c>
      <c r="AO120">
        <v>925.04832155596773</v>
      </c>
      <c r="AP120">
        <v>889.02457419959956</v>
      </c>
      <c r="AQ120">
        <v>853.30502435548965</v>
      </c>
      <c r="AR120">
        <v>818.06085119369118</v>
      </c>
      <c r="AS120">
        <v>783.33888514538035</v>
      </c>
      <c r="AT120">
        <v>749.00661600423484</v>
      </c>
      <c r="AU120">
        <v>713.12299893040836</v>
      </c>
      <c r="AV120">
        <v>681.75265381906581</v>
      </c>
      <c r="AW120">
        <v>653.07251772298503</v>
      </c>
      <c r="AX120">
        <v>626.11264777642305</v>
      </c>
      <c r="AY120">
        <v>600.52316314937514</v>
      </c>
      <c r="AZ120">
        <v>575.86587763045134</v>
      </c>
      <c r="BA120">
        <v>552.05563434795374</v>
      </c>
      <c r="BB120">
        <v>529.03379695458602</v>
      </c>
      <c r="BC120">
        <v>506.69177205864327</v>
      </c>
      <c r="BD120">
        <v>485.08300206828466</v>
      </c>
      <c r="BE120">
        <v>465.02988086753226</v>
      </c>
      <c r="BF120">
        <v>445.48055289878113</v>
      </c>
      <c r="BG120">
        <v>426.42962227669557</v>
      </c>
      <c r="BH120">
        <v>407.82667776884568</v>
      </c>
      <c r="BI120">
        <v>389.73655503451369</v>
      </c>
      <c r="BJ120">
        <v>372.05944067249334</v>
      </c>
      <c r="BK120">
        <v>354.75156639017149</v>
      </c>
      <c r="BL120">
        <v>337.84939136662678</v>
      </c>
      <c r="BM120">
        <v>321.36782763857866</v>
      </c>
      <c r="BN120">
        <v>305.31110019557548</v>
      </c>
    </row>
    <row r="121" spans="1:66" x14ac:dyDescent="0.25">
      <c r="A121" t="s">
        <v>220</v>
      </c>
      <c r="B121" t="s">
        <v>536</v>
      </c>
      <c r="C121" t="s">
        <v>529</v>
      </c>
      <c r="D121" t="s">
        <v>525</v>
      </c>
      <c r="E121" t="s">
        <v>521</v>
      </c>
      <c r="F121">
        <v>29012.897398845394</v>
      </c>
      <c r="G121">
        <v>29733.023075344903</v>
      </c>
      <c r="H121">
        <v>31320.108193971439</v>
      </c>
      <c r="I121">
        <v>30769.917679558341</v>
      </c>
      <c r="J121">
        <v>30855.464305886358</v>
      </c>
      <c r="K121">
        <v>30807.15278760434</v>
      </c>
      <c r="L121">
        <v>32676.98144102552</v>
      </c>
      <c r="M121">
        <v>34628.447074801872</v>
      </c>
      <c r="N121">
        <v>32996.622945367468</v>
      </c>
      <c r="O121">
        <v>34535.956774742503</v>
      </c>
      <c r="P121">
        <v>35323.941097221861</v>
      </c>
      <c r="Q121">
        <v>37491.528269252616</v>
      </c>
      <c r="R121">
        <v>37597.790313188299</v>
      </c>
      <c r="S121">
        <v>39187.525100695137</v>
      </c>
      <c r="T121">
        <v>38883.963267331026</v>
      </c>
      <c r="U121">
        <v>40602.92604799055</v>
      </c>
      <c r="V121">
        <v>40941.03411633549</v>
      </c>
      <c r="W121">
        <v>39756.054114169223</v>
      </c>
      <c r="X121">
        <v>40704.644922956213</v>
      </c>
      <c r="Y121">
        <v>37851.584943027628</v>
      </c>
      <c r="Z121">
        <v>38258.189555380639</v>
      </c>
      <c r="AA121">
        <v>37476.742760931345</v>
      </c>
      <c r="AB121">
        <v>38822.24438135275</v>
      </c>
      <c r="AC121">
        <v>38042.386442328796</v>
      </c>
      <c r="AD121">
        <v>38239.490669053106</v>
      </c>
      <c r="AE121">
        <v>38574.2154058343</v>
      </c>
      <c r="AF121">
        <v>36887.73781690115</v>
      </c>
      <c r="AG121">
        <v>38354.032701478282</v>
      </c>
      <c r="AH121">
        <v>38244.89921952338</v>
      </c>
      <c r="AI121">
        <v>39634.847827478443</v>
      </c>
      <c r="AJ121">
        <v>36911.614290734949</v>
      </c>
      <c r="AK121">
        <v>38349.911210874074</v>
      </c>
      <c r="AL121">
        <v>37406.745800931873</v>
      </c>
      <c r="AM121">
        <v>36232.783853669338</v>
      </c>
      <c r="AN121">
        <v>34710.658551383167</v>
      </c>
      <c r="AO121">
        <v>33317.038378824596</v>
      </c>
      <c r="AP121">
        <v>32409.575205043187</v>
      </c>
      <c r="AQ121">
        <v>31296.611214218668</v>
      </c>
      <c r="AR121">
        <v>30152.266897251131</v>
      </c>
      <c r="AS121">
        <v>29039.923118692088</v>
      </c>
      <c r="AT121">
        <v>26897.752284528455</v>
      </c>
      <c r="AU121">
        <v>25593.570240395413</v>
      </c>
      <c r="AV121">
        <v>24273.226276486923</v>
      </c>
      <c r="AW121">
        <v>23023.380063573153</v>
      </c>
      <c r="AX121">
        <v>21836.3839604983</v>
      </c>
      <c r="AY121">
        <v>20662.039044214609</v>
      </c>
      <c r="AZ121">
        <v>19483.109561803671</v>
      </c>
      <c r="BA121">
        <v>18383.338461497529</v>
      </c>
      <c r="BB121">
        <v>17299.366309132056</v>
      </c>
      <c r="BC121">
        <v>16288.411889084306</v>
      </c>
      <c r="BD121">
        <v>14508.085041440983</v>
      </c>
      <c r="BE121">
        <v>13430.689131664938</v>
      </c>
      <c r="BF121">
        <v>12366.807671038652</v>
      </c>
      <c r="BG121">
        <v>11402.369122135073</v>
      </c>
      <c r="BH121">
        <v>10623.056282293903</v>
      </c>
      <c r="BI121">
        <v>10044.476729981925</v>
      </c>
      <c r="BJ121">
        <v>9542.4507499739684</v>
      </c>
      <c r="BK121">
        <v>9111.6519019126135</v>
      </c>
      <c r="BL121">
        <v>8669.7832473260478</v>
      </c>
      <c r="BM121">
        <v>8269.3544598222743</v>
      </c>
      <c r="BN121">
        <v>7909.3192180173</v>
      </c>
    </row>
    <row r="122" spans="1:66" x14ac:dyDescent="0.25">
      <c r="A122" t="s">
        <v>221</v>
      </c>
      <c r="B122" t="s">
        <v>536</v>
      </c>
      <c r="C122" t="s">
        <v>530</v>
      </c>
      <c r="D122" t="s">
        <v>518</v>
      </c>
      <c r="E122" t="s">
        <v>519</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11.416538041464802</v>
      </c>
      <c r="AA122">
        <v>8.7327708333333316</v>
      </c>
      <c r="AB122">
        <v>2.2770791666666668</v>
      </c>
      <c r="AC122">
        <v>1.3566666666666667</v>
      </c>
      <c r="AD122">
        <v>1.9666666666666663</v>
      </c>
      <c r="AE122">
        <v>4.4622309027777769</v>
      </c>
      <c r="AF122">
        <v>7.7698003472222208</v>
      </c>
      <c r="AG122">
        <v>11.941235920833332</v>
      </c>
      <c r="AH122">
        <v>18.817684762500001</v>
      </c>
      <c r="AI122">
        <v>24.5</v>
      </c>
      <c r="AJ122">
        <v>30</v>
      </c>
      <c r="AK122">
        <v>46.305643178011259</v>
      </c>
      <c r="AL122">
        <v>69.696559398715706</v>
      </c>
      <c r="AM122">
        <v>200</v>
      </c>
      <c r="AN122">
        <v>206</v>
      </c>
      <c r="AO122">
        <v>212.18</v>
      </c>
      <c r="AP122">
        <v>218.5454</v>
      </c>
      <c r="AQ122">
        <v>225.10176200000001</v>
      </c>
      <c r="AR122">
        <v>231.85481486</v>
      </c>
      <c r="AS122">
        <v>238.81045930580001</v>
      </c>
      <c r="AT122">
        <v>245.974773084974</v>
      </c>
      <c r="AU122">
        <v>253.35401627752324</v>
      </c>
      <c r="AV122">
        <v>260.95463676584893</v>
      </c>
      <c r="AW122">
        <v>268.78327586882443</v>
      </c>
      <c r="AX122">
        <v>276.8467741448892</v>
      </c>
      <c r="AY122">
        <v>285.15217736923586</v>
      </c>
      <c r="AZ122">
        <v>293.70674269031292</v>
      </c>
      <c r="BA122">
        <v>302.5179449710223</v>
      </c>
      <c r="BB122">
        <v>311.59348332015298</v>
      </c>
      <c r="BC122">
        <v>320.94128781975758</v>
      </c>
      <c r="BD122">
        <v>330.5695264543503</v>
      </c>
      <c r="BE122">
        <v>340.48661224798082</v>
      </c>
      <c r="BF122">
        <v>350.70121061542022</v>
      </c>
      <c r="BG122">
        <v>361.22224693388284</v>
      </c>
      <c r="BH122">
        <v>372.05891434189931</v>
      </c>
      <c r="BI122">
        <v>383.2206817721563</v>
      </c>
      <c r="BJ122">
        <v>394.71730222532102</v>
      </c>
      <c r="BK122">
        <v>406.55882129208067</v>
      </c>
      <c r="BL122">
        <v>418.7555859308431</v>
      </c>
      <c r="BM122">
        <v>431.31825350876841</v>
      </c>
      <c r="BN122">
        <v>444.25780111403145</v>
      </c>
    </row>
    <row r="123" spans="1:66" x14ac:dyDescent="0.25">
      <c r="A123" t="s">
        <v>221</v>
      </c>
      <c r="B123" t="s">
        <v>536</v>
      </c>
      <c r="C123" t="s">
        <v>530</v>
      </c>
      <c r="D123" t="s">
        <v>520</v>
      </c>
      <c r="E123" t="s">
        <v>521</v>
      </c>
      <c r="F123">
        <v>8126.1945618773643</v>
      </c>
      <c r="G123">
        <v>8106.661121873205</v>
      </c>
      <c r="H123">
        <v>8469.9964545997555</v>
      </c>
      <c r="I123">
        <v>8922.6885824844103</v>
      </c>
      <c r="J123">
        <v>9583.8002483498967</v>
      </c>
      <c r="K123">
        <v>10247.564720783123</v>
      </c>
      <c r="L123">
        <v>10378.724398951666</v>
      </c>
      <c r="M123">
        <v>10605.333888617772</v>
      </c>
      <c r="N123">
        <v>10810.458340752642</v>
      </c>
      <c r="O123">
        <v>11096.605458727845</v>
      </c>
      <c r="P123">
        <v>11648.310343290637</v>
      </c>
      <c r="Q123">
        <v>11705.871223077451</v>
      </c>
      <c r="R123">
        <v>12162.021231248526</v>
      </c>
      <c r="S123">
        <v>12697.797549640931</v>
      </c>
      <c r="T123">
        <v>12992.367162928625</v>
      </c>
      <c r="U123">
        <v>13063.440862686894</v>
      </c>
      <c r="V123">
        <v>13182.198504199005</v>
      </c>
      <c r="W123">
        <v>13284.806809600492</v>
      </c>
      <c r="X123">
        <v>13293.959706338926</v>
      </c>
      <c r="Y123">
        <v>13101.086214174264</v>
      </c>
      <c r="Z123">
        <v>13348.937535477718</v>
      </c>
      <c r="AA123">
        <v>13331.827621000642</v>
      </c>
      <c r="AB123">
        <v>13006.487718579234</v>
      </c>
      <c r="AC123">
        <v>13081.360160828839</v>
      </c>
      <c r="AD123">
        <v>13339.646613066796</v>
      </c>
      <c r="AE123">
        <v>13805.025309105527</v>
      </c>
      <c r="AF123">
        <v>13906.520809611657</v>
      </c>
      <c r="AG123">
        <v>14803.702978914342</v>
      </c>
      <c r="AH123">
        <v>15126.124771992951</v>
      </c>
      <c r="AI123">
        <v>14654.704680232724</v>
      </c>
      <c r="AJ123">
        <v>13175.66592208733</v>
      </c>
      <c r="AK123">
        <v>14276.695445242463</v>
      </c>
      <c r="AL123">
        <v>14964.778535131045</v>
      </c>
      <c r="AM123">
        <v>15029.046848581742</v>
      </c>
      <c r="AN123">
        <v>14818.352251105502</v>
      </c>
      <c r="AO123">
        <v>14530.61659064171</v>
      </c>
      <c r="AP123">
        <v>14088.745839517203</v>
      </c>
      <c r="AQ123">
        <v>13541.663703200478</v>
      </c>
      <c r="AR123">
        <v>12926.286490644196</v>
      </c>
      <c r="AS123">
        <v>12220.244225530851</v>
      </c>
      <c r="AT123">
        <v>11512.822353587573</v>
      </c>
      <c r="AU123">
        <v>10731.353041250159</v>
      </c>
      <c r="AV123">
        <v>9944.8851966179664</v>
      </c>
      <c r="AW123">
        <v>9147.5714202807521</v>
      </c>
      <c r="AX123">
        <v>8362.647223109776</v>
      </c>
      <c r="AY123">
        <v>7590.138099169536</v>
      </c>
      <c r="AZ123">
        <v>6861.0852708678549</v>
      </c>
      <c r="BA123">
        <v>6159.801388606712</v>
      </c>
      <c r="BB123">
        <v>5566.0224022019956</v>
      </c>
      <c r="BC123">
        <v>4936.1697024321602</v>
      </c>
      <c r="BD123">
        <v>4467.8110775291261</v>
      </c>
      <c r="BE123">
        <v>4007.6735400133853</v>
      </c>
      <c r="BF123">
        <v>3568.362508309187</v>
      </c>
      <c r="BG123">
        <v>3226.9591517197623</v>
      </c>
      <c r="BH123">
        <v>2817.8599086207951</v>
      </c>
      <c r="BI123">
        <v>2434.0462608373841</v>
      </c>
      <c r="BJ123">
        <v>2148.4076906932974</v>
      </c>
      <c r="BK123">
        <v>1877.7924831226787</v>
      </c>
      <c r="BL123">
        <v>1651.620702212788</v>
      </c>
      <c r="BM123">
        <v>1448.5721321827473</v>
      </c>
      <c r="BN123">
        <v>1258.7325038866784</v>
      </c>
    </row>
    <row r="124" spans="1:66" x14ac:dyDescent="0.25">
      <c r="A124" t="s">
        <v>221</v>
      </c>
      <c r="B124" t="s">
        <v>536</v>
      </c>
      <c r="C124" t="s">
        <v>530</v>
      </c>
      <c r="D124" t="s">
        <v>522</v>
      </c>
      <c r="E124" t="s">
        <v>521</v>
      </c>
      <c r="F124">
        <v>15640.940843035291</v>
      </c>
      <c r="G124">
        <v>16150.546759988883</v>
      </c>
      <c r="H124">
        <v>17648.388786263939</v>
      </c>
      <c r="I124">
        <v>16725.370693795405</v>
      </c>
      <c r="J124">
        <v>16380.548324839787</v>
      </c>
      <c r="K124">
        <v>15499.119986501893</v>
      </c>
      <c r="L124">
        <v>16964.973485962018</v>
      </c>
      <c r="M124">
        <v>18776.307489236842</v>
      </c>
      <c r="N124">
        <v>16990.87642543549</v>
      </c>
      <c r="O124">
        <v>18068.06638576484</v>
      </c>
      <c r="P124">
        <v>18247.587022073894</v>
      </c>
      <c r="Q124">
        <v>20209.470689366266</v>
      </c>
      <c r="R124">
        <v>19699.848793804682</v>
      </c>
      <c r="S124">
        <v>20589.961823411428</v>
      </c>
      <c r="T124">
        <v>19932.694122895617</v>
      </c>
      <c r="U124">
        <v>21455.132172136808</v>
      </c>
      <c r="V124">
        <v>21734.471668911941</v>
      </c>
      <c r="W124">
        <v>20224.013693454704</v>
      </c>
      <c r="X124">
        <v>21356.548009904149</v>
      </c>
      <c r="Y124">
        <v>18870.840564758502</v>
      </c>
      <c r="Z124">
        <v>18772.299934571802</v>
      </c>
      <c r="AA124">
        <v>18114.081314169005</v>
      </c>
      <c r="AB124">
        <v>19820.47191931152</v>
      </c>
      <c r="AC124">
        <v>18884.997469550366</v>
      </c>
      <c r="AD124">
        <v>18698.599087495157</v>
      </c>
      <c r="AE124">
        <v>18478.836391393874</v>
      </c>
      <c r="AF124">
        <v>16973.70962476591</v>
      </c>
      <c r="AG124">
        <v>17531.475135032353</v>
      </c>
      <c r="AH124">
        <v>17282.73541087965</v>
      </c>
      <c r="AI124">
        <v>19152.571947895391</v>
      </c>
      <c r="AJ124">
        <v>18178.313197265285</v>
      </c>
      <c r="AK124">
        <v>18330.112375099405</v>
      </c>
      <c r="AL124">
        <v>16796.026969882318</v>
      </c>
      <c r="AM124">
        <v>15925.340150132904</v>
      </c>
      <c r="AN124">
        <v>13790.300816515442</v>
      </c>
      <c r="AO124">
        <v>12715.348405315324</v>
      </c>
      <c r="AP124">
        <v>12129.48888332788</v>
      </c>
      <c r="AQ124">
        <v>11541.048035760638</v>
      </c>
      <c r="AR124">
        <v>10982.75421524985</v>
      </c>
      <c r="AS124">
        <v>10541.451269830848</v>
      </c>
      <c r="AT124">
        <v>9342.8859067586927</v>
      </c>
      <c r="AU124">
        <v>8859.8159687969583</v>
      </c>
      <c r="AV124">
        <v>8379.022096339806</v>
      </c>
      <c r="AW124">
        <v>8062.1646956230597</v>
      </c>
      <c r="AX124">
        <v>7779.9666028391639</v>
      </c>
      <c r="AY124">
        <v>7493.5934736779727</v>
      </c>
      <c r="AZ124">
        <v>7144.0072180408924</v>
      </c>
      <c r="BA124">
        <v>6705.9697513665997</v>
      </c>
      <c r="BB124">
        <v>6261.5864948495146</v>
      </c>
      <c r="BC124">
        <v>5816.4621281037726</v>
      </c>
      <c r="BD124">
        <v>4669.1826986943352</v>
      </c>
      <c r="BE124">
        <v>4078.4329420289605</v>
      </c>
      <c r="BF124">
        <v>3835.7687289693918</v>
      </c>
      <c r="BG124">
        <v>3621.2022496163627</v>
      </c>
      <c r="BH124">
        <v>3418.6458352666705</v>
      </c>
      <c r="BI124">
        <v>3213.6800578397083</v>
      </c>
      <c r="BJ124">
        <v>3021.4794130229548</v>
      </c>
      <c r="BK124">
        <v>2862.1197645586044</v>
      </c>
      <c r="BL124">
        <v>2687.7127877764419</v>
      </c>
      <c r="BM124">
        <v>2521.8734571580198</v>
      </c>
      <c r="BN124">
        <v>2362.7256532926813</v>
      </c>
    </row>
    <row r="125" spans="1:66" x14ac:dyDescent="0.25">
      <c r="A125" t="s">
        <v>221</v>
      </c>
      <c r="B125" t="s">
        <v>536</v>
      </c>
      <c r="C125" t="s">
        <v>530</v>
      </c>
      <c r="D125" t="s">
        <v>523</v>
      </c>
      <c r="E125" t="s">
        <v>521</v>
      </c>
      <c r="F125">
        <v>3429.1023206090149</v>
      </c>
      <c r="G125">
        <v>3582.0933132143959</v>
      </c>
      <c r="H125">
        <v>3230.4006797977117</v>
      </c>
      <c r="I125">
        <v>3072.4080540294026</v>
      </c>
      <c r="J125">
        <v>2943.5832063652938</v>
      </c>
      <c r="K125">
        <v>3036.6428253355557</v>
      </c>
      <c r="L125">
        <v>3231.1178764295346</v>
      </c>
      <c r="M125">
        <v>3121.0509253025539</v>
      </c>
      <c r="N125">
        <v>3108.4252054479571</v>
      </c>
      <c r="O125">
        <v>3287.2502963250704</v>
      </c>
      <c r="P125">
        <v>3324.3535917273935</v>
      </c>
      <c r="Q125">
        <v>3441.9326499549325</v>
      </c>
      <c r="R125">
        <v>3562.3255597822995</v>
      </c>
      <c r="S125">
        <v>3798.3629146741546</v>
      </c>
      <c r="T125">
        <v>3833.9993752516589</v>
      </c>
      <c r="U125">
        <v>3949.7863117346769</v>
      </c>
      <c r="V125">
        <v>4067.1636114352182</v>
      </c>
      <c r="W125">
        <v>4324.6641433976283</v>
      </c>
      <c r="X125">
        <v>4207.5754142911601</v>
      </c>
      <c r="Y125">
        <v>4156.3376144420381</v>
      </c>
      <c r="Z125">
        <v>4471.2064224286651</v>
      </c>
      <c r="AA125">
        <v>4511.1732699008671</v>
      </c>
      <c r="AB125">
        <v>4584.743425822363</v>
      </c>
      <c r="AC125">
        <v>4716.1203271304976</v>
      </c>
      <c r="AD125">
        <v>4887.0741014170871</v>
      </c>
      <c r="AE125">
        <v>5014.426570819578</v>
      </c>
      <c r="AF125">
        <v>4761.4486978313562</v>
      </c>
      <c r="AG125">
        <v>4803.9943473754338</v>
      </c>
      <c r="AH125">
        <v>4679.6792337008401</v>
      </c>
      <c r="AI125">
        <v>4713.1761267541115</v>
      </c>
      <c r="AJ125">
        <v>4482.2708369643005</v>
      </c>
      <c r="AK125">
        <v>4684.6924221093341</v>
      </c>
      <c r="AL125">
        <v>4615.5306846943822</v>
      </c>
      <c r="AM125">
        <v>4527.0774901879577</v>
      </c>
      <c r="AN125">
        <v>4561.4447140260791</v>
      </c>
      <c r="AO125">
        <v>4531.5830099871328</v>
      </c>
      <c r="AP125">
        <v>4520.2431432731055</v>
      </c>
      <c r="AQ125">
        <v>4475.9232009926691</v>
      </c>
      <c r="AR125">
        <v>4437.3438495564887</v>
      </c>
      <c r="AS125">
        <v>4418.4714579346737</v>
      </c>
      <c r="AT125">
        <v>4189.6175136617467</v>
      </c>
      <c r="AU125">
        <v>4152.7025661890148</v>
      </c>
      <c r="AV125">
        <v>4118.1638381475086</v>
      </c>
      <c r="AW125">
        <v>4074.2373670370253</v>
      </c>
      <c r="AX125">
        <v>4037.058820961443</v>
      </c>
      <c r="AY125">
        <v>4032.1997556739379</v>
      </c>
      <c r="AZ125">
        <v>3995.9161703264613</v>
      </c>
      <c r="BA125">
        <v>3975.3458681184584</v>
      </c>
      <c r="BB125">
        <v>3956.6216979861979</v>
      </c>
      <c r="BC125">
        <v>3939.8745394675066</v>
      </c>
      <c r="BD125">
        <v>3868.9310985478323</v>
      </c>
      <c r="BE125">
        <v>3857.8291521529131</v>
      </c>
      <c r="BF125">
        <v>3849.1543209366041</v>
      </c>
      <c r="BG125">
        <v>3844.9585287107939</v>
      </c>
      <c r="BH125">
        <v>3843.2882370622556</v>
      </c>
      <c r="BI125">
        <v>3843.9088929607183</v>
      </c>
      <c r="BJ125">
        <v>3847.400115947531</v>
      </c>
      <c r="BK125">
        <v>3853.83891593199</v>
      </c>
      <c r="BL125">
        <v>3862.0590012565413</v>
      </c>
      <c r="BM125">
        <v>3871.3081527366885</v>
      </c>
      <c r="BN125">
        <v>3883.1322715546039</v>
      </c>
    </row>
    <row r="126" spans="1:66" x14ac:dyDescent="0.25">
      <c r="A126" t="s">
        <v>221</v>
      </c>
      <c r="B126" t="s">
        <v>536</v>
      </c>
      <c r="C126" t="s">
        <v>530</v>
      </c>
      <c r="D126" t="s">
        <v>524</v>
      </c>
      <c r="E126" t="s">
        <v>521</v>
      </c>
      <c r="F126">
        <v>1816.6596733237263</v>
      </c>
      <c r="G126">
        <v>1893.7218802684215</v>
      </c>
      <c r="H126">
        <v>1971.3222733100288</v>
      </c>
      <c r="I126">
        <v>2049.4503492491226</v>
      </c>
      <c r="J126">
        <v>1947.5325263313807</v>
      </c>
      <c r="K126">
        <v>2023.8252549837712</v>
      </c>
      <c r="L126">
        <v>2102.1656796823004</v>
      </c>
      <c r="M126">
        <v>2125.7547716447093</v>
      </c>
      <c r="N126">
        <v>2086.8629737313777</v>
      </c>
      <c r="O126">
        <v>2084.0346339247499</v>
      </c>
      <c r="P126">
        <v>2103.6901401299438</v>
      </c>
      <c r="Q126">
        <v>2134.2537068539705</v>
      </c>
      <c r="R126">
        <v>2173.5947283527944</v>
      </c>
      <c r="S126">
        <v>2101.4028129686244</v>
      </c>
      <c r="T126">
        <v>2124.9026062551302</v>
      </c>
      <c r="U126">
        <v>2134.5667014321762</v>
      </c>
      <c r="V126">
        <v>1957.2003317893241</v>
      </c>
      <c r="W126">
        <v>1922.5694677164029</v>
      </c>
      <c r="X126">
        <v>1846.56179242198</v>
      </c>
      <c r="Y126">
        <v>1723.3205496528278</v>
      </c>
      <c r="Z126">
        <v>1665.7456629024559</v>
      </c>
      <c r="AA126">
        <v>1519.6605558608351</v>
      </c>
      <c r="AB126">
        <v>1410.5413176396301</v>
      </c>
      <c r="AC126">
        <v>1359.9084848190901</v>
      </c>
      <c r="AD126">
        <v>1314.1708670740722</v>
      </c>
      <c r="AE126">
        <v>1275.9271345153275</v>
      </c>
      <c r="AF126">
        <v>1246.0586846922251</v>
      </c>
      <c r="AG126">
        <v>1214.8602401561525</v>
      </c>
      <c r="AH126">
        <v>1156.3598029499428</v>
      </c>
      <c r="AI126">
        <v>1114.3950725962225</v>
      </c>
      <c r="AJ126">
        <v>1075.3643344180375</v>
      </c>
      <c r="AK126">
        <v>1058.4109684228663</v>
      </c>
      <c r="AL126">
        <v>1033.212300658286</v>
      </c>
      <c r="AM126">
        <v>996.3164129459052</v>
      </c>
      <c r="AN126">
        <v>960.78960512158892</v>
      </c>
      <c r="AO126">
        <v>925.04832155596773</v>
      </c>
      <c r="AP126">
        <v>889.02457419959956</v>
      </c>
      <c r="AQ126">
        <v>853.30502435548965</v>
      </c>
      <c r="AR126">
        <v>818.06085119369118</v>
      </c>
      <c r="AS126">
        <v>783.33888514538035</v>
      </c>
      <c r="AT126">
        <v>749.00661600423484</v>
      </c>
      <c r="AU126">
        <v>713.12299893040836</v>
      </c>
      <c r="AV126">
        <v>681.75265381906581</v>
      </c>
      <c r="AW126">
        <v>653.07251772298503</v>
      </c>
      <c r="AX126">
        <v>626.11264777642305</v>
      </c>
      <c r="AY126">
        <v>600.52316314937514</v>
      </c>
      <c r="AZ126">
        <v>575.86587763045134</v>
      </c>
      <c r="BA126">
        <v>552.05563434795374</v>
      </c>
      <c r="BB126">
        <v>529.03379695458602</v>
      </c>
      <c r="BC126">
        <v>506.69177205864327</v>
      </c>
      <c r="BD126">
        <v>485.08300206828466</v>
      </c>
      <c r="BE126">
        <v>465.02988086753226</v>
      </c>
      <c r="BF126">
        <v>445.48055289878113</v>
      </c>
      <c r="BG126">
        <v>426.42962227669557</v>
      </c>
      <c r="BH126">
        <v>407.82667776884568</v>
      </c>
      <c r="BI126">
        <v>389.73655503451369</v>
      </c>
      <c r="BJ126">
        <v>372.05944067249334</v>
      </c>
      <c r="BK126">
        <v>354.75156639017149</v>
      </c>
      <c r="BL126">
        <v>337.84939136662678</v>
      </c>
      <c r="BM126">
        <v>321.36782763857866</v>
      </c>
      <c r="BN126">
        <v>305.31110019557548</v>
      </c>
    </row>
    <row r="127" spans="1:66" x14ac:dyDescent="0.25">
      <c r="A127" t="s">
        <v>221</v>
      </c>
      <c r="B127" t="s">
        <v>536</v>
      </c>
      <c r="C127" t="s">
        <v>530</v>
      </c>
      <c r="D127" t="s">
        <v>525</v>
      </c>
      <c r="E127" t="s">
        <v>521</v>
      </c>
      <c r="F127">
        <v>29012.897398845394</v>
      </c>
      <c r="G127">
        <v>29733.023075344903</v>
      </c>
      <c r="H127">
        <v>31320.108193971439</v>
      </c>
      <c r="I127">
        <v>30769.917679558341</v>
      </c>
      <c r="J127">
        <v>30855.464305886358</v>
      </c>
      <c r="K127">
        <v>30807.15278760434</v>
      </c>
      <c r="L127">
        <v>32676.98144102552</v>
      </c>
      <c r="M127">
        <v>34628.447074801872</v>
      </c>
      <c r="N127">
        <v>32996.622945367468</v>
      </c>
      <c r="O127">
        <v>34535.956774742503</v>
      </c>
      <c r="P127">
        <v>35323.941097221861</v>
      </c>
      <c r="Q127">
        <v>37491.528269252616</v>
      </c>
      <c r="R127">
        <v>37597.790313188299</v>
      </c>
      <c r="S127">
        <v>39187.525100695137</v>
      </c>
      <c r="T127">
        <v>38883.963267331026</v>
      </c>
      <c r="U127">
        <v>40602.92604799055</v>
      </c>
      <c r="V127">
        <v>40941.03411633549</v>
      </c>
      <c r="W127">
        <v>39756.054114169223</v>
      </c>
      <c r="X127">
        <v>40704.644922956213</v>
      </c>
      <c r="Y127">
        <v>37851.584943027628</v>
      </c>
      <c r="Z127">
        <v>38258.189555380639</v>
      </c>
      <c r="AA127">
        <v>37476.742760931345</v>
      </c>
      <c r="AB127">
        <v>38822.24438135275</v>
      </c>
      <c r="AC127">
        <v>38042.386442328796</v>
      </c>
      <c r="AD127">
        <v>38239.490669053106</v>
      </c>
      <c r="AE127">
        <v>38574.2154058343</v>
      </c>
      <c r="AF127">
        <v>36887.73781690115</v>
      </c>
      <c r="AG127">
        <v>38354.032701478282</v>
      </c>
      <c r="AH127">
        <v>38244.89921952338</v>
      </c>
      <c r="AI127">
        <v>39634.847827478443</v>
      </c>
      <c r="AJ127">
        <v>36911.614290734949</v>
      </c>
      <c r="AK127">
        <v>38349.911210874074</v>
      </c>
      <c r="AL127">
        <v>37409.548490366025</v>
      </c>
      <c r="AM127">
        <v>36477.780901848506</v>
      </c>
      <c r="AN127">
        <v>34130.887386768612</v>
      </c>
      <c r="AO127">
        <v>32702.596327500138</v>
      </c>
      <c r="AP127">
        <v>31627.502440317789</v>
      </c>
      <c r="AQ127">
        <v>30411.939964309277</v>
      </c>
      <c r="AR127">
        <v>29164.445406644227</v>
      </c>
      <c r="AS127">
        <v>27963.505838441753</v>
      </c>
      <c r="AT127">
        <v>25794.332390012245</v>
      </c>
      <c r="AU127">
        <v>24456.99457516654</v>
      </c>
      <c r="AV127">
        <v>23123.823784924349</v>
      </c>
      <c r="AW127">
        <v>21937.04600066382</v>
      </c>
      <c r="AX127">
        <v>20805.785294686804</v>
      </c>
      <c r="AY127">
        <v>19716.454491670818</v>
      </c>
      <c r="AZ127">
        <v>18576.87453686566</v>
      </c>
      <c r="BA127">
        <v>17393.172642439727</v>
      </c>
      <c r="BB127">
        <v>16313.264391992294</v>
      </c>
      <c r="BC127">
        <v>15199.198142062081</v>
      </c>
      <c r="BD127">
        <v>13491.00787683958</v>
      </c>
      <c r="BE127">
        <v>12408.965515062791</v>
      </c>
      <c r="BF127">
        <v>11698.766111113964</v>
      </c>
      <c r="BG127">
        <v>11119.549552323615</v>
      </c>
      <c r="BH127">
        <v>10487.620658718568</v>
      </c>
      <c r="BI127">
        <v>9881.3717666723242</v>
      </c>
      <c r="BJ127">
        <v>9389.3466603362776</v>
      </c>
      <c r="BK127">
        <v>8948.5027300034453</v>
      </c>
      <c r="BL127">
        <v>8539.2418826123976</v>
      </c>
      <c r="BM127">
        <v>8163.1215697160342</v>
      </c>
      <c r="BN127">
        <v>7809.9015289295394</v>
      </c>
    </row>
    <row r="128" spans="1:66" x14ac:dyDescent="0.25">
      <c r="A128" t="s">
        <v>222</v>
      </c>
      <c r="B128" t="s">
        <v>536</v>
      </c>
      <c r="C128" t="s">
        <v>531</v>
      </c>
      <c r="D128" t="s">
        <v>518</v>
      </c>
      <c r="E128" t="s">
        <v>519</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11.416538041464802</v>
      </c>
      <c r="AA128">
        <v>8.7327708333333316</v>
      </c>
      <c r="AB128">
        <v>2.2770791666666668</v>
      </c>
      <c r="AC128">
        <v>1.3566666666666667</v>
      </c>
      <c r="AD128">
        <v>1.9666666666666663</v>
      </c>
      <c r="AE128">
        <v>4.4622309027777769</v>
      </c>
      <c r="AF128">
        <v>7.7698003472222208</v>
      </c>
      <c r="AG128">
        <v>11.941235920833332</v>
      </c>
      <c r="AH128">
        <v>18.817684762500001</v>
      </c>
      <c r="AI128">
        <v>24.5</v>
      </c>
      <c r="AJ128">
        <v>30</v>
      </c>
      <c r="AK128">
        <v>46.305643178011259</v>
      </c>
      <c r="AL128">
        <v>69.696559398715706</v>
      </c>
      <c r="AM128">
        <v>250</v>
      </c>
      <c r="AN128">
        <v>257.5</v>
      </c>
      <c r="AO128">
        <v>265.22500000000002</v>
      </c>
      <c r="AP128">
        <v>273.18175000000002</v>
      </c>
      <c r="AQ128">
        <v>281.37720250000001</v>
      </c>
      <c r="AR128">
        <v>289.81851857500004</v>
      </c>
      <c r="AS128">
        <v>298.51307413225004</v>
      </c>
      <c r="AT128">
        <v>307.46846635621756</v>
      </c>
      <c r="AU128">
        <v>316.69252034690408</v>
      </c>
      <c r="AV128">
        <v>326.19329595731119</v>
      </c>
      <c r="AW128">
        <v>335.97909483603053</v>
      </c>
      <c r="AX128">
        <v>346.05846768111144</v>
      </c>
      <c r="AY128">
        <v>356.44022171154478</v>
      </c>
      <c r="AZ128">
        <v>367.13342836289115</v>
      </c>
      <c r="BA128">
        <v>378.14743121377791</v>
      </c>
      <c r="BB128">
        <v>389.49185415019127</v>
      </c>
      <c r="BC128">
        <v>401.176609774697</v>
      </c>
      <c r="BD128">
        <v>413.21190806793794</v>
      </c>
      <c r="BE128">
        <v>425.6082653099761</v>
      </c>
      <c r="BF128">
        <v>438.37651326927539</v>
      </c>
      <c r="BG128">
        <v>451.52780866735367</v>
      </c>
      <c r="BH128">
        <v>465.07364292737429</v>
      </c>
      <c r="BI128">
        <v>479.02585221519553</v>
      </c>
      <c r="BJ128">
        <v>493.39662778165143</v>
      </c>
      <c r="BK128">
        <v>508.198526615101</v>
      </c>
      <c r="BL128">
        <v>523.44448241355406</v>
      </c>
      <c r="BM128">
        <v>539.14781688596065</v>
      </c>
      <c r="BN128">
        <v>555.32225139253944</v>
      </c>
    </row>
    <row r="129" spans="1:66" x14ac:dyDescent="0.25">
      <c r="A129" t="s">
        <v>222</v>
      </c>
      <c r="B129" t="s">
        <v>536</v>
      </c>
      <c r="C129" t="s">
        <v>531</v>
      </c>
      <c r="D129" t="s">
        <v>520</v>
      </c>
      <c r="E129" t="s">
        <v>521</v>
      </c>
      <c r="F129">
        <v>8126.1945618773643</v>
      </c>
      <c r="G129">
        <v>8106.661121873205</v>
      </c>
      <c r="H129">
        <v>8469.9964545997555</v>
      </c>
      <c r="I129">
        <v>8922.6885824844103</v>
      </c>
      <c r="J129">
        <v>9583.8002483498967</v>
      </c>
      <c r="K129">
        <v>10247.564720783123</v>
      </c>
      <c r="L129">
        <v>10378.724398951666</v>
      </c>
      <c r="M129">
        <v>10605.333888617772</v>
      </c>
      <c r="N129">
        <v>10810.458340752642</v>
      </c>
      <c r="O129">
        <v>11096.605458727845</v>
      </c>
      <c r="P129">
        <v>11648.310343290637</v>
      </c>
      <c r="Q129">
        <v>11705.871223077451</v>
      </c>
      <c r="R129">
        <v>12162.021231248526</v>
      </c>
      <c r="S129">
        <v>12697.797549640931</v>
      </c>
      <c r="T129">
        <v>12992.367162928625</v>
      </c>
      <c r="U129">
        <v>13063.440862686894</v>
      </c>
      <c r="V129">
        <v>13182.198504199005</v>
      </c>
      <c r="W129">
        <v>13284.806809600492</v>
      </c>
      <c r="X129">
        <v>13293.959706338926</v>
      </c>
      <c r="Y129">
        <v>13101.086214174264</v>
      </c>
      <c r="Z129">
        <v>13348.937535477718</v>
      </c>
      <c r="AA129">
        <v>13331.827621000642</v>
      </c>
      <c r="AB129">
        <v>13006.487718579234</v>
      </c>
      <c r="AC129">
        <v>13081.360160828839</v>
      </c>
      <c r="AD129">
        <v>13339.646613066796</v>
      </c>
      <c r="AE129">
        <v>13805.025309105527</v>
      </c>
      <c r="AF129">
        <v>13906.520809611657</v>
      </c>
      <c r="AG129">
        <v>14803.702978914342</v>
      </c>
      <c r="AH129">
        <v>15126.124771992951</v>
      </c>
      <c r="AI129">
        <v>14654.704680232724</v>
      </c>
      <c r="AJ129">
        <v>13175.66592208733</v>
      </c>
      <c r="AK129">
        <v>14276.695445242463</v>
      </c>
      <c r="AL129">
        <v>14964.778535131045</v>
      </c>
      <c r="AM129">
        <v>15024.389060375936</v>
      </c>
      <c r="AN129">
        <v>14805.973852040335</v>
      </c>
      <c r="AO129">
        <v>14504.695147765286</v>
      </c>
      <c r="AP129">
        <v>14040.36139594367</v>
      </c>
      <c r="AQ129">
        <v>13484.266203815985</v>
      </c>
      <c r="AR129">
        <v>12840.686975541523</v>
      </c>
      <c r="AS129">
        <v>12171.14208697705</v>
      </c>
      <c r="AT129">
        <v>11438.056302987594</v>
      </c>
      <c r="AU129">
        <v>10633.524935046333</v>
      </c>
      <c r="AV129">
        <v>9839.0712232543974</v>
      </c>
      <c r="AW129">
        <v>9075.6106713164863</v>
      </c>
      <c r="AX129">
        <v>8288.0379112577721</v>
      </c>
      <c r="AY129">
        <v>7522.8268743788258</v>
      </c>
      <c r="AZ129">
        <v>6794.6419591346466</v>
      </c>
      <c r="BA129">
        <v>6096.888764152729</v>
      </c>
      <c r="BB129">
        <v>5480.7774738489734</v>
      </c>
      <c r="BC129">
        <v>4855.2282694574951</v>
      </c>
      <c r="BD129">
        <v>4415.1019918732127</v>
      </c>
      <c r="BE129">
        <v>3959.1531180164907</v>
      </c>
      <c r="BF129">
        <v>3534.9850670985043</v>
      </c>
      <c r="BG129">
        <v>3159.6162190777668</v>
      </c>
      <c r="BH129">
        <v>2769.7705135667788</v>
      </c>
      <c r="BI129">
        <v>2433.8350942634224</v>
      </c>
      <c r="BJ129">
        <v>2121.9891367404089</v>
      </c>
      <c r="BK129">
        <v>1856.0177820198903</v>
      </c>
      <c r="BL129">
        <v>1649.148710272789</v>
      </c>
      <c r="BM129">
        <v>1431.4625132111389</v>
      </c>
      <c r="BN129">
        <v>1244.4923046275833</v>
      </c>
    </row>
    <row r="130" spans="1:66" x14ac:dyDescent="0.25">
      <c r="A130" t="s">
        <v>222</v>
      </c>
      <c r="B130" t="s">
        <v>536</v>
      </c>
      <c r="C130" t="s">
        <v>531</v>
      </c>
      <c r="D130" t="s">
        <v>522</v>
      </c>
      <c r="E130" t="s">
        <v>521</v>
      </c>
      <c r="F130">
        <v>15640.940843035291</v>
      </c>
      <c r="G130">
        <v>16150.546759988883</v>
      </c>
      <c r="H130">
        <v>17648.388786263939</v>
      </c>
      <c r="I130">
        <v>16725.370693795405</v>
      </c>
      <c r="J130">
        <v>16380.548324839787</v>
      </c>
      <c r="K130">
        <v>15499.119986501893</v>
      </c>
      <c r="L130">
        <v>16964.973485962018</v>
      </c>
      <c r="M130">
        <v>18776.307489236842</v>
      </c>
      <c r="N130">
        <v>16990.87642543549</v>
      </c>
      <c r="O130">
        <v>18068.06638576484</v>
      </c>
      <c r="P130">
        <v>18247.587022073894</v>
      </c>
      <c r="Q130">
        <v>20209.470689366266</v>
      </c>
      <c r="R130">
        <v>19699.848793804682</v>
      </c>
      <c r="S130">
        <v>20589.961823411428</v>
      </c>
      <c r="T130">
        <v>19932.694122895617</v>
      </c>
      <c r="U130">
        <v>21455.132172136808</v>
      </c>
      <c r="V130">
        <v>21734.471668911941</v>
      </c>
      <c r="W130">
        <v>20224.013693454704</v>
      </c>
      <c r="X130">
        <v>21356.548009904149</v>
      </c>
      <c r="Y130">
        <v>18870.840564758502</v>
      </c>
      <c r="Z130">
        <v>18772.299934571802</v>
      </c>
      <c r="AA130">
        <v>18114.081314169005</v>
      </c>
      <c r="AB130">
        <v>19820.47191931152</v>
      </c>
      <c r="AC130">
        <v>18884.997469550366</v>
      </c>
      <c r="AD130">
        <v>18698.599087495157</v>
      </c>
      <c r="AE130">
        <v>18478.836391393874</v>
      </c>
      <c r="AF130">
        <v>16973.70962476591</v>
      </c>
      <c r="AG130">
        <v>17531.475135032353</v>
      </c>
      <c r="AH130">
        <v>17282.73541087965</v>
      </c>
      <c r="AI130">
        <v>19152.571947895391</v>
      </c>
      <c r="AJ130">
        <v>18178.313197265285</v>
      </c>
      <c r="AK130">
        <v>18330.112375099405</v>
      </c>
      <c r="AL130">
        <v>16799.139791345187</v>
      </c>
      <c r="AM130">
        <v>15622.87895125797</v>
      </c>
      <c r="AN130">
        <v>13210.787554956272</v>
      </c>
      <c r="AO130">
        <v>12098.225148565785</v>
      </c>
      <c r="AP130">
        <v>11622.70830015928</v>
      </c>
      <c r="AQ130">
        <v>11216.425892122039</v>
      </c>
      <c r="AR130">
        <v>10686.637218138929</v>
      </c>
      <c r="AS130">
        <v>10217.900213309716</v>
      </c>
      <c r="AT130">
        <v>8913.7636428880705</v>
      </c>
      <c r="AU130">
        <v>8411.9299569459035</v>
      </c>
      <c r="AV130">
        <v>7974.3598711509394</v>
      </c>
      <c r="AW130">
        <v>7619.3041233822541</v>
      </c>
      <c r="AX130">
        <v>7254.9448812401306</v>
      </c>
      <c r="AY130">
        <v>6865.4861449557129</v>
      </c>
      <c r="AZ130">
        <v>6492.7513434746788</v>
      </c>
      <c r="BA130">
        <v>6232.8000573829268</v>
      </c>
      <c r="BB130">
        <v>5755.6149974531272</v>
      </c>
      <c r="BC130">
        <v>5485.2639853162837</v>
      </c>
      <c r="BD130">
        <v>4230.8029732662599</v>
      </c>
      <c r="BE130">
        <v>3989.9444488716435</v>
      </c>
      <c r="BF130">
        <v>3755.449468115642</v>
      </c>
      <c r="BG130">
        <v>3552.3872924684292</v>
      </c>
      <c r="BH130">
        <v>3343.2998345630281</v>
      </c>
      <c r="BI130">
        <v>3147.4144801910666</v>
      </c>
      <c r="BJ130">
        <v>2985.6376603320946</v>
      </c>
      <c r="BK130">
        <v>2807.147264350549</v>
      </c>
      <c r="BL130">
        <v>2639.1345488468792</v>
      </c>
      <c r="BM130">
        <v>2475.768204230586</v>
      </c>
      <c r="BN130">
        <v>2320.2950945146631</v>
      </c>
    </row>
    <row r="131" spans="1:66" x14ac:dyDescent="0.25">
      <c r="A131" t="s">
        <v>222</v>
      </c>
      <c r="B131" t="s">
        <v>536</v>
      </c>
      <c r="C131" t="s">
        <v>531</v>
      </c>
      <c r="D131" t="s">
        <v>523</v>
      </c>
      <c r="E131" t="s">
        <v>521</v>
      </c>
      <c r="F131">
        <v>3429.1023206090149</v>
      </c>
      <c r="G131">
        <v>3582.0933132143959</v>
      </c>
      <c r="H131">
        <v>3230.4006797977117</v>
      </c>
      <c r="I131">
        <v>3072.4080540294026</v>
      </c>
      <c r="J131">
        <v>2943.5832063652938</v>
      </c>
      <c r="K131">
        <v>3036.6428253355557</v>
      </c>
      <c r="L131">
        <v>3231.1178764295346</v>
      </c>
      <c r="M131">
        <v>3121.0509253025539</v>
      </c>
      <c r="N131">
        <v>3108.4252054479571</v>
      </c>
      <c r="O131">
        <v>3287.2502963250704</v>
      </c>
      <c r="P131">
        <v>3324.3535917273935</v>
      </c>
      <c r="Q131">
        <v>3441.9326499549325</v>
      </c>
      <c r="R131">
        <v>3562.3255597822995</v>
      </c>
      <c r="S131">
        <v>3798.3629146741546</v>
      </c>
      <c r="T131">
        <v>3833.9993752516589</v>
      </c>
      <c r="U131">
        <v>3949.7863117346769</v>
      </c>
      <c r="V131">
        <v>4067.1636114352182</v>
      </c>
      <c r="W131">
        <v>4324.6641433976283</v>
      </c>
      <c r="X131">
        <v>4207.5754142911601</v>
      </c>
      <c r="Y131">
        <v>4156.3376144420381</v>
      </c>
      <c r="Z131">
        <v>4471.2064224286651</v>
      </c>
      <c r="AA131">
        <v>4511.1732699008671</v>
      </c>
      <c r="AB131">
        <v>4584.743425822363</v>
      </c>
      <c r="AC131">
        <v>4716.1203271304976</v>
      </c>
      <c r="AD131">
        <v>4887.0741014170871</v>
      </c>
      <c r="AE131">
        <v>5014.426570819578</v>
      </c>
      <c r="AF131">
        <v>4761.4486978313562</v>
      </c>
      <c r="AG131">
        <v>4803.9943473754338</v>
      </c>
      <c r="AH131">
        <v>4679.6792337008401</v>
      </c>
      <c r="AI131">
        <v>4713.1761267541115</v>
      </c>
      <c r="AJ131">
        <v>4482.2708369643005</v>
      </c>
      <c r="AK131">
        <v>4684.6924221093341</v>
      </c>
      <c r="AL131">
        <v>4615.5306846943822</v>
      </c>
      <c r="AM131">
        <v>4527.0774901879577</v>
      </c>
      <c r="AN131">
        <v>4561.4447140260791</v>
      </c>
      <c r="AO131">
        <v>4531.5830099871318</v>
      </c>
      <c r="AP131">
        <v>4520.2431432731055</v>
      </c>
      <c r="AQ131">
        <v>4475.9232009926691</v>
      </c>
      <c r="AR131">
        <v>4437.3438495564887</v>
      </c>
      <c r="AS131">
        <v>4418.4714579346737</v>
      </c>
      <c r="AT131">
        <v>4189.6175136617467</v>
      </c>
      <c r="AU131">
        <v>4152.7025661890148</v>
      </c>
      <c r="AV131">
        <v>4118.1638381475086</v>
      </c>
      <c r="AW131">
        <v>4074.2373670370253</v>
      </c>
      <c r="AX131">
        <v>4037.0588209614434</v>
      </c>
      <c r="AY131">
        <v>4032.1997556739384</v>
      </c>
      <c r="AZ131">
        <v>3995.9161703264613</v>
      </c>
      <c r="BA131">
        <v>3975.3458681184588</v>
      </c>
      <c r="BB131">
        <v>3956.6216979861983</v>
      </c>
      <c r="BC131">
        <v>3939.874539467507</v>
      </c>
      <c r="BD131">
        <v>3868.9310985478323</v>
      </c>
      <c r="BE131">
        <v>3857.8291521529131</v>
      </c>
      <c r="BF131">
        <v>3849.1543209366041</v>
      </c>
      <c r="BG131">
        <v>3844.9585287107934</v>
      </c>
      <c r="BH131">
        <v>3843.2882370622556</v>
      </c>
      <c r="BI131">
        <v>3843.9088929607178</v>
      </c>
      <c r="BJ131">
        <v>3847.400115947531</v>
      </c>
      <c r="BK131">
        <v>3853.83891593199</v>
      </c>
      <c r="BL131">
        <v>3862.0590012565413</v>
      </c>
      <c r="BM131">
        <v>3871.308152736688</v>
      </c>
      <c r="BN131">
        <v>3883.1322715546034</v>
      </c>
    </row>
    <row r="132" spans="1:66" x14ac:dyDescent="0.25">
      <c r="A132" t="s">
        <v>222</v>
      </c>
      <c r="B132" t="s">
        <v>536</v>
      </c>
      <c r="C132" t="s">
        <v>531</v>
      </c>
      <c r="D132" t="s">
        <v>524</v>
      </c>
      <c r="E132" t="s">
        <v>521</v>
      </c>
      <c r="F132">
        <v>1816.6596733237263</v>
      </c>
      <c r="G132">
        <v>1893.7218802684215</v>
      </c>
      <c r="H132">
        <v>1971.3222733100288</v>
      </c>
      <c r="I132">
        <v>2049.4503492491226</v>
      </c>
      <c r="J132">
        <v>1947.5325263313807</v>
      </c>
      <c r="K132">
        <v>2023.8252549837712</v>
      </c>
      <c r="L132">
        <v>2102.1656796823004</v>
      </c>
      <c r="M132">
        <v>2125.7547716447093</v>
      </c>
      <c r="N132">
        <v>2086.8629737313777</v>
      </c>
      <c r="O132">
        <v>2084.0346339247499</v>
      </c>
      <c r="P132">
        <v>2103.6901401299438</v>
      </c>
      <c r="Q132">
        <v>2134.2537068539705</v>
      </c>
      <c r="R132">
        <v>2173.5947283527944</v>
      </c>
      <c r="S132">
        <v>2101.4028129686244</v>
      </c>
      <c r="T132">
        <v>2124.9026062551302</v>
      </c>
      <c r="U132">
        <v>2134.5667014321762</v>
      </c>
      <c r="V132">
        <v>1957.2003317893241</v>
      </c>
      <c r="W132">
        <v>1922.5694677164029</v>
      </c>
      <c r="X132">
        <v>1846.56179242198</v>
      </c>
      <c r="Y132">
        <v>1723.3205496528278</v>
      </c>
      <c r="Z132">
        <v>1665.7456629024559</v>
      </c>
      <c r="AA132">
        <v>1519.6605558608351</v>
      </c>
      <c r="AB132">
        <v>1410.5413176396301</v>
      </c>
      <c r="AC132">
        <v>1359.9084848190901</v>
      </c>
      <c r="AD132">
        <v>1314.1708670740722</v>
      </c>
      <c r="AE132">
        <v>1275.9271345153275</v>
      </c>
      <c r="AF132">
        <v>1246.0586846922251</v>
      </c>
      <c r="AG132">
        <v>1214.8602401561525</v>
      </c>
      <c r="AH132">
        <v>1156.3598029499428</v>
      </c>
      <c r="AI132">
        <v>1114.3950725962225</v>
      </c>
      <c r="AJ132">
        <v>1075.3643344180375</v>
      </c>
      <c r="AK132">
        <v>1058.4109684228663</v>
      </c>
      <c r="AL132">
        <v>1033.212300658286</v>
      </c>
      <c r="AM132">
        <v>996.3164129459052</v>
      </c>
      <c r="AN132">
        <v>960.78960512158892</v>
      </c>
      <c r="AO132">
        <v>925.04832155596773</v>
      </c>
      <c r="AP132">
        <v>889.02457419959956</v>
      </c>
      <c r="AQ132">
        <v>853.30502435548965</v>
      </c>
      <c r="AR132">
        <v>818.06085119369118</v>
      </c>
      <c r="AS132">
        <v>783.33888514538035</v>
      </c>
      <c r="AT132">
        <v>749.00661600423484</v>
      </c>
      <c r="AU132">
        <v>713.12299893040836</v>
      </c>
      <c r="AV132">
        <v>681.75265381906581</v>
      </c>
      <c r="AW132">
        <v>653.07251772298503</v>
      </c>
      <c r="AX132">
        <v>626.11264777642305</v>
      </c>
      <c r="AY132">
        <v>600.52316314937514</v>
      </c>
      <c r="AZ132">
        <v>575.86587763045134</v>
      </c>
      <c r="BA132">
        <v>552.05563434795374</v>
      </c>
      <c r="BB132">
        <v>529.03379695458602</v>
      </c>
      <c r="BC132">
        <v>506.69177205864327</v>
      </c>
      <c r="BD132">
        <v>485.08300206828466</v>
      </c>
      <c r="BE132">
        <v>465.02988086753226</v>
      </c>
      <c r="BF132">
        <v>445.48055289878113</v>
      </c>
      <c r="BG132">
        <v>426.42962227669557</v>
      </c>
      <c r="BH132">
        <v>407.82667776884568</v>
      </c>
      <c r="BI132">
        <v>389.73655503451369</v>
      </c>
      <c r="BJ132">
        <v>372.05944067249334</v>
      </c>
      <c r="BK132">
        <v>354.75156639017149</v>
      </c>
      <c r="BL132">
        <v>337.84939136662678</v>
      </c>
      <c r="BM132">
        <v>321.36782763857866</v>
      </c>
      <c r="BN132">
        <v>305.31110019557548</v>
      </c>
    </row>
    <row r="133" spans="1:66" x14ac:dyDescent="0.25">
      <c r="A133" t="s">
        <v>222</v>
      </c>
      <c r="B133" t="s">
        <v>536</v>
      </c>
      <c r="C133" t="s">
        <v>531</v>
      </c>
      <c r="D133" t="s">
        <v>525</v>
      </c>
      <c r="E133" t="s">
        <v>521</v>
      </c>
      <c r="F133">
        <v>29012.897398845394</v>
      </c>
      <c r="G133">
        <v>29733.023075344903</v>
      </c>
      <c r="H133">
        <v>31320.108193971439</v>
      </c>
      <c r="I133">
        <v>30769.917679558341</v>
      </c>
      <c r="J133">
        <v>30855.464305886358</v>
      </c>
      <c r="K133">
        <v>30807.15278760434</v>
      </c>
      <c r="L133">
        <v>32676.98144102552</v>
      </c>
      <c r="M133">
        <v>34628.447074801872</v>
      </c>
      <c r="N133">
        <v>32996.622945367468</v>
      </c>
      <c r="O133">
        <v>34535.956774742503</v>
      </c>
      <c r="P133">
        <v>35323.941097221861</v>
      </c>
      <c r="Q133">
        <v>37491.528269252616</v>
      </c>
      <c r="R133">
        <v>37597.790313188299</v>
      </c>
      <c r="S133">
        <v>39187.525100695137</v>
      </c>
      <c r="T133">
        <v>38883.963267331026</v>
      </c>
      <c r="U133">
        <v>40602.92604799055</v>
      </c>
      <c r="V133">
        <v>40941.03411633549</v>
      </c>
      <c r="W133">
        <v>39756.054114169223</v>
      </c>
      <c r="X133">
        <v>40704.644922956213</v>
      </c>
      <c r="Y133">
        <v>37851.584943027628</v>
      </c>
      <c r="Z133">
        <v>38258.189555380639</v>
      </c>
      <c r="AA133">
        <v>37476.742760931345</v>
      </c>
      <c r="AB133">
        <v>38822.24438135275</v>
      </c>
      <c r="AC133">
        <v>38042.386442328796</v>
      </c>
      <c r="AD133">
        <v>38239.490669053106</v>
      </c>
      <c r="AE133">
        <v>38574.2154058343</v>
      </c>
      <c r="AF133">
        <v>36887.73781690115</v>
      </c>
      <c r="AG133">
        <v>38354.032701478282</v>
      </c>
      <c r="AH133">
        <v>38244.89921952338</v>
      </c>
      <c r="AI133">
        <v>39634.847827478443</v>
      </c>
      <c r="AJ133">
        <v>36911.614290734949</v>
      </c>
      <c r="AK133">
        <v>38349.911210874074</v>
      </c>
      <c r="AL133">
        <v>37412.661311828895</v>
      </c>
      <c r="AM133">
        <v>36170.661914767763</v>
      </c>
      <c r="AN133">
        <v>33538.995726144276</v>
      </c>
      <c r="AO133">
        <v>32059.551627874171</v>
      </c>
      <c r="AP133">
        <v>31072.337413575657</v>
      </c>
      <c r="AQ133">
        <v>30029.920321286183</v>
      </c>
      <c r="AR133">
        <v>28782.728894430631</v>
      </c>
      <c r="AS133">
        <v>27590.852643366823</v>
      </c>
      <c r="AT133">
        <v>25290.444075541644</v>
      </c>
      <c r="AU133">
        <v>23911.280457111661</v>
      </c>
      <c r="AV133">
        <v>22613.34758637191</v>
      </c>
      <c r="AW133">
        <v>21422.224679458748</v>
      </c>
      <c r="AX133">
        <v>20206.15426123577</v>
      </c>
      <c r="AY133">
        <v>19021.035938157849</v>
      </c>
      <c r="AZ133">
        <v>17859.175350566238</v>
      </c>
      <c r="BA133">
        <v>16857.090324002067</v>
      </c>
      <c r="BB133">
        <v>15722.047966242884</v>
      </c>
      <c r="BC133">
        <v>14787.058566299929</v>
      </c>
      <c r="BD133">
        <v>12999.919065755588</v>
      </c>
      <c r="BE133">
        <v>12271.956599908581</v>
      </c>
      <c r="BF133">
        <v>11585.069409049533</v>
      </c>
      <c r="BG133">
        <v>10983.391662533684</v>
      </c>
      <c r="BH133">
        <v>10364.185262960907</v>
      </c>
      <c r="BI133">
        <v>9814.8950224497203</v>
      </c>
      <c r="BJ133">
        <v>9327.0863536925299</v>
      </c>
      <c r="BK133">
        <v>8871.7555286926017</v>
      </c>
      <c r="BL133">
        <v>8488.1916517428363</v>
      </c>
      <c r="BM133">
        <v>8099.9066978169913</v>
      </c>
      <c r="BN133">
        <v>7753.2307708924263</v>
      </c>
    </row>
    <row r="134" spans="1:66" x14ac:dyDescent="0.25">
      <c r="A134" t="s">
        <v>223</v>
      </c>
      <c r="B134" t="s">
        <v>536</v>
      </c>
      <c r="C134" t="s">
        <v>532</v>
      </c>
      <c r="D134" t="s">
        <v>518</v>
      </c>
      <c r="E134" t="s">
        <v>519</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11.416538041464802</v>
      </c>
      <c r="AA134">
        <v>8.7327708333333316</v>
      </c>
      <c r="AB134">
        <v>2.2770791666666668</v>
      </c>
      <c r="AC134">
        <v>1.3566666666666667</v>
      </c>
      <c r="AD134">
        <v>1.9666666666666663</v>
      </c>
      <c r="AE134">
        <v>4.4622309027777769</v>
      </c>
      <c r="AF134">
        <v>7.7698003472222208</v>
      </c>
      <c r="AG134">
        <v>11.941235920833332</v>
      </c>
      <c r="AH134">
        <v>18.817684762500001</v>
      </c>
      <c r="AI134">
        <v>24.5</v>
      </c>
      <c r="AJ134">
        <v>30</v>
      </c>
      <c r="AK134">
        <v>46.305643178011259</v>
      </c>
      <c r="AL134">
        <v>69.696559398715706</v>
      </c>
      <c r="AM134">
        <v>300</v>
      </c>
      <c r="AN134">
        <v>309</v>
      </c>
      <c r="AO134">
        <v>318.27</v>
      </c>
      <c r="AP134">
        <v>327.81810000000002</v>
      </c>
      <c r="AQ134">
        <v>337.65264300000001</v>
      </c>
      <c r="AR134">
        <v>347.78222228999999</v>
      </c>
      <c r="AS134">
        <v>358.21568895870001</v>
      </c>
      <c r="AT134">
        <v>368.96215962746101</v>
      </c>
      <c r="AU134">
        <v>380.03102441628482</v>
      </c>
      <c r="AV134">
        <v>391.4319551487734</v>
      </c>
      <c r="AW134">
        <v>403.17491380323662</v>
      </c>
      <c r="AX134">
        <v>415.27016121733374</v>
      </c>
      <c r="AY134">
        <v>427.72826605385376</v>
      </c>
      <c r="AZ134">
        <v>440.56011403546938</v>
      </c>
      <c r="BA134">
        <v>453.77691745653345</v>
      </c>
      <c r="BB134">
        <v>467.39022498022945</v>
      </c>
      <c r="BC134">
        <v>481.41193172963636</v>
      </c>
      <c r="BD134">
        <v>495.85428968152547</v>
      </c>
      <c r="BE134">
        <v>510.72991837197122</v>
      </c>
      <c r="BF134">
        <v>526.05181592313033</v>
      </c>
      <c r="BG134">
        <v>541.83337040082426</v>
      </c>
      <c r="BH134">
        <v>558.08837151284899</v>
      </c>
      <c r="BI134">
        <v>574.83102265823447</v>
      </c>
      <c r="BJ134">
        <v>592.07595333798156</v>
      </c>
      <c r="BK134">
        <v>609.838231938121</v>
      </c>
      <c r="BL134">
        <v>628.13337889626462</v>
      </c>
      <c r="BM134">
        <v>646.97738026315255</v>
      </c>
      <c r="BN134">
        <v>666.38670167104715</v>
      </c>
    </row>
    <row r="135" spans="1:66" x14ac:dyDescent="0.25">
      <c r="A135" t="s">
        <v>223</v>
      </c>
      <c r="B135" t="s">
        <v>536</v>
      </c>
      <c r="C135" t="s">
        <v>532</v>
      </c>
      <c r="D135" t="s">
        <v>520</v>
      </c>
      <c r="E135" t="s">
        <v>521</v>
      </c>
      <c r="F135">
        <v>8126.1945618773643</v>
      </c>
      <c r="G135">
        <v>8106.661121873205</v>
      </c>
      <c r="H135">
        <v>8469.9964545997555</v>
      </c>
      <c r="I135">
        <v>8922.6885824844103</v>
      </c>
      <c r="J135">
        <v>9583.8002483498967</v>
      </c>
      <c r="K135">
        <v>10247.564720783123</v>
      </c>
      <c r="L135">
        <v>10378.724398951666</v>
      </c>
      <c r="M135">
        <v>10605.333888617772</v>
      </c>
      <c r="N135">
        <v>10810.458340752642</v>
      </c>
      <c r="O135">
        <v>11096.605458727845</v>
      </c>
      <c r="P135">
        <v>11648.310343290637</v>
      </c>
      <c r="Q135">
        <v>11705.871223077451</v>
      </c>
      <c r="R135">
        <v>12162.021231248526</v>
      </c>
      <c r="S135">
        <v>12697.797549640931</v>
      </c>
      <c r="T135">
        <v>12992.367162928625</v>
      </c>
      <c r="U135">
        <v>13063.440862686894</v>
      </c>
      <c r="V135">
        <v>13182.198504199005</v>
      </c>
      <c r="W135">
        <v>13284.806809600492</v>
      </c>
      <c r="X135">
        <v>13293.959706338926</v>
      </c>
      <c r="Y135">
        <v>13101.086214174264</v>
      </c>
      <c r="Z135">
        <v>13348.937535477718</v>
      </c>
      <c r="AA135">
        <v>13331.827621000642</v>
      </c>
      <c r="AB135">
        <v>13006.487718579234</v>
      </c>
      <c r="AC135">
        <v>13081.360160828839</v>
      </c>
      <c r="AD135">
        <v>13339.646613066796</v>
      </c>
      <c r="AE135">
        <v>13805.025309105527</v>
      </c>
      <c r="AF135">
        <v>13906.520809611657</v>
      </c>
      <c r="AG135">
        <v>14803.702978914342</v>
      </c>
      <c r="AH135">
        <v>15126.124771992951</v>
      </c>
      <c r="AI135">
        <v>14654.704680232724</v>
      </c>
      <c r="AJ135">
        <v>13175.66592208733</v>
      </c>
      <c r="AK135">
        <v>14276.695445242463</v>
      </c>
      <c r="AL135">
        <v>14964.778535131045</v>
      </c>
      <c r="AM135">
        <v>15019.553025577232</v>
      </c>
      <c r="AN135">
        <v>14789.208035383168</v>
      </c>
      <c r="AO135">
        <v>14477.617145758075</v>
      </c>
      <c r="AP135">
        <v>13991.367379773941</v>
      </c>
      <c r="AQ135">
        <v>13427.873161437941</v>
      </c>
      <c r="AR135">
        <v>12778.144924940863</v>
      </c>
      <c r="AS135">
        <v>12106.408775374379</v>
      </c>
      <c r="AT135">
        <v>11372.534713491417</v>
      </c>
      <c r="AU135">
        <v>10568.158920100006</v>
      </c>
      <c r="AV135">
        <v>9775.545515738524</v>
      </c>
      <c r="AW135">
        <v>8977.5000709701726</v>
      </c>
      <c r="AX135">
        <v>8229.1761380476801</v>
      </c>
      <c r="AY135">
        <v>7465.8831884516967</v>
      </c>
      <c r="AZ135">
        <v>6747.8934155781581</v>
      </c>
      <c r="BA135">
        <v>6046.0519321931361</v>
      </c>
      <c r="BB135">
        <v>5433.2242894006877</v>
      </c>
      <c r="BC135">
        <v>4810.9695466729381</v>
      </c>
      <c r="BD135">
        <v>4351.3105014704452</v>
      </c>
      <c r="BE135">
        <v>3921.4420608163923</v>
      </c>
      <c r="BF135">
        <v>3500.4425564305106</v>
      </c>
      <c r="BG135">
        <v>3096.7071636979695</v>
      </c>
      <c r="BH135">
        <v>2743.2792148919266</v>
      </c>
      <c r="BI135">
        <v>2399.583197914661</v>
      </c>
      <c r="BJ135">
        <v>2122.2265607077252</v>
      </c>
      <c r="BK135">
        <v>1856.7439156408561</v>
      </c>
      <c r="BL135">
        <v>1615.2861395077309</v>
      </c>
      <c r="BM135">
        <v>1405.3329714485897</v>
      </c>
      <c r="BN135">
        <v>1234.1475960540386</v>
      </c>
    </row>
    <row r="136" spans="1:66" x14ac:dyDescent="0.25">
      <c r="A136" t="s">
        <v>223</v>
      </c>
      <c r="B136" t="s">
        <v>536</v>
      </c>
      <c r="C136" t="s">
        <v>532</v>
      </c>
      <c r="D136" t="s">
        <v>522</v>
      </c>
      <c r="E136" t="s">
        <v>521</v>
      </c>
      <c r="F136">
        <v>15640.940843035291</v>
      </c>
      <c r="G136">
        <v>16150.546759988883</v>
      </c>
      <c r="H136">
        <v>17648.388786263939</v>
      </c>
      <c r="I136">
        <v>16725.370693795405</v>
      </c>
      <c r="J136">
        <v>16380.548324839787</v>
      </c>
      <c r="K136">
        <v>15499.119986501893</v>
      </c>
      <c r="L136">
        <v>16964.973485962018</v>
      </c>
      <c r="M136">
        <v>18776.307489236842</v>
      </c>
      <c r="N136">
        <v>16990.87642543549</v>
      </c>
      <c r="O136">
        <v>18068.06638576484</v>
      </c>
      <c r="P136">
        <v>18247.587022073894</v>
      </c>
      <c r="Q136">
        <v>20209.470689366266</v>
      </c>
      <c r="R136">
        <v>19699.848793804682</v>
      </c>
      <c r="S136">
        <v>20589.961823411428</v>
      </c>
      <c r="T136">
        <v>19932.694122895617</v>
      </c>
      <c r="U136">
        <v>21455.132172136808</v>
      </c>
      <c r="V136">
        <v>21734.471668911941</v>
      </c>
      <c r="W136">
        <v>20224.013693454704</v>
      </c>
      <c r="X136">
        <v>21356.548009904149</v>
      </c>
      <c r="Y136">
        <v>18870.840564758502</v>
      </c>
      <c r="Z136">
        <v>18772.299934571802</v>
      </c>
      <c r="AA136">
        <v>18114.081314169005</v>
      </c>
      <c r="AB136">
        <v>19820.47191931152</v>
      </c>
      <c r="AC136">
        <v>18884.997469550366</v>
      </c>
      <c r="AD136">
        <v>18698.599087495157</v>
      </c>
      <c r="AE136">
        <v>18478.836391393874</v>
      </c>
      <c r="AF136">
        <v>16973.70962476591</v>
      </c>
      <c r="AG136">
        <v>17531.475135032353</v>
      </c>
      <c r="AH136">
        <v>17282.73541087965</v>
      </c>
      <c r="AI136">
        <v>19152.571947895391</v>
      </c>
      <c r="AJ136">
        <v>18178.313197265285</v>
      </c>
      <c r="AK136">
        <v>18330.112375099405</v>
      </c>
      <c r="AL136">
        <v>16799.139791345187</v>
      </c>
      <c r="AM136">
        <v>15365.979028793638</v>
      </c>
      <c r="AN136">
        <v>12862.043618873609</v>
      </c>
      <c r="AO136">
        <v>11840.067417650413</v>
      </c>
      <c r="AP136">
        <v>11266.588356044233</v>
      </c>
      <c r="AQ136">
        <v>10753.498846862529</v>
      </c>
      <c r="AR136">
        <v>10207.461360414083</v>
      </c>
      <c r="AS136">
        <v>9756.446979557546</v>
      </c>
      <c r="AT136">
        <v>8317.3887256748931</v>
      </c>
      <c r="AU136">
        <v>7782.70314617235</v>
      </c>
      <c r="AV136">
        <v>7368.1320406442537</v>
      </c>
      <c r="AW136">
        <v>7083.7587472798295</v>
      </c>
      <c r="AX136">
        <v>6913.5616532010217</v>
      </c>
      <c r="AY136">
        <v>6650.9031673273812</v>
      </c>
      <c r="AZ136">
        <v>6393.8630019979655</v>
      </c>
      <c r="BA136">
        <v>6140.0785706789557</v>
      </c>
      <c r="BB136">
        <v>5689.9698885873913</v>
      </c>
      <c r="BC136">
        <v>5423.6520769709969</v>
      </c>
      <c r="BD136">
        <v>4169.5974334957964</v>
      </c>
      <c r="BE136">
        <v>3933.0888134359202</v>
      </c>
      <c r="BF136">
        <v>3705.9490849213644</v>
      </c>
      <c r="BG136">
        <v>3502.3632414430626</v>
      </c>
      <c r="BH136">
        <v>3297.6221441543207</v>
      </c>
      <c r="BI136">
        <v>3103.8923757345797</v>
      </c>
      <c r="BJ136">
        <v>2946.4320663126387</v>
      </c>
      <c r="BK136">
        <v>2770.5104209248202</v>
      </c>
      <c r="BL136">
        <v>2602.0255070846597</v>
      </c>
      <c r="BM136">
        <v>2441.2392658171366</v>
      </c>
      <c r="BN136">
        <v>2289.2696334433926</v>
      </c>
    </row>
    <row r="137" spans="1:66" x14ac:dyDescent="0.25">
      <c r="A137" t="s">
        <v>223</v>
      </c>
      <c r="B137" t="s">
        <v>536</v>
      </c>
      <c r="C137" t="s">
        <v>532</v>
      </c>
      <c r="D137" t="s">
        <v>523</v>
      </c>
      <c r="E137" t="s">
        <v>521</v>
      </c>
      <c r="F137">
        <v>3429.1023206090149</v>
      </c>
      <c r="G137">
        <v>3582.0933132143959</v>
      </c>
      <c r="H137">
        <v>3230.4006797977117</v>
      </c>
      <c r="I137">
        <v>3072.4080540294026</v>
      </c>
      <c r="J137">
        <v>2943.5832063652938</v>
      </c>
      <c r="K137">
        <v>3036.6428253355557</v>
      </c>
      <c r="L137">
        <v>3231.1178764295346</v>
      </c>
      <c r="M137">
        <v>3121.0509253025539</v>
      </c>
      <c r="N137">
        <v>3108.4252054479571</v>
      </c>
      <c r="O137">
        <v>3287.2502963250704</v>
      </c>
      <c r="P137">
        <v>3324.3535917273935</v>
      </c>
      <c r="Q137">
        <v>3441.9326499549325</v>
      </c>
      <c r="R137">
        <v>3562.3255597822995</v>
      </c>
      <c r="S137">
        <v>3798.3629146741546</v>
      </c>
      <c r="T137">
        <v>3833.9993752516589</v>
      </c>
      <c r="U137">
        <v>3949.7863117346769</v>
      </c>
      <c r="V137">
        <v>4067.1636114352182</v>
      </c>
      <c r="W137">
        <v>4324.6641433976283</v>
      </c>
      <c r="X137">
        <v>4207.5754142911601</v>
      </c>
      <c r="Y137">
        <v>4156.3376144420381</v>
      </c>
      <c r="Z137">
        <v>4471.2064224286651</v>
      </c>
      <c r="AA137">
        <v>4511.1732699008671</v>
      </c>
      <c r="AB137">
        <v>4584.743425822363</v>
      </c>
      <c r="AC137">
        <v>4716.1203271304976</v>
      </c>
      <c r="AD137">
        <v>4887.0741014170871</v>
      </c>
      <c r="AE137">
        <v>5014.426570819578</v>
      </c>
      <c r="AF137">
        <v>4761.4486978313562</v>
      </c>
      <c r="AG137">
        <v>4803.9943473754338</v>
      </c>
      <c r="AH137">
        <v>4679.6792337008401</v>
      </c>
      <c r="AI137">
        <v>4713.1761267541115</v>
      </c>
      <c r="AJ137">
        <v>4482.2708369643005</v>
      </c>
      <c r="AK137">
        <v>4684.6924221093341</v>
      </c>
      <c r="AL137">
        <v>4615.5306846943822</v>
      </c>
      <c r="AM137">
        <v>4527.0774901879577</v>
      </c>
      <c r="AN137">
        <v>4561.4447140260791</v>
      </c>
      <c r="AO137">
        <v>4531.5830099871318</v>
      </c>
      <c r="AP137">
        <v>4520.2431432731055</v>
      </c>
      <c r="AQ137">
        <v>4475.9232009926691</v>
      </c>
      <c r="AR137">
        <v>4437.3438495564887</v>
      </c>
      <c r="AS137">
        <v>4418.4714579346737</v>
      </c>
      <c r="AT137">
        <v>4189.6175136617467</v>
      </c>
      <c r="AU137">
        <v>4152.7025661890148</v>
      </c>
      <c r="AV137">
        <v>4118.1638381475086</v>
      </c>
      <c r="AW137">
        <v>4074.2373670370253</v>
      </c>
      <c r="AX137">
        <v>4037.0588209614434</v>
      </c>
      <c r="AY137">
        <v>4032.1997556739379</v>
      </c>
      <c r="AZ137">
        <v>3995.9161703264608</v>
      </c>
      <c r="BA137">
        <v>3975.3458681184584</v>
      </c>
      <c r="BB137">
        <v>3956.6216979861983</v>
      </c>
      <c r="BC137">
        <v>3939.8745394675066</v>
      </c>
      <c r="BD137">
        <v>3868.9310985478323</v>
      </c>
      <c r="BE137">
        <v>3857.8291521529131</v>
      </c>
      <c r="BF137">
        <v>3849.1543209366041</v>
      </c>
      <c r="BG137">
        <v>3844.9585287107939</v>
      </c>
      <c r="BH137">
        <v>3843.2882370622556</v>
      </c>
      <c r="BI137">
        <v>3843.9088929607183</v>
      </c>
      <c r="BJ137">
        <v>3847.400115947531</v>
      </c>
      <c r="BK137">
        <v>3853.83891593199</v>
      </c>
      <c r="BL137">
        <v>3862.0590012565413</v>
      </c>
      <c r="BM137">
        <v>3871.3081527366885</v>
      </c>
      <c r="BN137">
        <v>3883.1322715546034</v>
      </c>
    </row>
    <row r="138" spans="1:66" x14ac:dyDescent="0.25">
      <c r="A138" t="s">
        <v>223</v>
      </c>
      <c r="B138" t="s">
        <v>536</v>
      </c>
      <c r="C138" t="s">
        <v>532</v>
      </c>
      <c r="D138" t="s">
        <v>524</v>
      </c>
      <c r="E138" t="s">
        <v>521</v>
      </c>
      <c r="F138">
        <v>1816.6596733237263</v>
      </c>
      <c r="G138">
        <v>1893.7218802684215</v>
      </c>
      <c r="H138">
        <v>1971.3222733100288</v>
      </c>
      <c r="I138">
        <v>2049.4503492491226</v>
      </c>
      <c r="J138">
        <v>1947.5325263313807</v>
      </c>
      <c r="K138">
        <v>2023.8252549837712</v>
      </c>
      <c r="L138">
        <v>2102.1656796823004</v>
      </c>
      <c r="M138">
        <v>2125.7547716447093</v>
      </c>
      <c r="N138">
        <v>2086.8629737313777</v>
      </c>
      <c r="O138">
        <v>2084.0346339247499</v>
      </c>
      <c r="P138">
        <v>2103.6901401299438</v>
      </c>
      <c r="Q138">
        <v>2134.2537068539705</v>
      </c>
      <c r="R138">
        <v>2173.5947283527944</v>
      </c>
      <c r="S138">
        <v>2101.4028129686244</v>
      </c>
      <c r="T138">
        <v>2124.9026062551302</v>
      </c>
      <c r="U138">
        <v>2134.5667014321762</v>
      </c>
      <c r="V138">
        <v>1957.2003317893241</v>
      </c>
      <c r="W138">
        <v>1922.5694677164029</v>
      </c>
      <c r="X138">
        <v>1846.56179242198</v>
      </c>
      <c r="Y138">
        <v>1723.3205496528278</v>
      </c>
      <c r="Z138">
        <v>1665.7456629024559</v>
      </c>
      <c r="AA138">
        <v>1519.6605558608351</v>
      </c>
      <c r="AB138">
        <v>1410.5413176396301</v>
      </c>
      <c r="AC138">
        <v>1359.9084848190901</v>
      </c>
      <c r="AD138">
        <v>1314.1708670740722</v>
      </c>
      <c r="AE138">
        <v>1275.9271345153275</v>
      </c>
      <c r="AF138">
        <v>1246.0586846922251</v>
      </c>
      <c r="AG138">
        <v>1214.8602401561525</v>
      </c>
      <c r="AH138">
        <v>1156.3598029499428</v>
      </c>
      <c r="AI138">
        <v>1114.3950725962225</v>
      </c>
      <c r="AJ138">
        <v>1075.3643344180375</v>
      </c>
      <c r="AK138">
        <v>1058.4109684228663</v>
      </c>
      <c r="AL138">
        <v>1033.212300658286</v>
      </c>
      <c r="AM138">
        <v>996.3164129459052</v>
      </c>
      <c r="AN138">
        <v>960.78960512158892</v>
      </c>
      <c r="AO138">
        <v>925.04832155596773</v>
      </c>
      <c r="AP138">
        <v>889.02457419959956</v>
      </c>
      <c r="AQ138">
        <v>853.30502435548965</v>
      </c>
      <c r="AR138">
        <v>818.06085119369118</v>
      </c>
      <c r="AS138">
        <v>783.33888514538035</v>
      </c>
      <c r="AT138">
        <v>749.00661600423484</v>
      </c>
      <c r="AU138">
        <v>713.12299893040836</v>
      </c>
      <c r="AV138">
        <v>681.75265381906581</v>
      </c>
      <c r="AW138">
        <v>653.07251772298503</v>
      </c>
      <c r="AX138">
        <v>626.11264777642305</v>
      </c>
      <c r="AY138">
        <v>600.52316314937514</v>
      </c>
      <c r="AZ138">
        <v>575.86587763045134</v>
      </c>
      <c r="BA138">
        <v>552.05563434795374</v>
      </c>
      <c r="BB138">
        <v>529.03379695458602</v>
      </c>
      <c r="BC138">
        <v>506.69177205864327</v>
      </c>
      <c r="BD138">
        <v>485.08300206828466</v>
      </c>
      <c r="BE138">
        <v>465.02988086753226</v>
      </c>
      <c r="BF138">
        <v>445.48055289878113</v>
      </c>
      <c r="BG138">
        <v>426.42962227669557</v>
      </c>
      <c r="BH138">
        <v>407.82667776884568</v>
      </c>
      <c r="BI138">
        <v>389.73655503451369</v>
      </c>
      <c r="BJ138">
        <v>372.05944067249334</v>
      </c>
      <c r="BK138">
        <v>354.75156639017149</v>
      </c>
      <c r="BL138">
        <v>337.84939136662678</v>
      </c>
      <c r="BM138">
        <v>321.36782763857866</v>
      </c>
      <c r="BN138">
        <v>305.31110019557548</v>
      </c>
    </row>
    <row r="139" spans="1:66" x14ac:dyDescent="0.25">
      <c r="A139" t="s">
        <v>223</v>
      </c>
      <c r="B139" t="s">
        <v>536</v>
      </c>
      <c r="C139" t="s">
        <v>532</v>
      </c>
      <c r="D139" t="s">
        <v>525</v>
      </c>
      <c r="E139" t="s">
        <v>521</v>
      </c>
      <c r="F139">
        <v>29012.897398845394</v>
      </c>
      <c r="G139">
        <v>29733.023075344903</v>
      </c>
      <c r="H139">
        <v>31320.108193971439</v>
      </c>
      <c r="I139">
        <v>30769.917679558341</v>
      </c>
      <c r="J139">
        <v>30855.464305886358</v>
      </c>
      <c r="K139">
        <v>30807.15278760434</v>
      </c>
      <c r="L139">
        <v>32676.98144102552</v>
      </c>
      <c r="M139">
        <v>34628.447074801872</v>
      </c>
      <c r="N139">
        <v>32996.622945367468</v>
      </c>
      <c r="O139">
        <v>34535.956774742503</v>
      </c>
      <c r="P139">
        <v>35323.941097221861</v>
      </c>
      <c r="Q139">
        <v>37491.528269252616</v>
      </c>
      <c r="R139">
        <v>37597.790313188299</v>
      </c>
      <c r="S139">
        <v>39187.525100695137</v>
      </c>
      <c r="T139">
        <v>38883.963267331026</v>
      </c>
      <c r="U139">
        <v>40602.92604799055</v>
      </c>
      <c r="V139">
        <v>40941.03411633549</v>
      </c>
      <c r="W139">
        <v>39756.054114169223</v>
      </c>
      <c r="X139">
        <v>40704.644922956213</v>
      </c>
      <c r="Y139">
        <v>37851.584943027628</v>
      </c>
      <c r="Z139">
        <v>38258.189555380639</v>
      </c>
      <c r="AA139">
        <v>37476.742760931345</v>
      </c>
      <c r="AB139">
        <v>38822.24438135275</v>
      </c>
      <c r="AC139">
        <v>38042.386442328796</v>
      </c>
      <c r="AD139">
        <v>38239.490669053106</v>
      </c>
      <c r="AE139">
        <v>38574.2154058343</v>
      </c>
      <c r="AF139">
        <v>36887.73781690115</v>
      </c>
      <c r="AG139">
        <v>38354.032701478282</v>
      </c>
      <c r="AH139">
        <v>38244.89921952338</v>
      </c>
      <c r="AI139">
        <v>39634.847827478443</v>
      </c>
      <c r="AJ139">
        <v>36911.614290734949</v>
      </c>
      <c r="AK139">
        <v>38349.911210874074</v>
      </c>
      <c r="AL139">
        <v>37412.661311828895</v>
      </c>
      <c r="AM139">
        <v>35908.925957504733</v>
      </c>
      <c r="AN139">
        <v>33173.485973404444</v>
      </c>
      <c r="AO139">
        <v>31774.315894951589</v>
      </c>
      <c r="AP139">
        <v>30667.223453290881</v>
      </c>
      <c r="AQ139">
        <v>29510.600233648627</v>
      </c>
      <c r="AR139">
        <v>28241.010986105124</v>
      </c>
      <c r="AS139">
        <v>27064.666098011978</v>
      </c>
      <c r="AT139">
        <v>24628.547568832291</v>
      </c>
      <c r="AU139">
        <v>23216.687631391778</v>
      </c>
      <c r="AV139">
        <v>21943.59404834935</v>
      </c>
      <c r="AW139">
        <v>20788.568703010009</v>
      </c>
      <c r="AX139">
        <v>19805.909259986569</v>
      </c>
      <c r="AY139">
        <v>18749.509274602387</v>
      </c>
      <c r="AZ139">
        <v>17713.538465533034</v>
      </c>
      <c r="BA139">
        <v>16713.532005338504</v>
      </c>
      <c r="BB139">
        <v>15608.849672928864</v>
      </c>
      <c r="BC139">
        <v>14681.187935170085</v>
      </c>
      <c r="BD139">
        <v>12874.92203558236</v>
      </c>
      <c r="BE139">
        <v>12177.389907272758</v>
      </c>
      <c r="BF139">
        <v>11501.026515187261</v>
      </c>
      <c r="BG139">
        <v>10870.458556128522</v>
      </c>
      <c r="BH139">
        <v>10292.016273877349</v>
      </c>
      <c r="BI139">
        <v>9737.1210216444724</v>
      </c>
      <c r="BJ139">
        <v>9288.1181836403903</v>
      </c>
      <c r="BK139">
        <v>8835.8448188878392</v>
      </c>
      <c r="BL139">
        <v>8417.2200392155573</v>
      </c>
      <c r="BM139">
        <v>8039.248217640994</v>
      </c>
      <c r="BN139">
        <v>7711.8606012476112</v>
      </c>
    </row>
    <row r="140" spans="1:66" x14ac:dyDescent="0.25">
      <c r="A140" t="s">
        <v>224</v>
      </c>
      <c r="B140" t="s">
        <v>536</v>
      </c>
      <c r="C140" t="s">
        <v>533</v>
      </c>
      <c r="D140" t="s">
        <v>518</v>
      </c>
      <c r="E140" t="s">
        <v>519</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11.416538041464802</v>
      </c>
      <c r="AA140">
        <v>8.7327708333333316</v>
      </c>
      <c r="AB140">
        <v>2.2770791666666668</v>
      </c>
      <c r="AC140">
        <v>1.3566666666666667</v>
      </c>
      <c r="AD140">
        <v>1.9666666666666663</v>
      </c>
      <c r="AE140">
        <v>4.4622309027777769</v>
      </c>
      <c r="AF140">
        <v>7.7698003472222208</v>
      </c>
      <c r="AG140">
        <v>11.941235920833332</v>
      </c>
      <c r="AH140">
        <v>18.817684762500001</v>
      </c>
      <c r="AI140">
        <v>24.5</v>
      </c>
      <c r="AJ140">
        <v>30</v>
      </c>
      <c r="AK140">
        <v>46.305643178011259</v>
      </c>
      <c r="AL140">
        <v>69.696559398715706</v>
      </c>
      <c r="AM140">
        <v>50</v>
      </c>
      <c r="AN140">
        <v>51.5</v>
      </c>
      <c r="AO140">
        <v>53.045000000000002</v>
      </c>
      <c r="AP140">
        <v>54.63635</v>
      </c>
      <c r="AQ140">
        <v>56.275440500000002</v>
      </c>
      <c r="AR140">
        <v>57.963703715000001</v>
      </c>
      <c r="AS140">
        <v>59.702614826450002</v>
      </c>
      <c r="AT140">
        <v>61.493693271243501</v>
      </c>
      <c r="AU140">
        <v>63.338504069380811</v>
      </c>
      <c r="AV140">
        <v>65.238659191462233</v>
      </c>
      <c r="AW140">
        <v>67.195818967206108</v>
      </c>
      <c r="AX140">
        <v>69.211693536222299</v>
      </c>
      <c r="AY140">
        <v>71.288044342308964</v>
      </c>
      <c r="AZ140">
        <v>73.42668567257823</v>
      </c>
      <c r="BA140">
        <v>75.629486242755576</v>
      </c>
      <c r="BB140">
        <v>77.898370830038246</v>
      </c>
      <c r="BC140">
        <v>80.235321954939394</v>
      </c>
      <c r="BD140">
        <v>82.642381613587574</v>
      </c>
      <c r="BE140">
        <v>85.121653061995204</v>
      </c>
      <c r="BF140">
        <v>87.675302653855056</v>
      </c>
      <c r="BG140">
        <v>90.305561733470711</v>
      </c>
      <c r="BH140">
        <v>93.014728585474828</v>
      </c>
      <c r="BI140">
        <v>95.805170443039074</v>
      </c>
      <c r="BJ140">
        <v>98.679325556330255</v>
      </c>
      <c r="BK140">
        <v>101.63970532302017</v>
      </c>
      <c r="BL140">
        <v>104.68889648271077</v>
      </c>
      <c r="BM140">
        <v>107.8295633771921</v>
      </c>
      <c r="BN140">
        <v>111.06445027850786</v>
      </c>
    </row>
    <row r="141" spans="1:66" x14ac:dyDescent="0.25">
      <c r="A141" t="s">
        <v>224</v>
      </c>
      <c r="B141" t="s">
        <v>536</v>
      </c>
      <c r="C141" t="s">
        <v>533</v>
      </c>
      <c r="D141" t="s">
        <v>520</v>
      </c>
      <c r="E141" t="s">
        <v>521</v>
      </c>
      <c r="F141">
        <v>8126.1945618773643</v>
      </c>
      <c r="G141">
        <v>8106.661121873205</v>
      </c>
      <c r="H141">
        <v>8469.9964545997555</v>
      </c>
      <c r="I141">
        <v>8922.6885824844103</v>
      </c>
      <c r="J141">
        <v>9583.8002483498967</v>
      </c>
      <c r="K141">
        <v>10247.564720783123</v>
      </c>
      <c r="L141">
        <v>10378.724398951666</v>
      </c>
      <c r="M141">
        <v>10605.333888617772</v>
      </c>
      <c r="N141">
        <v>10810.458340752642</v>
      </c>
      <c r="O141">
        <v>11096.605458727845</v>
      </c>
      <c r="P141">
        <v>11648.310343290637</v>
      </c>
      <c r="Q141">
        <v>11705.871223077451</v>
      </c>
      <c r="R141">
        <v>12162.021231248526</v>
      </c>
      <c r="S141">
        <v>12697.797549640931</v>
      </c>
      <c r="T141">
        <v>12992.367162928625</v>
      </c>
      <c r="U141">
        <v>13063.440862686894</v>
      </c>
      <c r="V141">
        <v>13182.198504199005</v>
      </c>
      <c r="W141">
        <v>13284.806809600492</v>
      </c>
      <c r="X141">
        <v>13293.959706338926</v>
      </c>
      <c r="Y141">
        <v>13101.086214174264</v>
      </c>
      <c r="Z141">
        <v>13348.937535477718</v>
      </c>
      <c r="AA141">
        <v>13331.827621000642</v>
      </c>
      <c r="AB141">
        <v>13006.487718579234</v>
      </c>
      <c r="AC141">
        <v>13081.360160828839</v>
      </c>
      <c r="AD141">
        <v>13339.646613066796</v>
      </c>
      <c r="AE141">
        <v>13805.025309105527</v>
      </c>
      <c r="AF141">
        <v>13906.520809611657</v>
      </c>
      <c r="AG141">
        <v>14803.702978914342</v>
      </c>
      <c r="AH141">
        <v>15126.124771992951</v>
      </c>
      <c r="AI141">
        <v>14654.704680232724</v>
      </c>
      <c r="AJ141">
        <v>13175.66592208733</v>
      </c>
      <c r="AK141">
        <v>14276.695445242463</v>
      </c>
      <c r="AL141">
        <v>14965.087666899622</v>
      </c>
      <c r="AM141">
        <v>15042.305087607063</v>
      </c>
      <c r="AN141">
        <v>14849.406016605621</v>
      </c>
      <c r="AO141">
        <v>14605.728575919853</v>
      </c>
      <c r="AP141">
        <v>14241.861057733402</v>
      </c>
      <c r="AQ141">
        <v>13821.182614732055</v>
      </c>
      <c r="AR141">
        <v>13266.975533863415</v>
      </c>
      <c r="AS141">
        <v>12613.473987779127</v>
      </c>
      <c r="AT141">
        <v>11952.41826096455</v>
      </c>
      <c r="AU141">
        <v>11171.320737365904</v>
      </c>
      <c r="AV141">
        <v>10351.768032186375</v>
      </c>
      <c r="AW141">
        <v>9553.7365548274956</v>
      </c>
      <c r="AX141">
        <v>8816.2065443940646</v>
      </c>
      <c r="AY141">
        <v>8038.1284129658434</v>
      </c>
      <c r="AZ141">
        <v>7293.4156911649325</v>
      </c>
      <c r="BA141">
        <v>6649.0339206410918</v>
      </c>
      <c r="BB141">
        <v>5989.0755060780339</v>
      </c>
      <c r="BC141">
        <v>5369.8276352057856</v>
      </c>
      <c r="BD141">
        <v>4843.2356313663213</v>
      </c>
      <c r="BE141">
        <v>4389.1437259629811</v>
      </c>
      <c r="BF141">
        <v>3923.3277657338272</v>
      </c>
      <c r="BG141">
        <v>3458.3959300423257</v>
      </c>
      <c r="BH141">
        <v>3073.3706704625797</v>
      </c>
      <c r="BI141">
        <v>2677.0068969415452</v>
      </c>
      <c r="BJ141">
        <v>2365.5445896643937</v>
      </c>
      <c r="BK141">
        <v>2065.5207748501562</v>
      </c>
      <c r="BL141">
        <v>1801.7998267347757</v>
      </c>
      <c r="BM141">
        <v>1562.8809875111431</v>
      </c>
      <c r="BN141">
        <v>1387.8092631748423</v>
      </c>
    </row>
    <row r="142" spans="1:66" x14ac:dyDescent="0.25">
      <c r="A142" t="s">
        <v>224</v>
      </c>
      <c r="B142" t="s">
        <v>536</v>
      </c>
      <c r="C142" t="s">
        <v>533</v>
      </c>
      <c r="D142" t="s">
        <v>522</v>
      </c>
      <c r="E142" t="s">
        <v>521</v>
      </c>
      <c r="F142">
        <v>15640.940843035291</v>
      </c>
      <c r="G142">
        <v>16150.546759988883</v>
      </c>
      <c r="H142">
        <v>17648.388786263939</v>
      </c>
      <c r="I142">
        <v>16725.370693795405</v>
      </c>
      <c r="J142">
        <v>16380.548324839787</v>
      </c>
      <c r="K142">
        <v>15499.119986501893</v>
      </c>
      <c r="L142">
        <v>16964.973485962018</v>
      </c>
      <c r="M142">
        <v>18776.307489236842</v>
      </c>
      <c r="N142">
        <v>16990.87642543549</v>
      </c>
      <c r="O142">
        <v>18068.06638576484</v>
      </c>
      <c r="P142">
        <v>18247.587022073894</v>
      </c>
      <c r="Q142">
        <v>20209.470689366266</v>
      </c>
      <c r="R142">
        <v>19699.848793804682</v>
      </c>
      <c r="S142">
        <v>20589.961823411428</v>
      </c>
      <c r="T142">
        <v>19932.694122895617</v>
      </c>
      <c r="U142">
        <v>21455.132172136808</v>
      </c>
      <c r="V142">
        <v>21734.471668911941</v>
      </c>
      <c r="W142">
        <v>20224.013693454704</v>
      </c>
      <c r="X142">
        <v>21356.548009904149</v>
      </c>
      <c r="Y142">
        <v>18870.840564758502</v>
      </c>
      <c r="Z142">
        <v>18772.299934571802</v>
      </c>
      <c r="AA142">
        <v>18114.081314169005</v>
      </c>
      <c r="AB142">
        <v>19820.47191931152</v>
      </c>
      <c r="AC142">
        <v>18884.997469550366</v>
      </c>
      <c r="AD142">
        <v>18698.599087495157</v>
      </c>
      <c r="AE142">
        <v>18478.836391393874</v>
      </c>
      <c r="AF142">
        <v>16973.70962476591</v>
      </c>
      <c r="AG142">
        <v>17531.475135032353</v>
      </c>
      <c r="AH142">
        <v>17282.73541087965</v>
      </c>
      <c r="AI142">
        <v>19152.571947895391</v>
      </c>
      <c r="AJ142">
        <v>18178.313197265285</v>
      </c>
      <c r="AK142">
        <v>18330.112375099405</v>
      </c>
      <c r="AL142">
        <v>16929.313633777241</v>
      </c>
      <c r="AM142">
        <v>16131.750438336625</v>
      </c>
      <c r="AN142">
        <v>15288.545422713298</v>
      </c>
      <c r="AO142">
        <v>14728.692377813486</v>
      </c>
      <c r="AP142">
        <v>14426.797300104237</v>
      </c>
      <c r="AQ142">
        <v>14132.272200777345</v>
      </c>
      <c r="AR142">
        <v>13863.700632295106</v>
      </c>
      <c r="AS142">
        <v>13731.201729552917</v>
      </c>
      <c r="AT142">
        <v>12797.714394221885</v>
      </c>
      <c r="AU142">
        <v>12490.992927273788</v>
      </c>
      <c r="AV142">
        <v>12077.195760103596</v>
      </c>
      <c r="AW142">
        <v>11764.703528876074</v>
      </c>
      <c r="AX142">
        <v>11437.524533804764</v>
      </c>
      <c r="AY142">
        <v>11085.497680877856</v>
      </c>
      <c r="AZ142">
        <v>10739.204692581749</v>
      </c>
      <c r="BA142">
        <v>10339.499417459388</v>
      </c>
      <c r="BB142">
        <v>9906.1905740132079</v>
      </c>
      <c r="BC142">
        <v>9451.5275258484926</v>
      </c>
      <c r="BD142">
        <v>8247.5742859387301</v>
      </c>
      <c r="BE142">
        <v>7830.8253577142959</v>
      </c>
      <c r="BF142">
        <v>7306.1647735283577</v>
      </c>
      <c r="BG142">
        <v>6879.6667482417788</v>
      </c>
      <c r="BH142">
        <v>6451.3176574200352</v>
      </c>
      <c r="BI142">
        <v>5963.3569345169381</v>
      </c>
      <c r="BJ142">
        <v>5487.9824786640456</v>
      </c>
      <c r="BK142">
        <v>4997.7296832887478</v>
      </c>
      <c r="BL142">
        <v>4544.3179822987904</v>
      </c>
      <c r="BM142">
        <v>4064.7079695647981</v>
      </c>
      <c r="BN142">
        <v>3687.3063971662932</v>
      </c>
    </row>
    <row r="143" spans="1:66" x14ac:dyDescent="0.25">
      <c r="A143" t="s">
        <v>224</v>
      </c>
      <c r="B143" t="s">
        <v>536</v>
      </c>
      <c r="C143" t="s">
        <v>533</v>
      </c>
      <c r="D143" t="s">
        <v>523</v>
      </c>
      <c r="E143" t="s">
        <v>521</v>
      </c>
      <c r="F143">
        <v>3429.1023206090149</v>
      </c>
      <c r="G143">
        <v>3582.0933132143959</v>
      </c>
      <c r="H143">
        <v>3230.4006797977117</v>
      </c>
      <c r="I143">
        <v>3072.4080540294026</v>
      </c>
      <c r="J143">
        <v>2943.5832063652938</v>
      </c>
      <c r="K143">
        <v>3036.6428253355557</v>
      </c>
      <c r="L143">
        <v>3231.1178764295346</v>
      </c>
      <c r="M143">
        <v>3121.0509253025539</v>
      </c>
      <c r="N143">
        <v>3108.4252054479571</v>
      </c>
      <c r="O143">
        <v>3287.2502963250704</v>
      </c>
      <c r="P143">
        <v>3324.3535917273935</v>
      </c>
      <c r="Q143">
        <v>3441.9326499549325</v>
      </c>
      <c r="R143">
        <v>3562.3255597822995</v>
      </c>
      <c r="S143">
        <v>3798.3629146741546</v>
      </c>
      <c r="T143">
        <v>3833.9993752516589</v>
      </c>
      <c r="U143">
        <v>3949.7863117346769</v>
      </c>
      <c r="V143">
        <v>4067.1636114352182</v>
      </c>
      <c r="W143">
        <v>4324.6641433976283</v>
      </c>
      <c r="X143">
        <v>4207.5754142911601</v>
      </c>
      <c r="Y143">
        <v>4156.3376144420381</v>
      </c>
      <c r="Z143">
        <v>4471.2064224286651</v>
      </c>
      <c r="AA143">
        <v>4511.1732699008671</v>
      </c>
      <c r="AB143">
        <v>4584.743425822363</v>
      </c>
      <c r="AC143">
        <v>4716.1203271304976</v>
      </c>
      <c r="AD143">
        <v>4887.0741014170871</v>
      </c>
      <c r="AE143">
        <v>5014.426570819578</v>
      </c>
      <c r="AF143">
        <v>4761.4486978313562</v>
      </c>
      <c r="AG143">
        <v>4803.9943473754338</v>
      </c>
      <c r="AH143">
        <v>4679.6792337008401</v>
      </c>
      <c r="AI143">
        <v>4713.1761267541115</v>
      </c>
      <c r="AJ143">
        <v>4482.2708369643005</v>
      </c>
      <c r="AK143">
        <v>4684.6924221093341</v>
      </c>
      <c r="AL143">
        <v>4615.5306846943822</v>
      </c>
      <c r="AM143">
        <v>4527.0774901879577</v>
      </c>
      <c r="AN143">
        <v>4561.4447140260791</v>
      </c>
      <c r="AO143">
        <v>4531.5830099871318</v>
      </c>
      <c r="AP143">
        <v>4520.2431432731055</v>
      </c>
      <c r="AQ143">
        <v>4475.9232009926682</v>
      </c>
      <c r="AR143">
        <v>4437.3438495564887</v>
      </c>
      <c r="AS143">
        <v>4418.4714579346737</v>
      </c>
      <c r="AT143">
        <v>4189.6175136617467</v>
      </c>
      <c r="AU143">
        <v>4152.7025661890148</v>
      </c>
      <c r="AV143">
        <v>4118.1638381475095</v>
      </c>
      <c r="AW143">
        <v>4074.2373670370253</v>
      </c>
      <c r="AX143">
        <v>4037.058820961443</v>
      </c>
      <c r="AY143">
        <v>4032.1997556739384</v>
      </c>
      <c r="AZ143">
        <v>3995.9161703264613</v>
      </c>
      <c r="BA143">
        <v>3975.3458681184588</v>
      </c>
      <c r="BB143">
        <v>3956.6216979861983</v>
      </c>
      <c r="BC143">
        <v>3939.874539467507</v>
      </c>
      <c r="BD143">
        <v>3868.9310985478323</v>
      </c>
      <c r="BE143">
        <v>3857.8291521529131</v>
      </c>
      <c r="BF143">
        <v>3849.1543209366041</v>
      </c>
      <c r="BG143">
        <v>3844.9585287107934</v>
      </c>
      <c r="BH143">
        <v>3843.2882370622556</v>
      </c>
      <c r="BI143">
        <v>3843.9088929607183</v>
      </c>
      <c r="BJ143">
        <v>3847.400115947531</v>
      </c>
      <c r="BK143">
        <v>3853.83891593199</v>
      </c>
      <c r="BL143">
        <v>3862.0590012565417</v>
      </c>
      <c r="BM143">
        <v>3871.3081527366885</v>
      </c>
      <c r="BN143">
        <v>3883.132271554603</v>
      </c>
    </row>
    <row r="144" spans="1:66" x14ac:dyDescent="0.25">
      <c r="A144" t="s">
        <v>224</v>
      </c>
      <c r="B144" t="s">
        <v>536</v>
      </c>
      <c r="C144" t="s">
        <v>533</v>
      </c>
      <c r="D144" t="s">
        <v>524</v>
      </c>
      <c r="E144" t="s">
        <v>521</v>
      </c>
      <c r="F144">
        <v>1816.6596733237263</v>
      </c>
      <c r="G144">
        <v>1893.7218802684215</v>
      </c>
      <c r="H144">
        <v>1971.3222733100288</v>
      </c>
      <c r="I144">
        <v>2049.4503492491226</v>
      </c>
      <c r="J144">
        <v>1947.5325263313807</v>
      </c>
      <c r="K144">
        <v>2023.8252549837712</v>
      </c>
      <c r="L144">
        <v>2102.1656796823004</v>
      </c>
      <c r="M144">
        <v>2125.7547716447093</v>
      </c>
      <c r="N144">
        <v>2086.8629737313777</v>
      </c>
      <c r="O144">
        <v>2084.0346339247499</v>
      </c>
      <c r="P144">
        <v>2103.6901401299438</v>
      </c>
      <c r="Q144">
        <v>2134.2537068539705</v>
      </c>
      <c r="R144">
        <v>2173.5947283527944</v>
      </c>
      <c r="S144">
        <v>2101.4028129686244</v>
      </c>
      <c r="T144">
        <v>2124.9026062551302</v>
      </c>
      <c r="U144">
        <v>2134.5667014321762</v>
      </c>
      <c r="V144">
        <v>1957.2003317893241</v>
      </c>
      <c r="W144">
        <v>1922.5694677164029</v>
      </c>
      <c r="X144">
        <v>1846.56179242198</v>
      </c>
      <c r="Y144">
        <v>1723.3205496528278</v>
      </c>
      <c r="Z144">
        <v>1665.7456629024559</v>
      </c>
      <c r="AA144">
        <v>1519.6605558608351</v>
      </c>
      <c r="AB144">
        <v>1410.5413176396301</v>
      </c>
      <c r="AC144">
        <v>1359.9084848190901</v>
      </c>
      <c r="AD144">
        <v>1314.1708670740722</v>
      </c>
      <c r="AE144">
        <v>1275.9271345153275</v>
      </c>
      <c r="AF144">
        <v>1246.0586846922251</v>
      </c>
      <c r="AG144">
        <v>1214.8602401561525</v>
      </c>
      <c r="AH144">
        <v>1156.3598029499428</v>
      </c>
      <c r="AI144">
        <v>1114.3950725962225</v>
      </c>
      <c r="AJ144">
        <v>1075.3643344180375</v>
      </c>
      <c r="AK144">
        <v>1058.4109684228663</v>
      </c>
      <c r="AL144">
        <v>1033.212300658286</v>
      </c>
      <c r="AM144">
        <v>996.3164129459052</v>
      </c>
      <c r="AN144">
        <v>960.78960512158892</v>
      </c>
      <c r="AO144">
        <v>925.04832155596773</v>
      </c>
      <c r="AP144">
        <v>889.02457419959956</v>
      </c>
      <c r="AQ144">
        <v>853.30502435548965</v>
      </c>
      <c r="AR144">
        <v>818.06085119369118</v>
      </c>
      <c r="AS144">
        <v>783.33888514538035</v>
      </c>
      <c r="AT144">
        <v>749.00661600423484</v>
      </c>
      <c r="AU144">
        <v>713.12299893040836</v>
      </c>
      <c r="AV144">
        <v>681.75265381906581</v>
      </c>
      <c r="AW144">
        <v>653.07251772298503</v>
      </c>
      <c r="AX144">
        <v>626.11264777642305</v>
      </c>
      <c r="AY144">
        <v>600.52316314937514</v>
      </c>
      <c r="AZ144">
        <v>575.86587763045134</v>
      </c>
      <c r="BA144">
        <v>552.05563434795374</v>
      </c>
      <c r="BB144">
        <v>529.03379695458602</v>
      </c>
      <c r="BC144">
        <v>506.69177205864327</v>
      </c>
      <c r="BD144">
        <v>485.08300206828466</v>
      </c>
      <c r="BE144">
        <v>465.02988086753226</v>
      </c>
      <c r="BF144">
        <v>445.48055289878113</v>
      </c>
      <c r="BG144">
        <v>426.42962227669557</v>
      </c>
      <c r="BH144">
        <v>407.82667776884568</v>
      </c>
      <c r="BI144">
        <v>389.73655503451369</v>
      </c>
      <c r="BJ144">
        <v>372.05944067249334</v>
      </c>
      <c r="BK144">
        <v>354.75156639017149</v>
      </c>
      <c r="BL144">
        <v>337.84939136662678</v>
      </c>
      <c r="BM144">
        <v>321.36782763857866</v>
      </c>
      <c r="BN144">
        <v>305.31110019557548</v>
      </c>
    </row>
    <row r="145" spans="1:66" x14ac:dyDescent="0.25">
      <c r="A145" t="s">
        <v>224</v>
      </c>
      <c r="B145" t="s">
        <v>536</v>
      </c>
      <c r="C145" t="s">
        <v>533</v>
      </c>
      <c r="D145" t="s">
        <v>525</v>
      </c>
      <c r="E145" t="s">
        <v>521</v>
      </c>
      <c r="F145">
        <v>29012.897398845394</v>
      </c>
      <c r="G145">
        <v>29733.023075344903</v>
      </c>
      <c r="H145">
        <v>31320.108193971439</v>
      </c>
      <c r="I145">
        <v>30769.917679558341</v>
      </c>
      <c r="J145">
        <v>30855.464305886358</v>
      </c>
      <c r="K145">
        <v>30807.15278760434</v>
      </c>
      <c r="L145">
        <v>32676.98144102552</v>
      </c>
      <c r="M145">
        <v>34628.447074801872</v>
      </c>
      <c r="N145">
        <v>32996.622945367468</v>
      </c>
      <c r="O145">
        <v>34535.956774742503</v>
      </c>
      <c r="P145">
        <v>35323.941097221861</v>
      </c>
      <c r="Q145">
        <v>37491.528269252616</v>
      </c>
      <c r="R145">
        <v>37597.790313188299</v>
      </c>
      <c r="S145">
        <v>39187.525100695137</v>
      </c>
      <c r="T145">
        <v>38883.963267331026</v>
      </c>
      <c r="U145">
        <v>40602.92604799055</v>
      </c>
      <c r="V145">
        <v>40941.03411633549</v>
      </c>
      <c r="W145">
        <v>39756.054114169223</v>
      </c>
      <c r="X145">
        <v>40704.644922956213</v>
      </c>
      <c r="Y145">
        <v>37851.584943027628</v>
      </c>
      <c r="Z145">
        <v>38258.189555380639</v>
      </c>
      <c r="AA145">
        <v>37476.742760931345</v>
      </c>
      <c r="AB145">
        <v>38822.24438135275</v>
      </c>
      <c r="AC145">
        <v>38042.386442328796</v>
      </c>
      <c r="AD145">
        <v>38239.490669053106</v>
      </c>
      <c r="AE145">
        <v>38574.2154058343</v>
      </c>
      <c r="AF145">
        <v>36887.73781690115</v>
      </c>
      <c r="AG145">
        <v>38354.032701478282</v>
      </c>
      <c r="AH145">
        <v>38244.89921952338</v>
      </c>
      <c r="AI145">
        <v>39634.847827478443</v>
      </c>
      <c r="AJ145">
        <v>36911.614290734949</v>
      </c>
      <c r="AK145">
        <v>38349.911210874074</v>
      </c>
      <c r="AL145">
        <v>37543.144286029536</v>
      </c>
      <c r="AM145">
        <v>36697.449429077547</v>
      </c>
      <c r="AN145">
        <v>35660.185758466585</v>
      </c>
      <c r="AO145">
        <v>34791.052285276433</v>
      </c>
      <c r="AP145">
        <v>34077.926075310337</v>
      </c>
      <c r="AQ145">
        <v>33282.683040857555</v>
      </c>
      <c r="AR145">
        <v>32386.080866908698</v>
      </c>
      <c r="AS145">
        <v>31546.486060412099</v>
      </c>
      <c r="AT145">
        <v>29688.756784852412</v>
      </c>
      <c r="AU145">
        <v>28528.139229759116</v>
      </c>
      <c r="AV145">
        <v>27228.880284256546</v>
      </c>
      <c r="AW145">
        <v>26045.74996846358</v>
      </c>
      <c r="AX145">
        <v>24916.902546936693</v>
      </c>
      <c r="AY145">
        <v>23756.349012667008</v>
      </c>
      <c r="AZ145">
        <v>22604.402431703595</v>
      </c>
      <c r="BA145">
        <v>21515.934840566897</v>
      </c>
      <c r="BB145">
        <v>20380.921575032029</v>
      </c>
      <c r="BC145">
        <v>19267.921472580427</v>
      </c>
      <c r="BD145">
        <v>17444.824017921168</v>
      </c>
      <c r="BE145">
        <v>16542.828116697721</v>
      </c>
      <c r="BF145">
        <v>15524.127413097571</v>
      </c>
      <c r="BG145">
        <v>14609.450829271593</v>
      </c>
      <c r="BH145">
        <v>13775.803242713717</v>
      </c>
      <c r="BI145">
        <v>12874.009279453714</v>
      </c>
      <c r="BJ145">
        <v>12072.986624948464</v>
      </c>
      <c r="BK145">
        <v>11271.840940461067</v>
      </c>
      <c r="BL145">
        <v>10546.026201656734</v>
      </c>
      <c r="BM145">
        <v>9820.2649374512075</v>
      </c>
      <c r="BN145">
        <v>9263.5590320913125</v>
      </c>
    </row>
    <row r="146" spans="1:66" x14ac:dyDescent="0.25">
      <c r="A146" t="s">
        <v>225</v>
      </c>
      <c r="B146" t="s">
        <v>536</v>
      </c>
      <c r="C146" t="s">
        <v>537</v>
      </c>
      <c r="D146" t="s">
        <v>518</v>
      </c>
      <c r="E146" t="s">
        <v>519</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11.416538041464802</v>
      </c>
      <c r="AA146">
        <v>8.7327708333333316</v>
      </c>
      <c r="AB146">
        <v>2.2770791666666668</v>
      </c>
      <c r="AC146">
        <v>1.3566666666666667</v>
      </c>
      <c r="AD146">
        <v>1.9666666666666663</v>
      </c>
      <c r="AE146">
        <v>4.4622309027777769</v>
      </c>
      <c r="AF146">
        <v>7.7698003472222208</v>
      </c>
      <c r="AG146">
        <v>11.941235920833332</v>
      </c>
      <c r="AH146">
        <v>18.817684762500001</v>
      </c>
      <c r="AI146">
        <v>24.5</v>
      </c>
      <c r="AJ146">
        <v>30</v>
      </c>
      <c r="AK146">
        <v>46.305643178011259</v>
      </c>
      <c r="AL146">
        <v>69.696559398715706</v>
      </c>
      <c r="AM146">
        <v>55</v>
      </c>
      <c r="AN146">
        <v>56.65</v>
      </c>
      <c r="AO146">
        <v>58.349499999999999</v>
      </c>
      <c r="AP146">
        <v>60.099985000000004</v>
      </c>
      <c r="AQ146">
        <v>61.902984550000006</v>
      </c>
      <c r="AR146">
        <v>63.760074086500005</v>
      </c>
      <c r="AS146">
        <v>65.672876309095003</v>
      </c>
      <c r="AT146">
        <v>67.643062598367848</v>
      </c>
      <c r="AU146">
        <v>69.672354476318887</v>
      </c>
      <c r="AV146">
        <v>71.762525110608451</v>
      </c>
      <c r="AW146">
        <v>73.915400863926706</v>
      </c>
      <c r="AX146">
        <v>76.132862889844503</v>
      </c>
      <c r="AY146">
        <v>78.416848776539837</v>
      </c>
      <c r="AZ146">
        <v>80.769354239836034</v>
      </c>
      <c r="BA146">
        <v>83.19243486703111</v>
      </c>
      <c r="BB146">
        <v>85.688207913042049</v>
      </c>
      <c r="BC146">
        <v>88.258854150433308</v>
      </c>
      <c r="BD146">
        <v>90.906619774946307</v>
      </c>
      <c r="BE146">
        <v>93.633818368194696</v>
      </c>
      <c r="BF146">
        <v>96.442832919240544</v>
      </c>
      <c r="BG146">
        <v>99.336117906817762</v>
      </c>
      <c r="BH146">
        <v>102.3162014440223</v>
      </c>
      <c r="BI146">
        <v>105.38568748734296</v>
      </c>
      <c r="BJ146">
        <v>108.54725811196326</v>
      </c>
      <c r="BK146">
        <v>111.80367585532215</v>
      </c>
      <c r="BL146">
        <v>115.15778613098182</v>
      </c>
      <c r="BM146">
        <v>118.61251971491127</v>
      </c>
      <c r="BN146">
        <v>122.17089530635862</v>
      </c>
    </row>
    <row r="147" spans="1:66" x14ac:dyDescent="0.25">
      <c r="A147" t="s">
        <v>225</v>
      </c>
      <c r="B147" t="s">
        <v>536</v>
      </c>
      <c r="C147" t="s">
        <v>537</v>
      </c>
      <c r="D147" t="s">
        <v>520</v>
      </c>
      <c r="E147" t="s">
        <v>521</v>
      </c>
      <c r="F147">
        <v>8126.1945618773643</v>
      </c>
      <c r="G147">
        <v>8106.661121873205</v>
      </c>
      <c r="H147">
        <v>8469.9964545997555</v>
      </c>
      <c r="I147">
        <v>8922.6885824844103</v>
      </c>
      <c r="J147">
        <v>9583.8002483498967</v>
      </c>
      <c r="K147">
        <v>10247.564720783123</v>
      </c>
      <c r="L147">
        <v>10378.724398951666</v>
      </c>
      <c r="M147">
        <v>10605.333888617772</v>
      </c>
      <c r="N147">
        <v>10810.458340752642</v>
      </c>
      <c r="O147">
        <v>11096.605458727845</v>
      </c>
      <c r="P147">
        <v>11648.310343290637</v>
      </c>
      <c r="Q147">
        <v>11705.871223077451</v>
      </c>
      <c r="R147">
        <v>12162.021231248526</v>
      </c>
      <c r="S147">
        <v>12697.797549640931</v>
      </c>
      <c r="T147">
        <v>12992.367162928625</v>
      </c>
      <c r="U147">
        <v>13063.440862686894</v>
      </c>
      <c r="V147">
        <v>13182.198504199005</v>
      </c>
      <c r="W147">
        <v>13284.806809600492</v>
      </c>
      <c r="X147">
        <v>13293.959706338926</v>
      </c>
      <c r="Y147">
        <v>13101.086214174264</v>
      </c>
      <c r="Z147">
        <v>13348.937535477718</v>
      </c>
      <c r="AA147">
        <v>13331.827621000642</v>
      </c>
      <c r="AB147">
        <v>13006.487718579234</v>
      </c>
      <c r="AC147">
        <v>13081.360160828839</v>
      </c>
      <c r="AD147">
        <v>13339.646613066796</v>
      </c>
      <c r="AE147">
        <v>13805.025309105527</v>
      </c>
      <c r="AF147">
        <v>13906.520809611657</v>
      </c>
      <c r="AG147">
        <v>14803.702978914342</v>
      </c>
      <c r="AH147">
        <v>15126.124771992951</v>
      </c>
      <c r="AI147">
        <v>14654.704680232724</v>
      </c>
      <c r="AJ147">
        <v>13175.66592208733</v>
      </c>
      <c r="AK147">
        <v>14276.695445242463</v>
      </c>
      <c r="AL147">
        <v>14965.071057343024</v>
      </c>
      <c r="AM147">
        <v>15042.162874115034</v>
      </c>
      <c r="AN147">
        <v>14848.662361000057</v>
      </c>
      <c r="AO147">
        <v>14603.763508824197</v>
      </c>
      <c r="AP147">
        <v>14237.923734561738</v>
      </c>
      <c r="AQ147">
        <v>13813.525976741847</v>
      </c>
      <c r="AR147">
        <v>13256.207659042493</v>
      </c>
      <c r="AS147">
        <v>12599.494683955729</v>
      </c>
      <c r="AT147">
        <v>11937.31946558973</v>
      </c>
      <c r="AU147">
        <v>11155.310272852768</v>
      </c>
      <c r="AV147">
        <v>10334.685691618666</v>
      </c>
      <c r="AW147">
        <v>9535.9034556522911</v>
      </c>
      <c r="AX147">
        <v>8798.4008691017261</v>
      </c>
      <c r="AY147">
        <v>8020.2598756806474</v>
      </c>
      <c r="AZ147">
        <v>7295.7730773422836</v>
      </c>
      <c r="BA147">
        <v>6608.5308958950418</v>
      </c>
      <c r="BB147">
        <v>5972.0839908919352</v>
      </c>
      <c r="BC147">
        <v>5353.6385545887479</v>
      </c>
      <c r="BD147">
        <v>4827.5602053842922</v>
      </c>
      <c r="BE147">
        <v>4366.070684359609</v>
      </c>
      <c r="BF147">
        <v>3909.1659142215976</v>
      </c>
      <c r="BG147">
        <v>3467.748256593979</v>
      </c>
      <c r="BH147">
        <v>3061.9478975811494</v>
      </c>
      <c r="BI147">
        <v>2667.1845128123605</v>
      </c>
      <c r="BJ147">
        <v>2356.7088312617157</v>
      </c>
      <c r="BK147">
        <v>2057.7205068696449</v>
      </c>
      <c r="BL147">
        <v>1775.3382082619735</v>
      </c>
      <c r="BM147">
        <v>1557.1306426565461</v>
      </c>
      <c r="BN147">
        <v>1382.8053942177589</v>
      </c>
    </row>
    <row r="148" spans="1:66" x14ac:dyDescent="0.25">
      <c r="A148" t="s">
        <v>225</v>
      </c>
      <c r="B148" t="s">
        <v>536</v>
      </c>
      <c r="C148" t="s">
        <v>537</v>
      </c>
      <c r="D148" t="s">
        <v>522</v>
      </c>
      <c r="E148" t="s">
        <v>521</v>
      </c>
      <c r="F148">
        <v>15640.940843035291</v>
      </c>
      <c r="G148">
        <v>16150.546759988883</v>
      </c>
      <c r="H148">
        <v>17648.388786263939</v>
      </c>
      <c r="I148">
        <v>16725.370693795405</v>
      </c>
      <c r="J148">
        <v>16380.548324839787</v>
      </c>
      <c r="K148">
        <v>15499.119986501893</v>
      </c>
      <c r="L148">
        <v>16964.973485962018</v>
      </c>
      <c r="M148">
        <v>18776.307489236842</v>
      </c>
      <c r="N148">
        <v>16990.87642543549</v>
      </c>
      <c r="O148">
        <v>18068.06638576484</v>
      </c>
      <c r="P148">
        <v>18247.587022073894</v>
      </c>
      <c r="Q148">
        <v>20209.470689366266</v>
      </c>
      <c r="R148">
        <v>19699.848793804682</v>
      </c>
      <c r="S148">
        <v>20589.961823411428</v>
      </c>
      <c r="T148">
        <v>19932.694122895617</v>
      </c>
      <c r="U148">
        <v>21455.132172136808</v>
      </c>
      <c r="V148">
        <v>21734.471668911941</v>
      </c>
      <c r="W148">
        <v>20224.013693454704</v>
      </c>
      <c r="X148">
        <v>21356.548009904149</v>
      </c>
      <c r="Y148">
        <v>18870.840564758502</v>
      </c>
      <c r="Z148">
        <v>18772.299934571802</v>
      </c>
      <c r="AA148">
        <v>18114.081314169005</v>
      </c>
      <c r="AB148">
        <v>19820.47191931152</v>
      </c>
      <c r="AC148">
        <v>18884.997469550366</v>
      </c>
      <c r="AD148">
        <v>18698.599087495157</v>
      </c>
      <c r="AE148">
        <v>18478.836391393874</v>
      </c>
      <c r="AF148">
        <v>16973.70962476591</v>
      </c>
      <c r="AG148">
        <v>17531.475135032353</v>
      </c>
      <c r="AH148">
        <v>17282.73541087965</v>
      </c>
      <c r="AI148">
        <v>19152.571947895391</v>
      </c>
      <c r="AJ148">
        <v>18178.313197265285</v>
      </c>
      <c r="AK148">
        <v>18330.112375099405</v>
      </c>
      <c r="AL148">
        <v>16920.961099533426</v>
      </c>
      <c r="AM148">
        <v>16092.54383276483</v>
      </c>
      <c r="AN148">
        <v>15240.82933822837</v>
      </c>
      <c r="AO148">
        <v>14603.516613231464</v>
      </c>
      <c r="AP148">
        <v>14311.869165382532</v>
      </c>
      <c r="AQ148">
        <v>14024.052190154529</v>
      </c>
      <c r="AR148">
        <v>13748.918881714408</v>
      </c>
      <c r="AS148">
        <v>13601.266650427806</v>
      </c>
      <c r="AT148">
        <v>12659.04911510258</v>
      </c>
      <c r="AU148">
        <v>12342.638471839176</v>
      </c>
      <c r="AV148">
        <v>11931.665463549181</v>
      </c>
      <c r="AW148">
        <v>11682.801595641811</v>
      </c>
      <c r="AX148">
        <v>11350.757794648949</v>
      </c>
      <c r="AY148">
        <v>10996.541450924293</v>
      </c>
      <c r="AZ148">
        <v>10644.134912528914</v>
      </c>
      <c r="BA148">
        <v>10217.482794353602</v>
      </c>
      <c r="BB148">
        <v>9766.5643943928226</v>
      </c>
      <c r="BC148">
        <v>9311.8625420729622</v>
      </c>
      <c r="BD148">
        <v>8085.4604131706892</v>
      </c>
      <c r="BE148">
        <v>7632.6011988663131</v>
      </c>
      <c r="BF148">
        <v>7105.6711944432263</v>
      </c>
      <c r="BG148">
        <v>6667.5699630037998</v>
      </c>
      <c r="BH148">
        <v>6200.8407441707495</v>
      </c>
      <c r="BI148">
        <v>5716.6158392183561</v>
      </c>
      <c r="BJ148">
        <v>5240.9704100382287</v>
      </c>
      <c r="BK148">
        <v>4737.1069379883502</v>
      </c>
      <c r="BL148">
        <v>4310.5488960717867</v>
      </c>
      <c r="BM148">
        <v>3897.2041618038043</v>
      </c>
      <c r="BN148">
        <v>3475.1972553238857</v>
      </c>
    </row>
    <row r="149" spans="1:66" x14ac:dyDescent="0.25">
      <c r="A149" t="s">
        <v>225</v>
      </c>
      <c r="B149" t="s">
        <v>536</v>
      </c>
      <c r="C149" t="s">
        <v>537</v>
      </c>
      <c r="D149" t="s">
        <v>523</v>
      </c>
      <c r="E149" t="s">
        <v>521</v>
      </c>
      <c r="F149">
        <v>3429.1023206090149</v>
      </c>
      <c r="G149">
        <v>3582.0933132143959</v>
      </c>
      <c r="H149">
        <v>3230.4006797977117</v>
      </c>
      <c r="I149">
        <v>3072.4080540294026</v>
      </c>
      <c r="J149">
        <v>2943.5832063652938</v>
      </c>
      <c r="K149">
        <v>3036.6428253355557</v>
      </c>
      <c r="L149">
        <v>3231.1178764295346</v>
      </c>
      <c r="M149">
        <v>3121.0509253025539</v>
      </c>
      <c r="N149">
        <v>3108.4252054479571</v>
      </c>
      <c r="O149">
        <v>3287.2502963250704</v>
      </c>
      <c r="P149">
        <v>3324.3535917273935</v>
      </c>
      <c r="Q149">
        <v>3441.9326499549325</v>
      </c>
      <c r="R149">
        <v>3562.3255597822995</v>
      </c>
      <c r="S149">
        <v>3798.3629146741546</v>
      </c>
      <c r="T149">
        <v>3833.9993752516589</v>
      </c>
      <c r="U149">
        <v>3949.7863117346769</v>
      </c>
      <c r="V149">
        <v>4067.1636114352182</v>
      </c>
      <c r="W149">
        <v>4324.6641433976283</v>
      </c>
      <c r="X149">
        <v>4207.5754142911601</v>
      </c>
      <c r="Y149">
        <v>4156.3376144420381</v>
      </c>
      <c r="Z149">
        <v>4471.2064224286651</v>
      </c>
      <c r="AA149">
        <v>4511.1732699008671</v>
      </c>
      <c r="AB149">
        <v>4584.743425822363</v>
      </c>
      <c r="AC149">
        <v>4716.1203271304976</v>
      </c>
      <c r="AD149">
        <v>4887.0741014170871</v>
      </c>
      <c r="AE149">
        <v>5014.426570819578</v>
      </c>
      <c r="AF149">
        <v>4761.4486978313562</v>
      </c>
      <c r="AG149">
        <v>4803.9943473754338</v>
      </c>
      <c r="AH149">
        <v>4679.6792337008401</v>
      </c>
      <c r="AI149">
        <v>4713.1761267541115</v>
      </c>
      <c r="AJ149">
        <v>4482.2708369643005</v>
      </c>
      <c r="AK149">
        <v>4684.6924221093341</v>
      </c>
      <c r="AL149">
        <v>4615.5306846943822</v>
      </c>
      <c r="AM149">
        <v>4527.0774901879577</v>
      </c>
      <c r="AN149">
        <v>4561.4447140260791</v>
      </c>
      <c r="AO149">
        <v>4531.5830099871318</v>
      </c>
      <c r="AP149">
        <v>4520.2431432731055</v>
      </c>
      <c r="AQ149">
        <v>4475.9232009926691</v>
      </c>
      <c r="AR149">
        <v>4437.3438495564887</v>
      </c>
      <c r="AS149">
        <v>4418.4714579346728</v>
      </c>
      <c r="AT149">
        <v>4189.6175136617458</v>
      </c>
      <c r="AU149">
        <v>4152.7025661890148</v>
      </c>
      <c r="AV149">
        <v>4118.1638381475086</v>
      </c>
      <c r="AW149">
        <v>4074.2373670370253</v>
      </c>
      <c r="AX149">
        <v>4037.0588209614434</v>
      </c>
      <c r="AY149">
        <v>4032.1997556739384</v>
      </c>
      <c r="AZ149">
        <v>3995.9161703264608</v>
      </c>
      <c r="BA149">
        <v>3975.3458681184588</v>
      </c>
      <c r="BB149">
        <v>3956.6216979861974</v>
      </c>
      <c r="BC149">
        <v>3939.8745394675066</v>
      </c>
      <c r="BD149">
        <v>3868.9310985478323</v>
      </c>
      <c r="BE149">
        <v>3857.8291521529136</v>
      </c>
      <c r="BF149">
        <v>3849.1543209366041</v>
      </c>
      <c r="BG149">
        <v>3844.9585287107939</v>
      </c>
      <c r="BH149">
        <v>3843.2882370622556</v>
      </c>
      <c r="BI149">
        <v>3843.9088929607183</v>
      </c>
      <c r="BJ149">
        <v>3847.400115947531</v>
      </c>
      <c r="BK149">
        <v>3853.83891593199</v>
      </c>
      <c r="BL149">
        <v>3862.0590012565413</v>
      </c>
      <c r="BM149">
        <v>3871.308152736688</v>
      </c>
      <c r="BN149">
        <v>3883.1322715546034</v>
      </c>
    </row>
    <row r="150" spans="1:66" x14ac:dyDescent="0.25">
      <c r="A150" t="s">
        <v>225</v>
      </c>
      <c r="B150" t="s">
        <v>536</v>
      </c>
      <c r="C150" t="s">
        <v>537</v>
      </c>
      <c r="D150" t="s">
        <v>524</v>
      </c>
      <c r="E150" t="s">
        <v>521</v>
      </c>
      <c r="F150">
        <v>1816.6596733237263</v>
      </c>
      <c r="G150">
        <v>1893.7218802684215</v>
      </c>
      <c r="H150">
        <v>1971.3222733100288</v>
      </c>
      <c r="I150">
        <v>2049.4503492491226</v>
      </c>
      <c r="J150">
        <v>1947.5325263313807</v>
      </c>
      <c r="K150">
        <v>2023.8252549837712</v>
      </c>
      <c r="L150">
        <v>2102.1656796823004</v>
      </c>
      <c r="M150">
        <v>2125.7547716447093</v>
      </c>
      <c r="N150">
        <v>2086.8629737313777</v>
      </c>
      <c r="O150">
        <v>2084.0346339247499</v>
      </c>
      <c r="P150">
        <v>2103.6901401299438</v>
      </c>
      <c r="Q150">
        <v>2134.2537068539705</v>
      </c>
      <c r="R150">
        <v>2173.5947283527944</v>
      </c>
      <c r="S150">
        <v>2101.4028129686244</v>
      </c>
      <c r="T150">
        <v>2124.9026062551302</v>
      </c>
      <c r="U150">
        <v>2134.5667014321762</v>
      </c>
      <c r="V150">
        <v>1957.2003317893241</v>
      </c>
      <c r="W150">
        <v>1922.5694677164029</v>
      </c>
      <c r="X150">
        <v>1846.56179242198</v>
      </c>
      <c r="Y150">
        <v>1723.3205496528278</v>
      </c>
      <c r="Z150">
        <v>1665.7456629024559</v>
      </c>
      <c r="AA150">
        <v>1519.6605558608351</v>
      </c>
      <c r="AB150">
        <v>1410.5413176396301</v>
      </c>
      <c r="AC150">
        <v>1359.9084848190901</v>
      </c>
      <c r="AD150">
        <v>1314.1708670740722</v>
      </c>
      <c r="AE150">
        <v>1275.9271345153275</v>
      </c>
      <c r="AF150">
        <v>1246.0586846922251</v>
      </c>
      <c r="AG150">
        <v>1214.8602401561525</v>
      </c>
      <c r="AH150">
        <v>1156.3598029499428</v>
      </c>
      <c r="AI150">
        <v>1114.3950725962225</v>
      </c>
      <c r="AJ150">
        <v>1075.3643344180375</v>
      </c>
      <c r="AK150">
        <v>1058.4109684228663</v>
      </c>
      <c r="AL150">
        <v>1033.212300658286</v>
      </c>
      <c r="AM150">
        <v>996.3164129459052</v>
      </c>
      <c r="AN150">
        <v>960.78960512158892</v>
      </c>
      <c r="AO150">
        <v>925.04832155596773</v>
      </c>
      <c r="AP150">
        <v>889.02457419959956</v>
      </c>
      <c r="AQ150">
        <v>853.30502435548965</v>
      </c>
      <c r="AR150">
        <v>818.06085119369118</v>
      </c>
      <c r="AS150">
        <v>783.33888514538035</v>
      </c>
      <c r="AT150">
        <v>749.00661600423484</v>
      </c>
      <c r="AU150">
        <v>713.12299893040836</v>
      </c>
      <c r="AV150">
        <v>681.75265381906581</v>
      </c>
      <c r="AW150">
        <v>653.07251772298503</v>
      </c>
      <c r="AX150">
        <v>626.11264777642305</v>
      </c>
      <c r="AY150">
        <v>600.52316314937514</v>
      </c>
      <c r="AZ150">
        <v>575.86587763045134</v>
      </c>
      <c r="BA150">
        <v>552.05563434795374</v>
      </c>
      <c r="BB150">
        <v>529.03379695458602</v>
      </c>
      <c r="BC150">
        <v>506.69177205864327</v>
      </c>
      <c r="BD150">
        <v>485.08300206828466</v>
      </c>
      <c r="BE150">
        <v>465.02988086753226</v>
      </c>
      <c r="BF150">
        <v>445.48055289878113</v>
      </c>
      <c r="BG150">
        <v>426.42962227669557</v>
      </c>
      <c r="BH150">
        <v>407.82667776884568</v>
      </c>
      <c r="BI150">
        <v>389.73655503451369</v>
      </c>
      <c r="BJ150">
        <v>372.05944067249334</v>
      </c>
      <c r="BK150">
        <v>354.75156639017149</v>
      </c>
      <c r="BL150">
        <v>337.84939136662678</v>
      </c>
      <c r="BM150">
        <v>321.36782763857866</v>
      </c>
      <c r="BN150">
        <v>305.31110019557548</v>
      </c>
    </row>
    <row r="151" spans="1:66" x14ac:dyDescent="0.25">
      <c r="A151" t="s">
        <v>225</v>
      </c>
      <c r="B151" t="s">
        <v>536</v>
      </c>
      <c r="C151" t="s">
        <v>537</v>
      </c>
      <c r="D151" t="s">
        <v>525</v>
      </c>
      <c r="E151" t="s">
        <v>521</v>
      </c>
      <c r="F151">
        <v>29012.897398845394</v>
      </c>
      <c r="G151">
        <v>29733.023075344903</v>
      </c>
      <c r="H151">
        <v>31320.108193971439</v>
      </c>
      <c r="I151">
        <v>30769.917679558341</v>
      </c>
      <c r="J151">
        <v>30855.464305886358</v>
      </c>
      <c r="K151">
        <v>30807.15278760434</v>
      </c>
      <c r="L151">
        <v>32676.98144102552</v>
      </c>
      <c r="M151">
        <v>34628.447074801872</v>
      </c>
      <c r="N151">
        <v>32996.622945367468</v>
      </c>
      <c r="O151">
        <v>34535.956774742503</v>
      </c>
      <c r="P151">
        <v>35323.941097221861</v>
      </c>
      <c r="Q151">
        <v>37491.528269252616</v>
      </c>
      <c r="R151">
        <v>37597.790313188299</v>
      </c>
      <c r="S151">
        <v>39187.525100695137</v>
      </c>
      <c r="T151">
        <v>38883.963267331026</v>
      </c>
      <c r="U151">
        <v>40602.92604799055</v>
      </c>
      <c r="V151">
        <v>40941.03411633549</v>
      </c>
      <c r="W151">
        <v>39756.054114169223</v>
      </c>
      <c r="X151">
        <v>40704.644922956213</v>
      </c>
      <c r="Y151">
        <v>37851.584943027628</v>
      </c>
      <c r="Z151">
        <v>38258.189555380639</v>
      </c>
      <c r="AA151">
        <v>37476.742760931345</v>
      </c>
      <c r="AB151">
        <v>38822.24438135275</v>
      </c>
      <c r="AC151">
        <v>38042.386442328796</v>
      </c>
      <c r="AD151">
        <v>38239.490669053106</v>
      </c>
      <c r="AE151">
        <v>38574.2154058343</v>
      </c>
      <c r="AF151">
        <v>36887.73781690115</v>
      </c>
      <c r="AG151">
        <v>38354.032701478282</v>
      </c>
      <c r="AH151">
        <v>38244.89921952338</v>
      </c>
      <c r="AI151">
        <v>39634.847827478443</v>
      </c>
      <c r="AJ151">
        <v>36911.614290734949</v>
      </c>
      <c r="AK151">
        <v>38349.911210874074</v>
      </c>
      <c r="AL151">
        <v>37534.775142229119</v>
      </c>
      <c r="AM151">
        <v>36658.100610013724</v>
      </c>
      <c r="AN151">
        <v>35611.726018376095</v>
      </c>
      <c r="AO151">
        <v>34663.911453598761</v>
      </c>
      <c r="AP151">
        <v>33959.060617416973</v>
      </c>
      <c r="AQ151">
        <v>33166.806392244536</v>
      </c>
      <c r="AR151">
        <v>32260.53124150708</v>
      </c>
      <c r="AS151">
        <v>31402.571677463588</v>
      </c>
      <c r="AT151">
        <v>29534.992710358289</v>
      </c>
      <c r="AU151">
        <v>28363.774309811368</v>
      </c>
      <c r="AV151">
        <v>27066.26764713442</v>
      </c>
      <c r="AW151">
        <v>25946.014936054111</v>
      </c>
      <c r="AX151">
        <v>24812.330132488543</v>
      </c>
      <c r="AY151">
        <v>23649.524245428249</v>
      </c>
      <c r="AZ151">
        <v>22511.69003782811</v>
      </c>
      <c r="BA151">
        <v>21353.41519271506</v>
      </c>
      <c r="BB151">
        <v>20224.303880225543</v>
      </c>
      <c r="BC151">
        <v>19112.067408187861</v>
      </c>
      <c r="BD151">
        <v>17267.034719171097</v>
      </c>
      <c r="BE151">
        <v>16321.530916246367</v>
      </c>
      <c r="BF151">
        <v>15309.47198250021</v>
      </c>
      <c r="BG151">
        <v>14406.706370585269</v>
      </c>
      <c r="BH151">
        <v>13513.903556583</v>
      </c>
      <c r="BI151">
        <v>12617.445800025949</v>
      </c>
      <c r="BJ151">
        <v>11817.13879791997</v>
      </c>
      <c r="BK151">
        <v>11003.417927180157</v>
      </c>
      <c r="BL151">
        <v>10285.795496956927</v>
      </c>
      <c r="BM151">
        <v>9647.0107848356165</v>
      </c>
      <c r="BN151">
        <v>9046.446021291822</v>
      </c>
    </row>
    <row r="152" spans="1:66" x14ac:dyDescent="0.25">
      <c r="A152" t="s">
        <v>226</v>
      </c>
      <c r="B152" t="s">
        <v>536</v>
      </c>
      <c r="C152" t="s">
        <v>534</v>
      </c>
      <c r="D152" t="s">
        <v>518</v>
      </c>
      <c r="E152" t="s">
        <v>519</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11.416538041464802</v>
      </c>
      <c r="AA152">
        <v>8.7327708333333316</v>
      </c>
      <c r="AB152">
        <v>2.2770791666666668</v>
      </c>
      <c r="AC152">
        <v>1.3566666666666667</v>
      </c>
      <c r="AD152">
        <v>1.9666666666666663</v>
      </c>
      <c r="AE152">
        <v>4.4622309027777769</v>
      </c>
      <c r="AF152">
        <v>7.7698003472222208</v>
      </c>
      <c r="AG152">
        <v>11.941235920833332</v>
      </c>
      <c r="AH152">
        <v>18.817684762500001</v>
      </c>
      <c r="AI152">
        <v>24.5</v>
      </c>
      <c r="AJ152">
        <v>30</v>
      </c>
      <c r="AK152">
        <v>46.305643178011259</v>
      </c>
      <c r="AL152">
        <v>69.696559398715706</v>
      </c>
      <c r="AM152">
        <v>78.978951484932111</v>
      </c>
      <c r="AN152">
        <v>88.261343571148515</v>
      </c>
      <c r="AO152">
        <v>97.54373565736492</v>
      </c>
      <c r="AP152">
        <v>106.82612774358132</v>
      </c>
      <c r="AQ152">
        <v>116.10851982979773</v>
      </c>
      <c r="AR152">
        <v>125.39091191601413</v>
      </c>
      <c r="AS152">
        <v>134.67330400223054</v>
      </c>
      <c r="AT152">
        <v>143.95569608844693</v>
      </c>
      <c r="AU152">
        <v>148.27436697110033</v>
      </c>
      <c r="AV152">
        <v>152.72259798023336</v>
      </c>
      <c r="AW152">
        <v>157.30427591964036</v>
      </c>
      <c r="AX152">
        <v>162.02340419722958</v>
      </c>
      <c r="AY152">
        <v>166.88410632314648</v>
      </c>
      <c r="AZ152">
        <v>171.89062951284089</v>
      </c>
      <c r="BA152">
        <v>177.04734839822612</v>
      </c>
      <c r="BB152">
        <v>182.35876885017291</v>
      </c>
      <c r="BC152">
        <v>187.8295319156781</v>
      </c>
      <c r="BD152">
        <v>193.46441787314845</v>
      </c>
      <c r="BE152">
        <v>199.2683504093429</v>
      </c>
      <c r="BF152">
        <v>205.24640092162321</v>
      </c>
      <c r="BG152">
        <v>211.40379294927192</v>
      </c>
      <c r="BH152">
        <v>217.74590673775009</v>
      </c>
      <c r="BI152">
        <v>224.27828393988258</v>
      </c>
      <c r="BJ152">
        <v>231.00663245807908</v>
      </c>
      <c r="BK152">
        <v>237.93683143182147</v>
      </c>
      <c r="BL152">
        <v>245.07493637477612</v>
      </c>
      <c r="BM152">
        <v>252.42718446601941</v>
      </c>
      <c r="BN152">
        <v>260</v>
      </c>
    </row>
    <row r="153" spans="1:66" x14ac:dyDescent="0.25">
      <c r="A153" t="s">
        <v>226</v>
      </c>
      <c r="B153" t="s">
        <v>536</v>
      </c>
      <c r="C153" t="s">
        <v>534</v>
      </c>
      <c r="D153" t="s">
        <v>520</v>
      </c>
      <c r="E153" t="s">
        <v>521</v>
      </c>
      <c r="F153">
        <v>8126.1945618773643</v>
      </c>
      <c r="G153">
        <v>8106.661121873205</v>
      </c>
      <c r="H153">
        <v>8469.9964545997555</v>
      </c>
      <c r="I153">
        <v>8922.6885824844103</v>
      </c>
      <c r="J153">
        <v>9583.8002483498967</v>
      </c>
      <c r="K153">
        <v>10247.564720783123</v>
      </c>
      <c r="L153">
        <v>10378.724398951666</v>
      </c>
      <c r="M153">
        <v>10605.333888617772</v>
      </c>
      <c r="N153">
        <v>10810.458340752642</v>
      </c>
      <c r="O153">
        <v>11096.605458727845</v>
      </c>
      <c r="P153">
        <v>11648.310343290637</v>
      </c>
      <c r="Q153">
        <v>11705.871223077451</v>
      </c>
      <c r="R153">
        <v>12162.021231248526</v>
      </c>
      <c r="S153">
        <v>12697.797549640931</v>
      </c>
      <c r="T153">
        <v>12992.367162928625</v>
      </c>
      <c r="U153">
        <v>13063.440862686894</v>
      </c>
      <c r="V153">
        <v>13182.198504199005</v>
      </c>
      <c r="W153">
        <v>13284.806809600492</v>
      </c>
      <c r="X153">
        <v>13293.959706338926</v>
      </c>
      <c r="Y153">
        <v>13101.086214174264</v>
      </c>
      <c r="Z153">
        <v>13348.937535477718</v>
      </c>
      <c r="AA153">
        <v>13331.827621000642</v>
      </c>
      <c r="AB153">
        <v>13006.487718579234</v>
      </c>
      <c r="AC153">
        <v>13081.360160828839</v>
      </c>
      <c r="AD153">
        <v>13339.646613066796</v>
      </c>
      <c r="AE153">
        <v>13805.025309105527</v>
      </c>
      <c r="AF153">
        <v>13906.520809611657</v>
      </c>
      <c r="AG153">
        <v>14803.702978914342</v>
      </c>
      <c r="AH153">
        <v>15126.124771992951</v>
      </c>
      <c r="AI153">
        <v>14654.704680232724</v>
      </c>
      <c r="AJ153">
        <v>13175.66592208733</v>
      </c>
      <c r="AK153">
        <v>14276.695445242463</v>
      </c>
      <c r="AL153">
        <v>14964.920661768554</v>
      </c>
      <c r="AM153">
        <v>15040.090397304672</v>
      </c>
      <c r="AN153">
        <v>14841.044466919007</v>
      </c>
      <c r="AO153">
        <v>14582.740075714255</v>
      </c>
      <c r="AP153">
        <v>14187.464911103994</v>
      </c>
      <c r="AQ153">
        <v>13718.428050887429</v>
      </c>
      <c r="AR153">
        <v>13114.55465113127</v>
      </c>
      <c r="AS153">
        <v>12447.929267663796</v>
      </c>
      <c r="AT153">
        <v>11756.596830404138</v>
      </c>
      <c r="AU153">
        <v>10974.529365697395</v>
      </c>
      <c r="AV153">
        <v>10145.58287986056</v>
      </c>
      <c r="AW153">
        <v>9346.9649128968904</v>
      </c>
      <c r="AX153">
        <v>8548.975022924913</v>
      </c>
      <c r="AY153">
        <v>7799.9366534115479</v>
      </c>
      <c r="AZ153">
        <v>7067.6840665775671</v>
      </c>
      <c r="BA153">
        <v>6373.8115739855921</v>
      </c>
      <c r="BB153">
        <v>5727.687845697702</v>
      </c>
      <c r="BC153">
        <v>5103.1918519050359</v>
      </c>
      <c r="BD153">
        <v>4654.2068341407976</v>
      </c>
      <c r="BE153">
        <v>4165.0125239954177</v>
      </c>
      <c r="BF153">
        <v>3766.7990646283092</v>
      </c>
      <c r="BG153">
        <v>3377.3772516838526</v>
      </c>
      <c r="BH153">
        <v>2907.4004856331057</v>
      </c>
      <c r="BI153">
        <v>2557.7148273230937</v>
      </c>
      <c r="BJ153">
        <v>2255.3475272644114</v>
      </c>
      <c r="BK153">
        <v>1981.7239670560377</v>
      </c>
      <c r="BL153">
        <v>1739.9737955441167</v>
      </c>
      <c r="BM153">
        <v>1493.2424630406178</v>
      </c>
      <c r="BN153">
        <v>1318.6268120181833</v>
      </c>
    </row>
    <row r="154" spans="1:66" x14ac:dyDescent="0.25">
      <c r="A154" t="s">
        <v>226</v>
      </c>
      <c r="B154" t="s">
        <v>536</v>
      </c>
      <c r="C154" t="s">
        <v>534</v>
      </c>
      <c r="D154" t="s">
        <v>522</v>
      </c>
      <c r="E154" t="s">
        <v>521</v>
      </c>
      <c r="F154">
        <v>15640.940843035291</v>
      </c>
      <c r="G154">
        <v>16150.546759988883</v>
      </c>
      <c r="H154">
        <v>17648.388786263939</v>
      </c>
      <c r="I154">
        <v>16725.370693795405</v>
      </c>
      <c r="J154">
        <v>16380.548324839787</v>
      </c>
      <c r="K154">
        <v>15499.119986501893</v>
      </c>
      <c r="L154">
        <v>16964.973485962018</v>
      </c>
      <c r="M154">
        <v>18776.307489236842</v>
      </c>
      <c r="N154">
        <v>16990.87642543549</v>
      </c>
      <c r="O154">
        <v>18068.06638576484</v>
      </c>
      <c r="P154">
        <v>18247.587022073894</v>
      </c>
      <c r="Q154">
        <v>20209.470689366266</v>
      </c>
      <c r="R154">
        <v>19699.848793804682</v>
      </c>
      <c r="S154">
        <v>20589.961823411428</v>
      </c>
      <c r="T154">
        <v>19932.694122895617</v>
      </c>
      <c r="U154">
        <v>21455.132172136808</v>
      </c>
      <c r="V154">
        <v>21734.471668911941</v>
      </c>
      <c r="W154">
        <v>20224.013693454704</v>
      </c>
      <c r="X154">
        <v>21356.548009904149</v>
      </c>
      <c r="Y154">
        <v>18870.840564758502</v>
      </c>
      <c r="Z154">
        <v>18772.299934571802</v>
      </c>
      <c r="AA154">
        <v>18114.081314169005</v>
      </c>
      <c r="AB154">
        <v>19820.47191931152</v>
      </c>
      <c r="AC154">
        <v>18884.997469550366</v>
      </c>
      <c r="AD154">
        <v>18698.599087495157</v>
      </c>
      <c r="AE154">
        <v>18478.836391393874</v>
      </c>
      <c r="AF154">
        <v>16973.70962476591</v>
      </c>
      <c r="AG154">
        <v>17531.475135032353</v>
      </c>
      <c r="AH154">
        <v>17282.73541087965</v>
      </c>
      <c r="AI154">
        <v>19152.571947895391</v>
      </c>
      <c r="AJ154">
        <v>18178.313197265285</v>
      </c>
      <c r="AK154">
        <v>18330.112375099405</v>
      </c>
      <c r="AL154">
        <v>16834.66307744302</v>
      </c>
      <c r="AM154">
        <v>15874.595859984433</v>
      </c>
      <c r="AN154">
        <v>14907.952364311919</v>
      </c>
      <c r="AO154">
        <v>13897.343696446251</v>
      </c>
      <c r="AP154">
        <v>13454.54118304558</v>
      </c>
      <c r="AQ154">
        <v>13087.343080205381</v>
      </c>
      <c r="AR154">
        <v>12657.997487695449</v>
      </c>
      <c r="AS154">
        <v>12356.283748660846</v>
      </c>
      <c r="AT154">
        <v>11230.084556401942</v>
      </c>
      <c r="AU154">
        <v>10787.554833547196</v>
      </c>
      <c r="AV154">
        <v>10291.990309900684</v>
      </c>
      <c r="AW154">
        <v>9886.1433518024423</v>
      </c>
      <c r="AX154">
        <v>9493.3549163986281</v>
      </c>
      <c r="AY154">
        <v>9065.6539216536512</v>
      </c>
      <c r="AZ154">
        <v>8584.0695113502388</v>
      </c>
      <c r="BA154">
        <v>8142.2198850019031</v>
      </c>
      <c r="BB154">
        <v>7737.3767746326894</v>
      </c>
      <c r="BC154">
        <v>7327.4561898418488</v>
      </c>
      <c r="BD154">
        <v>6150.3151518506938</v>
      </c>
      <c r="BE154">
        <v>5763.0743274847046</v>
      </c>
      <c r="BF154">
        <v>5269.8919418361429</v>
      </c>
      <c r="BG154">
        <v>4730.1235233191383</v>
      </c>
      <c r="BH154">
        <v>4302.813246783252</v>
      </c>
      <c r="BI154">
        <v>3574.2589984487208</v>
      </c>
      <c r="BJ154">
        <v>3344.232356105877</v>
      </c>
      <c r="BK154">
        <v>3126.5836557740354</v>
      </c>
      <c r="BL154">
        <v>2885.7066211185438</v>
      </c>
      <c r="BM154">
        <v>2701.7697548624278</v>
      </c>
      <c r="BN154">
        <v>2531.5938699724766</v>
      </c>
    </row>
    <row r="155" spans="1:66" x14ac:dyDescent="0.25">
      <c r="A155" t="s">
        <v>226</v>
      </c>
      <c r="B155" t="s">
        <v>536</v>
      </c>
      <c r="C155" t="s">
        <v>534</v>
      </c>
      <c r="D155" t="s">
        <v>523</v>
      </c>
      <c r="E155" t="s">
        <v>521</v>
      </c>
      <c r="F155">
        <v>3429.1023206090149</v>
      </c>
      <c r="G155">
        <v>3582.0933132143959</v>
      </c>
      <c r="H155">
        <v>3230.4006797977117</v>
      </c>
      <c r="I155">
        <v>3072.4080540294026</v>
      </c>
      <c r="J155">
        <v>2943.5832063652938</v>
      </c>
      <c r="K155">
        <v>3036.6428253355557</v>
      </c>
      <c r="L155">
        <v>3231.1178764295346</v>
      </c>
      <c r="M155">
        <v>3121.0509253025539</v>
      </c>
      <c r="N155">
        <v>3108.4252054479571</v>
      </c>
      <c r="O155">
        <v>3287.2502963250704</v>
      </c>
      <c r="P155">
        <v>3324.3535917273935</v>
      </c>
      <c r="Q155">
        <v>3441.9326499549325</v>
      </c>
      <c r="R155">
        <v>3562.3255597822995</v>
      </c>
      <c r="S155">
        <v>3798.3629146741546</v>
      </c>
      <c r="T155">
        <v>3833.9993752516589</v>
      </c>
      <c r="U155">
        <v>3949.7863117346769</v>
      </c>
      <c r="V155">
        <v>4067.1636114352182</v>
      </c>
      <c r="W155">
        <v>4324.6641433976283</v>
      </c>
      <c r="X155">
        <v>4207.5754142911601</v>
      </c>
      <c r="Y155">
        <v>4156.3376144420381</v>
      </c>
      <c r="Z155">
        <v>4471.2064224286651</v>
      </c>
      <c r="AA155">
        <v>4511.1732699008671</v>
      </c>
      <c r="AB155">
        <v>4584.743425822363</v>
      </c>
      <c r="AC155">
        <v>4716.1203271304976</v>
      </c>
      <c r="AD155">
        <v>4887.0741014170871</v>
      </c>
      <c r="AE155">
        <v>5014.426570819578</v>
      </c>
      <c r="AF155">
        <v>4761.4486978313562</v>
      </c>
      <c r="AG155">
        <v>4803.9943473754338</v>
      </c>
      <c r="AH155">
        <v>4679.6792337008401</v>
      </c>
      <c r="AI155">
        <v>4713.1761267541115</v>
      </c>
      <c r="AJ155">
        <v>4482.2708369643005</v>
      </c>
      <c r="AK155">
        <v>4684.6924221093341</v>
      </c>
      <c r="AL155">
        <v>4615.5306846943822</v>
      </c>
      <c r="AM155">
        <v>4527.0774901879577</v>
      </c>
      <c r="AN155">
        <v>4561.4447140260781</v>
      </c>
      <c r="AO155">
        <v>4531.5830099871309</v>
      </c>
      <c r="AP155">
        <v>4520.2431432731046</v>
      </c>
      <c r="AQ155">
        <v>4475.9232009926691</v>
      </c>
      <c r="AR155">
        <v>4437.3438495564878</v>
      </c>
      <c r="AS155">
        <v>4418.4714579346737</v>
      </c>
      <c r="AT155">
        <v>4189.6175136617467</v>
      </c>
      <c r="AU155">
        <v>4152.7025661890157</v>
      </c>
      <c r="AV155">
        <v>4118.1638381475086</v>
      </c>
      <c r="AW155">
        <v>4074.2373670370253</v>
      </c>
      <c r="AX155">
        <v>4037.0588209614434</v>
      </c>
      <c r="AY155">
        <v>4032.1997556739379</v>
      </c>
      <c r="AZ155">
        <v>3995.9161703264608</v>
      </c>
      <c r="BA155">
        <v>3975.3458681184588</v>
      </c>
      <c r="BB155">
        <v>3956.6216979861974</v>
      </c>
      <c r="BC155">
        <v>3939.874539467507</v>
      </c>
      <c r="BD155">
        <v>3868.9310985478323</v>
      </c>
      <c r="BE155">
        <v>3857.8291521529131</v>
      </c>
      <c r="BF155">
        <v>3849.1543209366041</v>
      </c>
      <c r="BG155">
        <v>3844.9585287107939</v>
      </c>
      <c r="BH155">
        <v>3843.2882370622556</v>
      </c>
      <c r="BI155">
        <v>3843.9088929607183</v>
      </c>
      <c r="BJ155">
        <v>3847.400115947531</v>
      </c>
      <c r="BK155">
        <v>3853.83891593199</v>
      </c>
      <c r="BL155">
        <v>3862.0590012565417</v>
      </c>
      <c r="BM155">
        <v>3871.308152736688</v>
      </c>
      <c r="BN155">
        <v>3883.1322715546039</v>
      </c>
    </row>
    <row r="156" spans="1:66" x14ac:dyDescent="0.25">
      <c r="A156" t="s">
        <v>226</v>
      </c>
      <c r="B156" t="s">
        <v>536</v>
      </c>
      <c r="C156" t="s">
        <v>534</v>
      </c>
      <c r="D156" t="s">
        <v>524</v>
      </c>
      <c r="E156" t="s">
        <v>521</v>
      </c>
      <c r="F156">
        <v>1816.6596733237263</v>
      </c>
      <c r="G156">
        <v>1893.7218802684215</v>
      </c>
      <c r="H156">
        <v>1971.3222733100288</v>
      </c>
      <c r="I156">
        <v>2049.4503492491226</v>
      </c>
      <c r="J156">
        <v>1947.5325263313807</v>
      </c>
      <c r="K156">
        <v>2023.8252549837712</v>
      </c>
      <c r="L156">
        <v>2102.1656796823004</v>
      </c>
      <c r="M156">
        <v>2125.7547716447093</v>
      </c>
      <c r="N156">
        <v>2086.8629737313777</v>
      </c>
      <c r="O156">
        <v>2084.0346339247499</v>
      </c>
      <c r="P156">
        <v>2103.6901401299438</v>
      </c>
      <c r="Q156">
        <v>2134.2537068539705</v>
      </c>
      <c r="R156">
        <v>2173.5947283527944</v>
      </c>
      <c r="S156">
        <v>2101.4028129686244</v>
      </c>
      <c r="T156">
        <v>2124.9026062551302</v>
      </c>
      <c r="U156">
        <v>2134.5667014321762</v>
      </c>
      <c r="V156">
        <v>1957.2003317893241</v>
      </c>
      <c r="W156">
        <v>1922.5694677164029</v>
      </c>
      <c r="X156">
        <v>1846.56179242198</v>
      </c>
      <c r="Y156">
        <v>1723.3205496528278</v>
      </c>
      <c r="Z156">
        <v>1665.7456629024559</v>
      </c>
      <c r="AA156">
        <v>1519.6605558608351</v>
      </c>
      <c r="AB156">
        <v>1410.5413176396301</v>
      </c>
      <c r="AC156">
        <v>1359.9084848190901</v>
      </c>
      <c r="AD156">
        <v>1314.1708670740722</v>
      </c>
      <c r="AE156">
        <v>1275.9271345153275</v>
      </c>
      <c r="AF156">
        <v>1246.0586846922251</v>
      </c>
      <c r="AG156">
        <v>1214.8602401561525</v>
      </c>
      <c r="AH156">
        <v>1156.3598029499428</v>
      </c>
      <c r="AI156">
        <v>1114.3950725962225</v>
      </c>
      <c r="AJ156">
        <v>1075.3643344180375</v>
      </c>
      <c r="AK156">
        <v>1058.4109684228663</v>
      </c>
      <c r="AL156">
        <v>1033.212300658286</v>
      </c>
      <c r="AM156">
        <v>996.3164129459052</v>
      </c>
      <c r="AN156">
        <v>960.78960512158892</v>
      </c>
      <c r="AO156">
        <v>925.04832155596773</v>
      </c>
      <c r="AP156">
        <v>889.02457419959956</v>
      </c>
      <c r="AQ156">
        <v>853.30502435548965</v>
      </c>
      <c r="AR156">
        <v>818.06085119369118</v>
      </c>
      <c r="AS156">
        <v>783.33888514538035</v>
      </c>
      <c r="AT156">
        <v>749.00661600423484</v>
      </c>
      <c r="AU156">
        <v>713.12299893040836</v>
      </c>
      <c r="AV156">
        <v>681.75265381906581</v>
      </c>
      <c r="AW156">
        <v>653.07251772298503</v>
      </c>
      <c r="AX156">
        <v>626.11264777642305</v>
      </c>
      <c r="AY156">
        <v>600.52316314937514</v>
      </c>
      <c r="AZ156">
        <v>575.86587763045134</v>
      </c>
      <c r="BA156">
        <v>552.05563434795374</v>
      </c>
      <c r="BB156">
        <v>529.03379695458602</v>
      </c>
      <c r="BC156">
        <v>506.69177205864327</v>
      </c>
      <c r="BD156">
        <v>485.08300206828466</v>
      </c>
      <c r="BE156">
        <v>465.02988086753226</v>
      </c>
      <c r="BF156">
        <v>445.48055289878113</v>
      </c>
      <c r="BG156">
        <v>426.42962227669557</v>
      </c>
      <c r="BH156">
        <v>407.82667776884568</v>
      </c>
      <c r="BI156">
        <v>389.73655503451369</v>
      </c>
      <c r="BJ156">
        <v>372.05944067249334</v>
      </c>
      <c r="BK156">
        <v>354.75156639017149</v>
      </c>
      <c r="BL156">
        <v>337.84939136662678</v>
      </c>
      <c r="BM156">
        <v>321.36782763857866</v>
      </c>
      <c r="BN156">
        <v>305.31110019557548</v>
      </c>
    </row>
    <row r="157" spans="1:66" x14ac:dyDescent="0.25">
      <c r="A157" t="s">
        <v>226</v>
      </c>
      <c r="B157" t="s">
        <v>536</v>
      </c>
      <c r="C157" t="s">
        <v>534</v>
      </c>
      <c r="D157" t="s">
        <v>525</v>
      </c>
      <c r="E157" t="s">
        <v>521</v>
      </c>
      <c r="F157">
        <v>29012.897398845394</v>
      </c>
      <c r="G157">
        <v>29733.023075344903</v>
      </c>
      <c r="H157">
        <v>31320.108193971439</v>
      </c>
      <c r="I157">
        <v>30769.917679558341</v>
      </c>
      <c r="J157">
        <v>30855.464305886358</v>
      </c>
      <c r="K157">
        <v>30807.15278760434</v>
      </c>
      <c r="L157">
        <v>32676.98144102552</v>
      </c>
      <c r="M157">
        <v>34628.447074801872</v>
      </c>
      <c r="N157">
        <v>32996.622945367468</v>
      </c>
      <c r="O157">
        <v>34535.956774742503</v>
      </c>
      <c r="P157">
        <v>35323.941097221861</v>
      </c>
      <c r="Q157">
        <v>37491.528269252616</v>
      </c>
      <c r="R157">
        <v>37597.790313188299</v>
      </c>
      <c r="S157">
        <v>39187.525100695137</v>
      </c>
      <c r="T157">
        <v>38883.963267331026</v>
      </c>
      <c r="U157">
        <v>40602.92604799055</v>
      </c>
      <c r="V157">
        <v>40941.03411633549</v>
      </c>
      <c r="W157">
        <v>39756.054114169223</v>
      </c>
      <c r="X157">
        <v>40704.644922956213</v>
      </c>
      <c r="Y157">
        <v>37851.584943027628</v>
      </c>
      <c r="Z157">
        <v>38258.189555380639</v>
      </c>
      <c r="AA157">
        <v>37476.742760931345</v>
      </c>
      <c r="AB157">
        <v>38822.24438135275</v>
      </c>
      <c r="AC157">
        <v>38042.386442328796</v>
      </c>
      <c r="AD157">
        <v>38239.490669053106</v>
      </c>
      <c r="AE157">
        <v>38574.2154058343</v>
      </c>
      <c r="AF157">
        <v>36887.73781690115</v>
      </c>
      <c r="AG157">
        <v>38354.032701478282</v>
      </c>
      <c r="AH157">
        <v>38244.89921952338</v>
      </c>
      <c r="AI157">
        <v>39634.847827478443</v>
      </c>
      <c r="AJ157">
        <v>36911.614290734949</v>
      </c>
      <c r="AK157">
        <v>38349.911210874074</v>
      </c>
      <c r="AL157">
        <v>37448.326724564235</v>
      </c>
      <c r="AM157">
        <v>36438.080160422964</v>
      </c>
      <c r="AN157">
        <v>35271.231150378597</v>
      </c>
      <c r="AO157">
        <v>33936.715103703602</v>
      </c>
      <c r="AP157">
        <v>33051.273811622275</v>
      </c>
      <c r="AQ157">
        <v>32134.999356440967</v>
      </c>
      <c r="AR157">
        <v>31027.956839576898</v>
      </c>
      <c r="AS157">
        <v>30006.023359404695</v>
      </c>
      <c r="AT157">
        <v>27925.305516472057</v>
      </c>
      <c r="AU157">
        <v>26627.909764364016</v>
      </c>
      <c r="AV157">
        <v>25237.489681727817</v>
      </c>
      <c r="AW157">
        <v>23960.418149459339</v>
      </c>
      <c r="AX157">
        <v>22705.501408061409</v>
      </c>
      <c r="AY157">
        <v>21498.313493888509</v>
      </c>
      <c r="AZ157">
        <v>20223.535625884717</v>
      </c>
      <c r="BA157">
        <v>19043.432961453909</v>
      </c>
      <c r="BB157">
        <v>17950.720115271175</v>
      </c>
      <c r="BC157">
        <v>16877.214353273033</v>
      </c>
      <c r="BD157">
        <v>15158.536086607608</v>
      </c>
      <c r="BE157">
        <v>14250.945884500568</v>
      </c>
      <c r="BF157">
        <v>13331.325880299839</v>
      </c>
      <c r="BG157">
        <v>12378.888925990481</v>
      </c>
      <c r="BH157">
        <v>11461.328647247459</v>
      </c>
      <c r="BI157">
        <v>10365.619273767046</v>
      </c>
      <c r="BJ157">
        <v>9819.0394399903143</v>
      </c>
      <c r="BK157">
        <v>9316.8981051522351</v>
      </c>
      <c r="BL157">
        <v>8825.5888092858277</v>
      </c>
      <c r="BM157">
        <v>8387.6881982783125</v>
      </c>
      <c r="BN157">
        <v>8038.6640537408393</v>
      </c>
    </row>
    <row r="158" spans="1:66" x14ac:dyDescent="0.25">
      <c r="A158" t="s">
        <v>227</v>
      </c>
      <c r="B158" t="s">
        <v>536</v>
      </c>
      <c r="C158" t="s">
        <v>526</v>
      </c>
      <c r="D158" t="s">
        <v>518</v>
      </c>
      <c r="E158" t="s">
        <v>519</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11.416538041464802</v>
      </c>
      <c r="AA158">
        <v>8.7327708333333316</v>
      </c>
      <c r="AB158">
        <v>2.2770791666666668</v>
      </c>
      <c r="AC158">
        <v>1.3566666666666667</v>
      </c>
      <c r="AD158">
        <v>1.9666666666666663</v>
      </c>
      <c r="AE158">
        <v>4.4622309027777769</v>
      </c>
      <c r="AF158">
        <v>7.7698003472222208</v>
      </c>
      <c r="AG158">
        <v>11.941235920833332</v>
      </c>
      <c r="AH158">
        <v>18.817684762500001</v>
      </c>
      <c r="AI158">
        <v>24.5</v>
      </c>
      <c r="AJ158">
        <v>30</v>
      </c>
      <c r="AK158">
        <v>46.305643178011259</v>
      </c>
      <c r="AL158">
        <v>69.696559398715706</v>
      </c>
      <c r="AM158">
        <v>0.01</v>
      </c>
      <c r="AN158">
        <v>0.01</v>
      </c>
      <c r="AO158">
        <v>0.01</v>
      </c>
      <c r="AP158">
        <v>0.01</v>
      </c>
      <c r="AQ158">
        <v>0.01</v>
      </c>
      <c r="AR158">
        <v>0.01</v>
      </c>
      <c r="AS158">
        <v>0.01</v>
      </c>
      <c r="AT158">
        <v>0.01</v>
      </c>
      <c r="AU158">
        <v>0.01</v>
      </c>
      <c r="AV158">
        <v>0.01</v>
      </c>
      <c r="AW158">
        <v>0.01</v>
      </c>
      <c r="AX158">
        <v>0.01</v>
      </c>
      <c r="AY158">
        <v>0.01</v>
      </c>
      <c r="AZ158">
        <v>0.01</v>
      </c>
      <c r="BA158">
        <v>0.01</v>
      </c>
      <c r="BB158">
        <v>0.01</v>
      </c>
      <c r="BC158">
        <v>0.01</v>
      </c>
      <c r="BD158">
        <v>0.01</v>
      </c>
      <c r="BE158">
        <v>0.01</v>
      </c>
      <c r="BF158">
        <v>0.01</v>
      </c>
      <c r="BG158">
        <v>0.01</v>
      </c>
      <c r="BH158">
        <v>0.01</v>
      </c>
      <c r="BI158">
        <v>0.01</v>
      </c>
      <c r="BJ158">
        <v>0.01</v>
      </c>
      <c r="BK158">
        <v>0.01</v>
      </c>
      <c r="BL158">
        <v>0.01</v>
      </c>
      <c r="BM158">
        <v>0.01</v>
      </c>
      <c r="BN158">
        <v>0.01</v>
      </c>
    </row>
    <row r="159" spans="1:66" x14ac:dyDescent="0.25">
      <c r="A159" t="s">
        <v>227</v>
      </c>
      <c r="B159" t="s">
        <v>536</v>
      </c>
      <c r="C159" t="s">
        <v>526</v>
      </c>
      <c r="D159" t="s">
        <v>520</v>
      </c>
      <c r="E159" t="s">
        <v>521</v>
      </c>
      <c r="F159">
        <v>8126.1945618773643</v>
      </c>
      <c r="G159">
        <v>8106.661121873205</v>
      </c>
      <c r="H159">
        <v>8469.9964545997555</v>
      </c>
      <c r="I159">
        <v>8922.6885824844103</v>
      </c>
      <c r="J159">
        <v>9583.8002483498967</v>
      </c>
      <c r="K159">
        <v>10247.564720783123</v>
      </c>
      <c r="L159">
        <v>10378.724398951666</v>
      </c>
      <c r="M159">
        <v>10605.333888617772</v>
      </c>
      <c r="N159">
        <v>10810.458340752642</v>
      </c>
      <c r="O159">
        <v>11096.605458727845</v>
      </c>
      <c r="P159">
        <v>11648.310343290637</v>
      </c>
      <c r="Q159">
        <v>11705.871223077451</v>
      </c>
      <c r="R159">
        <v>12162.021231248526</v>
      </c>
      <c r="S159">
        <v>12697.797549640931</v>
      </c>
      <c r="T159">
        <v>12992.367162928625</v>
      </c>
      <c r="U159">
        <v>13063.440862686894</v>
      </c>
      <c r="V159">
        <v>13182.198504199005</v>
      </c>
      <c r="W159">
        <v>13284.806809600492</v>
      </c>
      <c r="X159">
        <v>13293.959706338926</v>
      </c>
      <c r="Y159">
        <v>13101.086214174264</v>
      </c>
      <c r="Z159">
        <v>13348.937535477718</v>
      </c>
      <c r="AA159">
        <v>13331.827621000642</v>
      </c>
      <c r="AB159">
        <v>13006.487718579234</v>
      </c>
      <c r="AC159">
        <v>13081.360160828839</v>
      </c>
      <c r="AD159">
        <v>13339.646613066796</v>
      </c>
      <c r="AE159">
        <v>13805.025309105527</v>
      </c>
      <c r="AF159">
        <v>13906.520809611657</v>
      </c>
      <c r="AG159">
        <v>14803.702978914342</v>
      </c>
      <c r="AH159">
        <v>15126.124771992951</v>
      </c>
      <c r="AI159">
        <v>14654.704680232724</v>
      </c>
      <c r="AJ159">
        <v>13175.66592208733</v>
      </c>
      <c r="AK159">
        <v>14276.695445242463</v>
      </c>
      <c r="AL159">
        <v>14965.117202803547</v>
      </c>
      <c r="AM159">
        <v>15046.166327571669</v>
      </c>
      <c r="AN159">
        <v>14863.367479669667</v>
      </c>
      <c r="AO159">
        <v>14641.039247902792</v>
      </c>
      <c r="AP159">
        <v>14299.997166649489</v>
      </c>
      <c r="AQ159">
        <v>13912.880579589386</v>
      </c>
      <c r="AR159">
        <v>13394.788066769612</v>
      </c>
      <c r="AS159">
        <v>12791.553460374073</v>
      </c>
      <c r="AT159">
        <v>12129.008548554699</v>
      </c>
      <c r="AU159">
        <v>11370.148504074292</v>
      </c>
      <c r="AV159">
        <v>10572.454036780653</v>
      </c>
      <c r="AW159">
        <v>9796.9382751234025</v>
      </c>
      <c r="AX159">
        <v>9022.4546299394096</v>
      </c>
      <c r="AY159">
        <v>8277.579462508811</v>
      </c>
      <c r="AZ159">
        <v>7516.5988773795007</v>
      </c>
      <c r="BA159">
        <v>6856.6170622482505</v>
      </c>
      <c r="BB159">
        <v>6187.0190595269796</v>
      </c>
      <c r="BC159">
        <v>5562.1251917017426</v>
      </c>
      <c r="BD159">
        <v>5089.8602095475544</v>
      </c>
      <c r="BE159">
        <v>4541.7715634603255</v>
      </c>
      <c r="BF159">
        <v>4090.0537052432283</v>
      </c>
      <c r="BG159">
        <v>3648.5856571477971</v>
      </c>
      <c r="BH159">
        <v>3206.8650791569753</v>
      </c>
      <c r="BI159">
        <v>2809.4064092862695</v>
      </c>
      <c r="BJ159">
        <v>2439.8655535807238</v>
      </c>
      <c r="BK159">
        <v>2149.4218356088745</v>
      </c>
      <c r="BL159">
        <v>1904.4431688401439</v>
      </c>
      <c r="BM159">
        <v>1647.4425208276509</v>
      </c>
      <c r="BN159">
        <v>1461.8539619570695</v>
      </c>
    </row>
    <row r="160" spans="1:66" x14ac:dyDescent="0.25">
      <c r="A160" t="s">
        <v>227</v>
      </c>
      <c r="B160" t="s">
        <v>536</v>
      </c>
      <c r="C160" t="s">
        <v>526</v>
      </c>
      <c r="D160" t="s">
        <v>522</v>
      </c>
      <c r="E160" t="s">
        <v>521</v>
      </c>
      <c r="F160">
        <v>15640.940843035291</v>
      </c>
      <c r="G160">
        <v>16150.546759988883</v>
      </c>
      <c r="H160">
        <v>17648.388786263939</v>
      </c>
      <c r="I160">
        <v>16725.370693795405</v>
      </c>
      <c r="J160">
        <v>16380.548324839787</v>
      </c>
      <c r="K160">
        <v>15499.119986501893</v>
      </c>
      <c r="L160">
        <v>16964.973485962018</v>
      </c>
      <c r="M160">
        <v>18776.307489236842</v>
      </c>
      <c r="N160">
        <v>16990.87642543549</v>
      </c>
      <c r="O160">
        <v>18068.06638576484</v>
      </c>
      <c r="P160">
        <v>18247.587022073894</v>
      </c>
      <c r="Q160">
        <v>20209.470689366266</v>
      </c>
      <c r="R160">
        <v>19699.848793804682</v>
      </c>
      <c r="S160">
        <v>20589.961823411428</v>
      </c>
      <c r="T160">
        <v>19932.694122895617</v>
      </c>
      <c r="U160">
        <v>21455.132172136808</v>
      </c>
      <c r="V160">
        <v>21734.471668911941</v>
      </c>
      <c r="W160">
        <v>20224.013693454704</v>
      </c>
      <c r="X160">
        <v>21356.548009904149</v>
      </c>
      <c r="Y160">
        <v>18870.840564758502</v>
      </c>
      <c r="Z160">
        <v>18772.299934571802</v>
      </c>
      <c r="AA160">
        <v>18114.081314169005</v>
      </c>
      <c r="AB160">
        <v>19820.47191931152</v>
      </c>
      <c r="AC160">
        <v>18884.997469550366</v>
      </c>
      <c r="AD160">
        <v>18698.599087495157</v>
      </c>
      <c r="AE160">
        <v>18478.836391393874</v>
      </c>
      <c r="AF160">
        <v>16973.70962476591</v>
      </c>
      <c r="AG160">
        <v>17531.475135032353</v>
      </c>
      <c r="AH160">
        <v>17282.73541087965</v>
      </c>
      <c r="AI160">
        <v>19152.571947895391</v>
      </c>
      <c r="AJ160">
        <v>18178.313197265285</v>
      </c>
      <c r="AK160">
        <v>18331.121760447171</v>
      </c>
      <c r="AL160">
        <v>16992.739785951086</v>
      </c>
      <c r="AM160">
        <v>16405.94232418661</v>
      </c>
      <c r="AN160">
        <v>15628.302469510503</v>
      </c>
      <c r="AO160">
        <v>15354.546935687127</v>
      </c>
      <c r="AP160">
        <v>15447.604054844289</v>
      </c>
      <c r="AQ160">
        <v>15556.436481988239</v>
      </c>
      <c r="AR160">
        <v>15693.692267203645</v>
      </c>
      <c r="AS160">
        <v>15842.709358654456</v>
      </c>
      <c r="AT160">
        <v>15216.022342740804</v>
      </c>
      <c r="AU160">
        <v>13464.809372792444</v>
      </c>
      <c r="AV160">
        <v>13182.147980919424</v>
      </c>
      <c r="AW160">
        <v>12949.496657382604</v>
      </c>
      <c r="AX160">
        <v>12665.143187356794</v>
      </c>
      <c r="AY160">
        <v>12346.950267006901</v>
      </c>
      <c r="AZ160">
        <v>12033.224880044505</v>
      </c>
      <c r="BA160">
        <v>11707.331302895742</v>
      </c>
      <c r="BB160">
        <v>11367.612793644283</v>
      </c>
      <c r="BC160">
        <v>11019.371901001139</v>
      </c>
      <c r="BD160">
        <v>9913.5713260272187</v>
      </c>
      <c r="BE160">
        <v>9598.0402928478888</v>
      </c>
      <c r="BF160">
        <v>9197.8791318780695</v>
      </c>
      <c r="BG160">
        <v>8795.5913134946604</v>
      </c>
      <c r="BH160">
        <v>8431.2676457310972</v>
      </c>
      <c r="BI160">
        <v>8092.5936000343327</v>
      </c>
      <c r="BJ160">
        <v>7764.9044522584509</v>
      </c>
      <c r="BK160">
        <v>7430.853619880425</v>
      </c>
      <c r="BL160">
        <v>7122.9879641207763</v>
      </c>
      <c r="BM160">
        <v>6822.3301637672703</v>
      </c>
      <c r="BN160">
        <v>6553.2616159323798</v>
      </c>
    </row>
    <row r="161" spans="1:66" x14ac:dyDescent="0.25">
      <c r="A161" t="s">
        <v>227</v>
      </c>
      <c r="B161" t="s">
        <v>536</v>
      </c>
      <c r="C161" t="s">
        <v>526</v>
      </c>
      <c r="D161" t="s">
        <v>523</v>
      </c>
      <c r="E161" t="s">
        <v>521</v>
      </c>
      <c r="F161">
        <v>3429.1023206090149</v>
      </c>
      <c r="G161">
        <v>3582.0933132143959</v>
      </c>
      <c r="H161">
        <v>3230.4006797977117</v>
      </c>
      <c r="I161">
        <v>3072.4080540294026</v>
      </c>
      <c r="J161">
        <v>2943.5832063652938</v>
      </c>
      <c r="K161">
        <v>3036.6428253355557</v>
      </c>
      <c r="L161">
        <v>3231.1178764295346</v>
      </c>
      <c r="M161">
        <v>3121.0509253025539</v>
      </c>
      <c r="N161">
        <v>3108.4252054479571</v>
      </c>
      <c r="O161">
        <v>3287.2502963250704</v>
      </c>
      <c r="P161">
        <v>3324.3535917273935</v>
      </c>
      <c r="Q161">
        <v>3441.9326499549325</v>
      </c>
      <c r="R161">
        <v>3562.3255597822995</v>
      </c>
      <c r="S161">
        <v>3798.3629146741546</v>
      </c>
      <c r="T161">
        <v>3833.9993752516589</v>
      </c>
      <c r="U161">
        <v>3949.7863117346769</v>
      </c>
      <c r="V161">
        <v>4067.1636114352182</v>
      </c>
      <c r="W161">
        <v>4324.6641433976283</v>
      </c>
      <c r="X161">
        <v>4207.5754142911601</v>
      </c>
      <c r="Y161">
        <v>4156.3376144420381</v>
      </c>
      <c r="Z161">
        <v>4471.2064224286651</v>
      </c>
      <c r="AA161">
        <v>4511.1732699008671</v>
      </c>
      <c r="AB161">
        <v>4584.743425822363</v>
      </c>
      <c r="AC161">
        <v>4716.1203271304976</v>
      </c>
      <c r="AD161">
        <v>4887.0741014170871</v>
      </c>
      <c r="AE161">
        <v>5014.426570819578</v>
      </c>
      <c r="AF161">
        <v>4761.4486978313562</v>
      </c>
      <c r="AG161">
        <v>4803.9943473754338</v>
      </c>
      <c r="AH161">
        <v>4679.6792337008401</v>
      </c>
      <c r="AI161">
        <v>4713.1761267541115</v>
      </c>
      <c r="AJ161">
        <v>4482.2708369643005</v>
      </c>
      <c r="AK161">
        <v>4684.6924221093341</v>
      </c>
      <c r="AL161">
        <v>4615.5306846943822</v>
      </c>
      <c r="AM161">
        <v>4527.0774901879568</v>
      </c>
      <c r="AN161">
        <v>4561.4447140260791</v>
      </c>
      <c r="AO161">
        <v>4531.5830099871318</v>
      </c>
      <c r="AP161">
        <v>4520.2431432731055</v>
      </c>
      <c r="AQ161">
        <v>4475.9232009926682</v>
      </c>
      <c r="AR161">
        <v>4437.3438495564887</v>
      </c>
      <c r="AS161">
        <v>4418.4714579346737</v>
      </c>
      <c r="AT161">
        <v>4189.6175136617467</v>
      </c>
      <c r="AU161">
        <v>4152.7025661890148</v>
      </c>
      <c r="AV161">
        <v>4118.1638381475095</v>
      </c>
      <c r="AW161">
        <v>4074.2373670370253</v>
      </c>
      <c r="AX161">
        <v>4037.0588209614439</v>
      </c>
      <c r="AY161">
        <v>4032.1997556739379</v>
      </c>
      <c r="AZ161">
        <v>3995.9161703264608</v>
      </c>
      <c r="BA161">
        <v>3975.3458681184584</v>
      </c>
      <c r="BB161">
        <v>3956.6216979861979</v>
      </c>
      <c r="BC161">
        <v>3939.8745394675066</v>
      </c>
      <c r="BD161">
        <v>3868.9310985478323</v>
      </c>
      <c r="BE161">
        <v>3857.8291521529131</v>
      </c>
      <c r="BF161">
        <v>3849.1543209366041</v>
      </c>
      <c r="BG161">
        <v>3844.9585287107939</v>
      </c>
      <c r="BH161">
        <v>3843.2882370622556</v>
      </c>
      <c r="BI161">
        <v>3843.9088929607178</v>
      </c>
      <c r="BJ161">
        <v>3847.400115947531</v>
      </c>
      <c r="BK161">
        <v>3853.83891593199</v>
      </c>
      <c r="BL161">
        <v>3862.0590012565413</v>
      </c>
      <c r="BM161">
        <v>3871.308152736688</v>
      </c>
      <c r="BN161">
        <v>3883.132271554603</v>
      </c>
    </row>
    <row r="162" spans="1:66" x14ac:dyDescent="0.25">
      <c r="A162" t="s">
        <v>227</v>
      </c>
      <c r="B162" t="s">
        <v>536</v>
      </c>
      <c r="C162" t="s">
        <v>526</v>
      </c>
      <c r="D162" t="s">
        <v>524</v>
      </c>
      <c r="E162" t="s">
        <v>521</v>
      </c>
      <c r="F162">
        <v>1816.6596733237263</v>
      </c>
      <c r="G162">
        <v>1893.7218802684215</v>
      </c>
      <c r="H162">
        <v>1971.3222733100288</v>
      </c>
      <c r="I162">
        <v>2049.4503492491226</v>
      </c>
      <c r="J162">
        <v>1947.5325263313807</v>
      </c>
      <c r="K162">
        <v>2023.8252549837712</v>
      </c>
      <c r="L162">
        <v>2102.1656796823004</v>
      </c>
      <c r="M162">
        <v>2125.7547716447093</v>
      </c>
      <c r="N162">
        <v>2086.8629737313777</v>
      </c>
      <c r="O162">
        <v>2084.0346339247499</v>
      </c>
      <c r="P162">
        <v>2103.6901401299438</v>
      </c>
      <c r="Q162">
        <v>2134.2537068539705</v>
      </c>
      <c r="R162">
        <v>2173.5947283527944</v>
      </c>
      <c r="S162">
        <v>2101.4028129686244</v>
      </c>
      <c r="T162">
        <v>2124.9026062551302</v>
      </c>
      <c r="U162">
        <v>2134.5667014321762</v>
      </c>
      <c r="V162">
        <v>1957.2003317893241</v>
      </c>
      <c r="W162">
        <v>1922.5694677164029</v>
      </c>
      <c r="X162">
        <v>1846.56179242198</v>
      </c>
      <c r="Y162">
        <v>1723.3205496528278</v>
      </c>
      <c r="Z162">
        <v>1665.7456629024559</v>
      </c>
      <c r="AA162">
        <v>1519.6605558608351</v>
      </c>
      <c r="AB162">
        <v>1410.5413176396301</v>
      </c>
      <c r="AC162">
        <v>1359.9084848190901</v>
      </c>
      <c r="AD162">
        <v>1314.1708670740722</v>
      </c>
      <c r="AE162">
        <v>1275.9271345153275</v>
      </c>
      <c r="AF162">
        <v>1246.0586846922251</v>
      </c>
      <c r="AG162">
        <v>1214.8602401561525</v>
      </c>
      <c r="AH162">
        <v>1156.3598029499428</v>
      </c>
      <c r="AI162">
        <v>1114.3950725962225</v>
      </c>
      <c r="AJ162">
        <v>1075.3643344180375</v>
      </c>
      <c r="AK162">
        <v>1058.4109684228663</v>
      </c>
      <c r="AL162">
        <v>1033.212300658286</v>
      </c>
      <c r="AM162">
        <v>996.3164129459052</v>
      </c>
      <c r="AN162">
        <v>960.78960512158892</v>
      </c>
      <c r="AO162">
        <v>925.04832155596773</v>
      </c>
      <c r="AP162">
        <v>889.02457419959956</v>
      </c>
      <c r="AQ162">
        <v>853.30502435548965</v>
      </c>
      <c r="AR162">
        <v>818.06085119369118</v>
      </c>
      <c r="AS162">
        <v>783.33888514538035</v>
      </c>
      <c r="AT162">
        <v>749.00661600423484</v>
      </c>
      <c r="AU162">
        <v>713.12299893040836</v>
      </c>
      <c r="AV162">
        <v>681.75265381906581</v>
      </c>
      <c r="AW162">
        <v>653.07251772298503</v>
      </c>
      <c r="AX162">
        <v>626.11264777642305</v>
      </c>
      <c r="AY162">
        <v>600.52316314937514</v>
      </c>
      <c r="AZ162">
        <v>575.86587763045134</v>
      </c>
      <c r="BA162">
        <v>552.05563434795374</v>
      </c>
      <c r="BB162">
        <v>529.03379695458602</v>
      </c>
      <c r="BC162">
        <v>506.69177205864327</v>
      </c>
      <c r="BD162">
        <v>485.08300206828466</v>
      </c>
      <c r="BE162">
        <v>465.02988086753226</v>
      </c>
      <c r="BF162">
        <v>445.48055289878113</v>
      </c>
      <c r="BG162">
        <v>426.42962227669557</v>
      </c>
      <c r="BH162">
        <v>407.82667776884568</v>
      </c>
      <c r="BI162">
        <v>389.73655503451369</v>
      </c>
      <c r="BJ162">
        <v>372.05944067249334</v>
      </c>
      <c r="BK162">
        <v>354.75156639017149</v>
      </c>
      <c r="BL162">
        <v>337.84939136662678</v>
      </c>
      <c r="BM162">
        <v>321.36782763857866</v>
      </c>
      <c r="BN162">
        <v>305.31110019557548</v>
      </c>
    </row>
    <row r="163" spans="1:66" x14ac:dyDescent="0.25">
      <c r="A163" t="s">
        <v>227</v>
      </c>
      <c r="B163" t="s">
        <v>536</v>
      </c>
      <c r="C163" t="s">
        <v>526</v>
      </c>
      <c r="D163" t="s">
        <v>525</v>
      </c>
      <c r="E163" t="s">
        <v>521</v>
      </c>
      <c r="F163">
        <v>29012.897398845394</v>
      </c>
      <c r="G163">
        <v>29733.023075344903</v>
      </c>
      <c r="H163">
        <v>31320.108193971439</v>
      </c>
      <c r="I163">
        <v>30769.917679558341</v>
      </c>
      <c r="J163">
        <v>30855.464305886358</v>
      </c>
      <c r="K163">
        <v>30807.15278760434</v>
      </c>
      <c r="L163">
        <v>32676.98144102552</v>
      </c>
      <c r="M163">
        <v>34628.447074801872</v>
      </c>
      <c r="N163">
        <v>32996.622945367468</v>
      </c>
      <c r="O163">
        <v>34535.956774742503</v>
      </c>
      <c r="P163">
        <v>35323.941097221861</v>
      </c>
      <c r="Q163">
        <v>37491.528269252616</v>
      </c>
      <c r="R163">
        <v>37597.790313188299</v>
      </c>
      <c r="S163">
        <v>39187.525100695137</v>
      </c>
      <c r="T163">
        <v>38883.963267331026</v>
      </c>
      <c r="U163">
        <v>40602.92604799055</v>
      </c>
      <c r="V163">
        <v>40941.03411633549</v>
      </c>
      <c r="W163">
        <v>39756.054114169223</v>
      </c>
      <c r="X163">
        <v>40704.644922956213</v>
      </c>
      <c r="Y163">
        <v>37851.584943027628</v>
      </c>
      <c r="Z163">
        <v>38258.189555380639</v>
      </c>
      <c r="AA163">
        <v>37476.742760931345</v>
      </c>
      <c r="AB163">
        <v>38822.24438135275</v>
      </c>
      <c r="AC163">
        <v>38042.386442328796</v>
      </c>
      <c r="AD163">
        <v>38239.490669053106</v>
      </c>
      <c r="AE163">
        <v>38574.2154058343</v>
      </c>
      <c r="AF163">
        <v>36887.73781690115</v>
      </c>
      <c r="AG163">
        <v>38354.032701478282</v>
      </c>
      <c r="AH163">
        <v>38244.89921952338</v>
      </c>
      <c r="AI163">
        <v>39634.847827478443</v>
      </c>
      <c r="AJ163">
        <v>36911.614290734949</v>
      </c>
      <c r="AK163">
        <v>38350.92059622184</v>
      </c>
      <c r="AL163">
        <v>37606.599974107303</v>
      </c>
      <c r="AM163">
        <v>36975.50255489214</v>
      </c>
      <c r="AN163">
        <v>36013.904268327839</v>
      </c>
      <c r="AO163">
        <v>35452.217515133016</v>
      </c>
      <c r="AP163">
        <v>35156.86893896648</v>
      </c>
      <c r="AQ163">
        <v>34798.545286925786</v>
      </c>
      <c r="AR163">
        <v>34343.885034723433</v>
      </c>
      <c r="AS163">
        <v>33836.07316210858</v>
      </c>
      <c r="AT163">
        <v>32283.65502096148</v>
      </c>
      <c r="AU163">
        <v>29700.783441986157</v>
      </c>
      <c r="AV163">
        <v>28554.51850966665</v>
      </c>
      <c r="AW163">
        <v>27473.744817266015</v>
      </c>
      <c r="AX163">
        <v>26350.769286034072</v>
      </c>
      <c r="AY163">
        <v>25257.252648339025</v>
      </c>
      <c r="AZ163">
        <v>24121.605805380917</v>
      </c>
      <c r="BA163">
        <v>23091.349867610406</v>
      </c>
      <c r="BB163">
        <v>22040.287348112044</v>
      </c>
      <c r="BC163">
        <v>21028.063404229029</v>
      </c>
      <c r="BD163">
        <v>19357.445636190889</v>
      </c>
      <c r="BE163">
        <v>18462.67088932866</v>
      </c>
      <c r="BF163">
        <v>17582.567710956682</v>
      </c>
      <c r="BG163">
        <v>16715.565121629948</v>
      </c>
      <c r="BH163">
        <v>15889.247639719175</v>
      </c>
      <c r="BI163">
        <v>15135.645457315833</v>
      </c>
      <c r="BJ163">
        <v>14424.229562459199</v>
      </c>
      <c r="BK163">
        <v>13788.865937811463</v>
      </c>
      <c r="BL163">
        <v>13227.339525584088</v>
      </c>
      <c r="BM163">
        <v>12662.448664970188</v>
      </c>
      <c r="BN163">
        <v>12203.558949639626</v>
      </c>
    </row>
    <row r="164" spans="1:66" x14ac:dyDescent="0.25">
      <c r="A164" t="s">
        <v>228</v>
      </c>
      <c r="B164" t="s">
        <v>538</v>
      </c>
      <c r="C164" t="s">
        <v>528</v>
      </c>
      <c r="D164" t="s">
        <v>518</v>
      </c>
      <c r="E164" t="s">
        <v>519</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11.416538041464802</v>
      </c>
      <c r="AA164">
        <v>8.7327708333333316</v>
      </c>
      <c r="AB164">
        <v>2.2770791666666668</v>
      </c>
      <c r="AC164">
        <v>1.3566666666666667</v>
      </c>
      <c r="AD164">
        <v>1.9666666666666663</v>
      </c>
      <c r="AE164">
        <v>4.4622309027777769</v>
      </c>
      <c r="AF164">
        <v>7.7698003472222208</v>
      </c>
      <c r="AG164">
        <v>11.941235920833332</v>
      </c>
      <c r="AH164">
        <v>18.817684762500001</v>
      </c>
      <c r="AI164">
        <v>24.5</v>
      </c>
      <c r="AJ164">
        <v>30</v>
      </c>
      <c r="AK164">
        <v>46.305643178011259</v>
      </c>
      <c r="AL164">
        <v>69.696559398715706</v>
      </c>
      <c r="AM164">
        <v>100</v>
      </c>
      <c r="AN164">
        <v>103</v>
      </c>
      <c r="AO164">
        <v>106.09</v>
      </c>
      <c r="AP164">
        <v>109.2727</v>
      </c>
      <c r="AQ164">
        <v>112.550881</v>
      </c>
      <c r="AR164">
        <v>115.92740743</v>
      </c>
      <c r="AS164">
        <v>119.4052296529</v>
      </c>
      <c r="AT164">
        <v>122.987386542487</v>
      </c>
      <c r="AU164">
        <v>126.67700813876162</v>
      </c>
      <c r="AV164">
        <v>130.47731838292447</v>
      </c>
      <c r="AW164">
        <v>134.39163793441222</v>
      </c>
      <c r="AX164">
        <v>138.4233870724446</v>
      </c>
      <c r="AY164">
        <v>142.57608868461793</v>
      </c>
      <c r="AZ164">
        <v>146.85337134515646</v>
      </c>
      <c r="BA164">
        <v>151.25897248551115</v>
      </c>
      <c r="BB164">
        <v>155.79674166007649</v>
      </c>
      <c r="BC164">
        <v>160.47064390987879</v>
      </c>
      <c r="BD164">
        <v>165.28476322717515</v>
      </c>
      <c r="BE164">
        <v>170.24330612399041</v>
      </c>
      <c r="BF164">
        <v>175.35060530771011</v>
      </c>
      <c r="BG164">
        <v>180.61112346694142</v>
      </c>
      <c r="BH164">
        <v>186.02945717094966</v>
      </c>
      <c r="BI164">
        <v>191.61034088607815</v>
      </c>
      <c r="BJ164">
        <v>197.35865111266051</v>
      </c>
      <c r="BK164">
        <v>203.27941064604033</v>
      </c>
      <c r="BL164">
        <v>209.37779296542155</v>
      </c>
      <c r="BM164">
        <v>215.6591267543842</v>
      </c>
      <c r="BN164">
        <v>222.12890055701573</v>
      </c>
    </row>
    <row r="165" spans="1:66" x14ac:dyDescent="0.25">
      <c r="A165" t="s">
        <v>228</v>
      </c>
      <c r="B165" t="s">
        <v>538</v>
      </c>
      <c r="C165" t="s">
        <v>528</v>
      </c>
      <c r="D165" t="s">
        <v>520</v>
      </c>
      <c r="E165" t="s">
        <v>521</v>
      </c>
      <c r="F165">
        <v>8126.1945618773643</v>
      </c>
      <c r="G165">
        <v>8106.661121873205</v>
      </c>
      <c r="H165">
        <v>8469.9964545997555</v>
      </c>
      <c r="I165">
        <v>8922.6885824844103</v>
      </c>
      <c r="J165">
        <v>9583.8002483498967</v>
      </c>
      <c r="K165">
        <v>10247.564720783123</v>
      </c>
      <c r="L165">
        <v>10378.724398951666</v>
      </c>
      <c r="M165">
        <v>10605.333888617772</v>
      </c>
      <c r="N165">
        <v>10810.458340752642</v>
      </c>
      <c r="O165">
        <v>11096.605458727845</v>
      </c>
      <c r="P165">
        <v>11648.310343290637</v>
      </c>
      <c r="Q165">
        <v>11705.871223077451</v>
      </c>
      <c r="R165">
        <v>12162.021231248526</v>
      </c>
      <c r="S165">
        <v>12697.797549640931</v>
      </c>
      <c r="T165">
        <v>12992.367162928625</v>
      </c>
      <c r="U165">
        <v>13063.440862686894</v>
      </c>
      <c r="V165">
        <v>13182.198504199005</v>
      </c>
      <c r="W165">
        <v>13284.806809600492</v>
      </c>
      <c r="X165">
        <v>13293.959706338926</v>
      </c>
      <c r="Y165">
        <v>13101.086214174264</v>
      </c>
      <c r="Z165">
        <v>13348.937535477718</v>
      </c>
      <c r="AA165">
        <v>13331.827621000642</v>
      </c>
      <c r="AB165">
        <v>13006.487718579234</v>
      </c>
      <c r="AC165">
        <v>13081.360160828839</v>
      </c>
      <c r="AD165">
        <v>13339.646613066796</v>
      </c>
      <c r="AE165">
        <v>13805.025309105527</v>
      </c>
      <c r="AF165">
        <v>13906.520809611657</v>
      </c>
      <c r="AG165">
        <v>14803.702978914342</v>
      </c>
      <c r="AH165">
        <v>15126.124771992951</v>
      </c>
      <c r="AI165">
        <v>14654.704680232724</v>
      </c>
      <c r="AJ165">
        <v>13175.66592208733</v>
      </c>
      <c r="AK165">
        <v>14392.195065575315</v>
      </c>
      <c r="AL165">
        <v>15135.522933385178</v>
      </c>
      <c r="AM165">
        <v>15304.113970463723</v>
      </c>
      <c r="AN165">
        <v>15259.006080968418</v>
      </c>
      <c r="AO165">
        <v>15190.276268731506</v>
      </c>
      <c r="AP165">
        <v>15104.808740324466</v>
      </c>
      <c r="AQ165">
        <v>14976.502095446323</v>
      </c>
      <c r="AR165">
        <v>14777.531905850357</v>
      </c>
      <c r="AS165">
        <v>14534.878786416712</v>
      </c>
      <c r="AT165">
        <v>14219.544724961455</v>
      </c>
      <c r="AU165">
        <v>13855.754170052071</v>
      </c>
      <c r="AV165">
        <v>13409.447862459516</v>
      </c>
      <c r="AW165">
        <v>12901.950430316336</v>
      </c>
      <c r="AX165">
        <v>12319.127592138366</v>
      </c>
      <c r="AY165">
        <v>11685.632031939987</v>
      </c>
      <c r="AZ165">
        <v>11006.196768542432</v>
      </c>
      <c r="BA165">
        <v>10243.885405083332</v>
      </c>
      <c r="BB165">
        <v>9514.5630309467942</v>
      </c>
      <c r="BC165">
        <v>8714.9809194069512</v>
      </c>
      <c r="BD165">
        <v>7952.9077729078817</v>
      </c>
      <c r="BE165">
        <v>7168.6728922619204</v>
      </c>
      <c r="BF165">
        <v>6558.7740372491671</v>
      </c>
      <c r="BG165">
        <v>5957.9010367253113</v>
      </c>
      <c r="BH165">
        <v>5381.9188210416778</v>
      </c>
      <c r="BI165">
        <v>4866.1189682515906</v>
      </c>
      <c r="BJ165">
        <v>4428.8685083340151</v>
      </c>
      <c r="BK165">
        <v>4016.8027317691476</v>
      </c>
      <c r="BL165">
        <v>3626.0788397684155</v>
      </c>
      <c r="BM165">
        <v>3269.7719814438783</v>
      </c>
      <c r="BN165">
        <v>3014.8543864209228</v>
      </c>
    </row>
    <row r="166" spans="1:66" x14ac:dyDescent="0.25">
      <c r="A166" t="s">
        <v>228</v>
      </c>
      <c r="B166" t="s">
        <v>538</v>
      </c>
      <c r="C166" t="s">
        <v>528</v>
      </c>
      <c r="D166" t="s">
        <v>522</v>
      </c>
      <c r="E166" t="s">
        <v>521</v>
      </c>
      <c r="F166">
        <v>15640.940843035291</v>
      </c>
      <c r="G166">
        <v>16150.546759988883</v>
      </c>
      <c r="H166">
        <v>17648.388786263939</v>
      </c>
      <c r="I166">
        <v>16725.370693795405</v>
      </c>
      <c r="J166">
        <v>16380.548324839787</v>
      </c>
      <c r="K166">
        <v>15499.119986501893</v>
      </c>
      <c r="L166">
        <v>16964.973485962018</v>
      </c>
      <c r="M166">
        <v>18776.307489236842</v>
      </c>
      <c r="N166">
        <v>16990.87642543549</v>
      </c>
      <c r="O166">
        <v>18068.06638576484</v>
      </c>
      <c r="P166">
        <v>18247.587022073894</v>
      </c>
      <c r="Q166">
        <v>20209.470689366266</v>
      </c>
      <c r="R166">
        <v>19699.848793804682</v>
      </c>
      <c r="S166">
        <v>20589.961823411428</v>
      </c>
      <c r="T166">
        <v>19932.694122895617</v>
      </c>
      <c r="U166">
        <v>21455.132172136808</v>
      </c>
      <c r="V166">
        <v>21734.471668911941</v>
      </c>
      <c r="W166">
        <v>20224.013693454704</v>
      </c>
      <c r="X166">
        <v>21356.548009904149</v>
      </c>
      <c r="Y166">
        <v>18870.840564758502</v>
      </c>
      <c r="Z166">
        <v>18772.299934571802</v>
      </c>
      <c r="AA166">
        <v>18114.081314169005</v>
      </c>
      <c r="AB166">
        <v>19820.47191931152</v>
      </c>
      <c r="AC166">
        <v>18884.997469550366</v>
      </c>
      <c r="AD166">
        <v>18698.599087495157</v>
      </c>
      <c r="AE166">
        <v>18478.836391393874</v>
      </c>
      <c r="AF166">
        <v>16973.70962476591</v>
      </c>
      <c r="AG166">
        <v>17531.475135032353</v>
      </c>
      <c r="AH166">
        <v>17282.73541087965</v>
      </c>
      <c r="AI166">
        <v>19152.571947895391</v>
      </c>
      <c r="AJ166">
        <v>18178.313197265285</v>
      </c>
      <c r="AK166">
        <v>18396.842955843931</v>
      </c>
      <c r="AL166">
        <v>17113.0857957521</v>
      </c>
      <c r="AM166">
        <v>16182.397773804079</v>
      </c>
      <c r="AN166">
        <v>15174.079984385009</v>
      </c>
      <c r="AO166">
        <v>14419.18332775347</v>
      </c>
      <c r="AP166">
        <v>14310.27715161294</v>
      </c>
      <c r="AQ166">
        <v>14184.309287394266</v>
      </c>
      <c r="AR166">
        <v>13969.898821019226</v>
      </c>
      <c r="AS166">
        <v>13992.263708106088</v>
      </c>
      <c r="AT166">
        <v>13153.388863144659</v>
      </c>
      <c r="AU166">
        <v>13066.587801293741</v>
      </c>
      <c r="AV166">
        <v>12927.184483165949</v>
      </c>
      <c r="AW166">
        <v>12834.015766331313</v>
      </c>
      <c r="AX166">
        <v>12733.888169993867</v>
      </c>
      <c r="AY166">
        <v>12609.020658268282</v>
      </c>
      <c r="AZ166">
        <v>12380.82645111857</v>
      </c>
      <c r="BA166">
        <v>12132.194485252323</v>
      </c>
      <c r="BB166">
        <v>11886.906835193251</v>
      </c>
      <c r="BC166">
        <v>11561.760117746613</v>
      </c>
      <c r="BD166">
        <v>10428.696371803519</v>
      </c>
      <c r="BE166">
        <v>9982.5126281398079</v>
      </c>
      <c r="BF166">
        <v>9421.7812481908986</v>
      </c>
      <c r="BG166">
        <v>8945.6542333067919</v>
      </c>
      <c r="BH166">
        <v>8483.2674693793051</v>
      </c>
      <c r="BI166">
        <v>8074.5852726604444</v>
      </c>
      <c r="BJ166">
        <v>7694.4066079448075</v>
      </c>
      <c r="BK166">
        <v>7347.2102136918011</v>
      </c>
      <c r="BL166">
        <v>6933.2489692382569</v>
      </c>
      <c r="BM166">
        <v>6494.8526262396863</v>
      </c>
      <c r="BN166">
        <v>6110.9104809163182</v>
      </c>
    </row>
    <row r="167" spans="1:66" x14ac:dyDescent="0.25">
      <c r="A167" t="s">
        <v>228</v>
      </c>
      <c r="B167" t="s">
        <v>538</v>
      </c>
      <c r="C167" t="s">
        <v>528</v>
      </c>
      <c r="D167" t="s">
        <v>523</v>
      </c>
      <c r="E167" t="s">
        <v>521</v>
      </c>
      <c r="F167">
        <v>3429.1023206090149</v>
      </c>
      <c r="G167">
        <v>3582.0933132143959</v>
      </c>
      <c r="H167">
        <v>3230.4006797977117</v>
      </c>
      <c r="I167">
        <v>3072.4080540294026</v>
      </c>
      <c r="J167">
        <v>2943.5832063652938</v>
      </c>
      <c r="K167">
        <v>3036.6428253355557</v>
      </c>
      <c r="L167">
        <v>3231.1178764295346</v>
      </c>
      <c r="M167">
        <v>3121.0509253025539</v>
      </c>
      <c r="N167">
        <v>3108.4252054479571</v>
      </c>
      <c r="O167">
        <v>3287.2502963250704</v>
      </c>
      <c r="P167">
        <v>3324.3535917273935</v>
      </c>
      <c r="Q167">
        <v>3441.9326499549325</v>
      </c>
      <c r="R167">
        <v>3562.3255597822995</v>
      </c>
      <c r="S167">
        <v>3798.3629146741546</v>
      </c>
      <c r="T167">
        <v>3833.9993752516589</v>
      </c>
      <c r="U167">
        <v>3949.7863117346769</v>
      </c>
      <c r="V167">
        <v>4067.1636114352182</v>
      </c>
      <c r="W167">
        <v>4324.6641433976283</v>
      </c>
      <c r="X167">
        <v>4207.5754142911601</v>
      </c>
      <c r="Y167">
        <v>4156.3376144420381</v>
      </c>
      <c r="Z167">
        <v>4471.2064224286651</v>
      </c>
      <c r="AA167">
        <v>4511.1732699008671</v>
      </c>
      <c r="AB167">
        <v>4584.743425822363</v>
      </c>
      <c r="AC167">
        <v>4716.1203271304976</v>
      </c>
      <c r="AD167">
        <v>4887.0741014170871</v>
      </c>
      <c r="AE167">
        <v>5014.426570819578</v>
      </c>
      <c r="AF167">
        <v>4761.4486978313562</v>
      </c>
      <c r="AG167">
        <v>4803.9943473754338</v>
      </c>
      <c r="AH167">
        <v>4679.6792337008401</v>
      </c>
      <c r="AI167">
        <v>4713.1761267541115</v>
      </c>
      <c r="AJ167">
        <v>4482.2708369643005</v>
      </c>
      <c r="AK167">
        <v>4684.6924221093332</v>
      </c>
      <c r="AL167">
        <v>4615.5306846943822</v>
      </c>
      <c r="AM167">
        <v>4588.727847242033</v>
      </c>
      <c r="AN167">
        <v>4623.752442902125</v>
      </c>
      <c r="AO167">
        <v>4592.0634674295143</v>
      </c>
      <c r="AP167">
        <v>4580.4770052583663</v>
      </c>
      <c r="AQ167">
        <v>4535.3377714394292</v>
      </c>
      <c r="AR167">
        <v>4495.7610058824666</v>
      </c>
      <c r="AS167">
        <v>4476.1275115818262</v>
      </c>
      <c r="AT167">
        <v>4270.9573441217144</v>
      </c>
      <c r="AU167">
        <v>4232.6105111448096</v>
      </c>
      <c r="AV167">
        <v>4196.4764030809392</v>
      </c>
      <c r="AW167">
        <v>4150.3808267369704</v>
      </c>
      <c r="AX167">
        <v>4111.4345097357136</v>
      </c>
      <c r="AY167">
        <v>4103.1405482243981</v>
      </c>
      <c r="AZ167">
        <v>4069.1491611389579</v>
      </c>
      <c r="BA167">
        <v>4047.5584375355465</v>
      </c>
      <c r="BB167">
        <v>4027.8926112094932</v>
      </c>
      <c r="BC167">
        <v>4010.2621895527136</v>
      </c>
      <c r="BD167">
        <v>3951.3474180119811</v>
      </c>
      <c r="BE167">
        <v>3939.3700154175694</v>
      </c>
      <c r="BF167">
        <v>3929.987203370235</v>
      </c>
      <c r="BG167">
        <v>3925.4703960942343</v>
      </c>
      <c r="BH167">
        <v>3923.6671818240084</v>
      </c>
      <c r="BI167">
        <v>3924.3271067347137</v>
      </c>
      <c r="BJ167">
        <v>3928.1084086359547</v>
      </c>
      <c r="BK167">
        <v>3935.1092702728533</v>
      </c>
      <c r="BL167">
        <v>3944.0437613978961</v>
      </c>
      <c r="BM167">
        <v>3954.0820346638843</v>
      </c>
      <c r="BN167">
        <v>3966.9340482703715</v>
      </c>
    </row>
    <row r="168" spans="1:66" x14ac:dyDescent="0.25">
      <c r="A168" t="s">
        <v>228</v>
      </c>
      <c r="B168" t="s">
        <v>538</v>
      </c>
      <c r="C168" t="s">
        <v>528</v>
      </c>
      <c r="D168" t="s">
        <v>524</v>
      </c>
      <c r="E168" t="s">
        <v>521</v>
      </c>
      <c r="F168">
        <v>1816.6596733237263</v>
      </c>
      <c r="G168">
        <v>1893.7218802684215</v>
      </c>
      <c r="H168">
        <v>1971.3222733100288</v>
      </c>
      <c r="I168">
        <v>2049.4503492491226</v>
      </c>
      <c r="J168">
        <v>1947.5325263313807</v>
      </c>
      <c r="K168">
        <v>2023.8252549837712</v>
      </c>
      <c r="L168">
        <v>2102.1656796823004</v>
      </c>
      <c r="M168">
        <v>2125.7547716447093</v>
      </c>
      <c r="N168">
        <v>2086.8629737313777</v>
      </c>
      <c r="O168">
        <v>2084.0346339247499</v>
      </c>
      <c r="P168">
        <v>2103.6901401299438</v>
      </c>
      <c r="Q168">
        <v>2134.2537068539705</v>
      </c>
      <c r="R168">
        <v>2173.5947283527944</v>
      </c>
      <c r="S168">
        <v>2101.4028129686244</v>
      </c>
      <c r="T168">
        <v>2124.9026062551302</v>
      </c>
      <c r="U168">
        <v>2134.5667014321762</v>
      </c>
      <c r="V168">
        <v>1957.2003317893241</v>
      </c>
      <c r="W168">
        <v>1922.5694677164029</v>
      </c>
      <c r="X168">
        <v>1846.56179242198</v>
      </c>
      <c r="Y168">
        <v>1723.3205496528278</v>
      </c>
      <c r="Z168">
        <v>1665.7456629024559</v>
      </c>
      <c r="AA168">
        <v>1519.6605558608351</v>
      </c>
      <c r="AB168">
        <v>1410.5413176396301</v>
      </c>
      <c r="AC168">
        <v>1359.9084848190901</v>
      </c>
      <c r="AD168">
        <v>1314.1708670740722</v>
      </c>
      <c r="AE168">
        <v>1275.9271345153275</v>
      </c>
      <c r="AF168">
        <v>1246.0586846922251</v>
      </c>
      <c r="AG168">
        <v>1214.8602401561525</v>
      </c>
      <c r="AH168">
        <v>1156.3598029499428</v>
      </c>
      <c r="AI168">
        <v>1114.3950725962225</v>
      </c>
      <c r="AJ168">
        <v>1075.3643344180375</v>
      </c>
      <c r="AK168">
        <v>1058.4109684228663</v>
      </c>
      <c r="AL168">
        <v>1037.4549522386469</v>
      </c>
      <c r="AM168">
        <v>1013.2758510517407</v>
      </c>
      <c r="AN168">
        <v>991.73087463912941</v>
      </c>
      <c r="AO168">
        <v>970.67437720296823</v>
      </c>
      <c r="AP168">
        <v>949.70765952526119</v>
      </c>
      <c r="AQ168">
        <v>929.27304214105857</v>
      </c>
      <c r="AR168">
        <v>909.44593862552381</v>
      </c>
      <c r="AS168">
        <v>890.20077278003203</v>
      </c>
      <c r="AT168">
        <v>871.34442152989345</v>
      </c>
      <c r="AU168">
        <v>855.13096617355052</v>
      </c>
      <c r="AV168">
        <v>841.41236337917815</v>
      </c>
      <c r="AW168">
        <v>829.19970030628019</v>
      </c>
      <c r="AX168">
        <v>817.9153093405406</v>
      </c>
      <c r="AY168">
        <v>807.46470836703054</v>
      </c>
      <c r="AZ168">
        <v>797.42620395036988</v>
      </c>
      <c r="BA168">
        <v>787.78538634656923</v>
      </c>
      <c r="BB168">
        <v>778.52302611877394</v>
      </c>
      <c r="BC168">
        <v>769.52124022599696</v>
      </c>
      <c r="BD168">
        <v>760.91723140991348</v>
      </c>
      <c r="BE168">
        <v>752.88875096146035</v>
      </c>
      <c r="BF168">
        <v>744.94510574082778</v>
      </c>
      <c r="BG168">
        <v>737.09867059669966</v>
      </c>
      <c r="BH168">
        <v>729.27900666319317</v>
      </c>
      <c r="BI168">
        <v>721.61410586977718</v>
      </c>
      <c r="BJ168">
        <v>713.93666109206413</v>
      </c>
      <c r="BK168">
        <v>706.12882410345969</v>
      </c>
      <c r="BL168">
        <v>698.26931167350097</v>
      </c>
      <c r="BM168">
        <v>690.39560248839609</v>
      </c>
      <c r="BN168">
        <v>682.52326736644579</v>
      </c>
    </row>
    <row r="169" spans="1:66" x14ac:dyDescent="0.25">
      <c r="A169" t="s">
        <v>228</v>
      </c>
      <c r="B169" t="s">
        <v>538</v>
      </c>
      <c r="C169" t="s">
        <v>528</v>
      </c>
      <c r="D169" t="s">
        <v>525</v>
      </c>
      <c r="E169" t="s">
        <v>521</v>
      </c>
      <c r="F169">
        <v>29012.897398845394</v>
      </c>
      <c r="G169">
        <v>29733.023075344903</v>
      </c>
      <c r="H169">
        <v>31320.108193971439</v>
      </c>
      <c r="I169">
        <v>30769.917679558341</v>
      </c>
      <c r="J169">
        <v>30855.464305886358</v>
      </c>
      <c r="K169">
        <v>30807.15278760434</v>
      </c>
      <c r="L169">
        <v>32676.98144102552</v>
      </c>
      <c r="M169">
        <v>34628.447074801872</v>
      </c>
      <c r="N169">
        <v>32996.622945367468</v>
      </c>
      <c r="O169">
        <v>34535.956774742503</v>
      </c>
      <c r="P169">
        <v>35323.941097221861</v>
      </c>
      <c r="Q169">
        <v>37491.528269252616</v>
      </c>
      <c r="R169">
        <v>37597.790313188299</v>
      </c>
      <c r="S169">
        <v>39187.525100695137</v>
      </c>
      <c r="T169">
        <v>38883.963267331026</v>
      </c>
      <c r="U169">
        <v>40602.92604799055</v>
      </c>
      <c r="V169">
        <v>40941.03411633549</v>
      </c>
      <c r="W169">
        <v>39756.054114169223</v>
      </c>
      <c r="X169">
        <v>40704.644922956213</v>
      </c>
      <c r="Y169">
        <v>37851.584943027628</v>
      </c>
      <c r="Z169">
        <v>38258.189555380639</v>
      </c>
      <c r="AA169">
        <v>37476.742760931345</v>
      </c>
      <c r="AB169">
        <v>38822.24438135275</v>
      </c>
      <c r="AC169">
        <v>38042.386442328796</v>
      </c>
      <c r="AD169">
        <v>38239.490669053106</v>
      </c>
      <c r="AE169">
        <v>38574.2154058343</v>
      </c>
      <c r="AF169">
        <v>36887.73781690115</v>
      </c>
      <c r="AG169">
        <v>38354.032701478282</v>
      </c>
      <c r="AH169">
        <v>38244.89921952338</v>
      </c>
      <c r="AI169">
        <v>39634.847827478443</v>
      </c>
      <c r="AJ169">
        <v>36911.614290734949</v>
      </c>
      <c r="AK169">
        <v>38532.141411951452</v>
      </c>
      <c r="AL169">
        <v>37901.594366070305</v>
      </c>
      <c r="AM169">
        <v>37088.515442561569</v>
      </c>
      <c r="AN169">
        <v>36048.569382894675</v>
      </c>
      <c r="AO169">
        <v>35172.197441117452</v>
      </c>
      <c r="AP169">
        <v>34945.270556721036</v>
      </c>
      <c r="AQ169">
        <v>34625.422196421081</v>
      </c>
      <c r="AR169">
        <v>34152.637671377575</v>
      </c>
      <c r="AS169">
        <v>33893.470778884657</v>
      </c>
      <c r="AT169">
        <v>32515.235353757722</v>
      </c>
      <c r="AU169">
        <v>32010.083448664172</v>
      </c>
      <c r="AV169">
        <v>31374.521112085582</v>
      </c>
      <c r="AW169">
        <v>30715.546723690899</v>
      </c>
      <c r="AX169">
        <v>29982.365581208487</v>
      </c>
      <c r="AY169">
        <v>29205.257946799698</v>
      </c>
      <c r="AZ169">
        <v>28253.598584750329</v>
      </c>
      <c r="BA169">
        <v>27211.42371421777</v>
      </c>
      <c r="BB169">
        <v>26207.885503468315</v>
      </c>
      <c r="BC169">
        <v>25056.524466932275</v>
      </c>
      <c r="BD169">
        <v>23093.868794133294</v>
      </c>
      <c r="BE169">
        <v>21843.444286780756</v>
      </c>
      <c r="BF169">
        <v>20655.48759455113</v>
      </c>
      <c r="BG169">
        <v>19566.124336723038</v>
      </c>
      <c r="BH169">
        <v>18518.132478908185</v>
      </c>
      <c r="BI169">
        <v>17586.645453516525</v>
      </c>
      <c r="BJ169">
        <v>16765.32018600684</v>
      </c>
      <c r="BK169">
        <v>16005.251039837261</v>
      </c>
      <c r="BL169">
        <v>15201.640882078069</v>
      </c>
      <c r="BM169">
        <v>14409.102244835845</v>
      </c>
      <c r="BN169">
        <v>13775.222182974057</v>
      </c>
    </row>
    <row r="170" spans="1:66" x14ac:dyDescent="0.25">
      <c r="A170" t="s">
        <v>229</v>
      </c>
      <c r="B170" t="s">
        <v>538</v>
      </c>
      <c r="C170" t="s">
        <v>529</v>
      </c>
      <c r="D170" t="s">
        <v>518</v>
      </c>
      <c r="E170" t="s">
        <v>519</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11.416538041464802</v>
      </c>
      <c r="AA170">
        <v>8.7327708333333316</v>
      </c>
      <c r="AB170">
        <v>2.2770791666666668</v>
      </c>
      <c r="AC170">
        <v>1.3566666666666667</v>
      </c>
      <c r="AD170">
        <v>1.9666666666666663</v>
      </c>
      <c r="AE170">
        <v>4.4622309027777769</v>
      </c>
      <c r="AF170">
        <v>7.7698003472222208</v>
      </c>
      <c r="AG170">
        <v>11.941235920833332</v>
      </c>
      <c r="AH170">
        <v>18.817684762500001</v>
      </c>
      <c r="AI170">
        <v>24.5</v>
      </c>
      <c r="AJ170">
        <v>30</v>
      </c>
      <c r="AK170">
        <v>46.305643178011259</v>
      </c>
      <c r="AL170">
        <v>69.696559398715706</v>
      </c>
      <c r="AM170">
        <v>150</v>
      </c>
      <c r="AN170">
        <v>154.5</v>
      </c>
      <c r="AO170">
        <v>159.13499999999999</v>
      </c>
      <c r="AP170">
        <v>163.90905000000001</v>
      </c>
      <c r="AQ170">
        <v>168.82632150000001</v>
      </c>
      <c r="AR170">
        <v>173.891111145</v>
      </c>
      <c r="AS170">
        <v>179.10784447935001</v>
      </c>
      <c r="AT170">
        <v>184.4810798137305</v>
      </c>
      <c r="AU170">
        <v>190.01551220814241</v>
      </c>
      <c r="AV170">
        <v>195.7159775743867</v>
      </c>
      <c r="AW170">
        <v>201.58745690161831</v>
      </c>
      <c r="AX170">
        <v>207.63508060866687</v>
      </c>
      <c r="AY170">
        <v>213.86413302692688</v>
      </c>
      <c r="AZ170">
        <v>220.28005701773469</v>
      </c>
      <c r="BA170">
        <v>226.88845872826673</v>
      </c>
      <c r="BB170">
        <v>233.69511249011472</v>
      </c>
      <c r="BC170">
        <v>240.70596586481818</v>
      </c>
      <c r="BD170">
        <v>247.92714484076274</v>
      </c>
      <c r="BE170">
        <v>255.36495918598561</v>
      </c>
      <c r="BF170">
        <v>263.02590796156517</v>
      </c>
      <c r="BG170">
        <v>270.91668520041213</v>
      </c>
      <c r="BH170">
        <v>279.0441857564245</v>
      </c>
      <c r="BI170">
        <v>287.41551132911724</v>
      </c>
      <c r="BJ170">
        <v>296.03797666899078</v>
      </c>
      <c r="BK170">
        <v>304.9191159690605</v>
      </c>
      <c r="BL170">
        <v>314.06668944813231</v>
      </c>
      <c r="BM170">
        <v>323.48869013157628</v>
      </c>
      <c r="BN170">
        <v>333.19335083552357</v>
      </c>
    </row>
    <row r="171" spans="1:66" x14ac:dyDescent="0.25">
      <c r="A171" t="s">
        <v>229</v>
      </c>
      <c r="B171" t="s">
        <v>538</v>
      </c>
      <c r="C171" t="s">
        <v>529</v>
      </c>
      <c r="D171" t="s">
        <v>520</v>
      </c>
      <c r="E171" t="s">
        <v>521</v>
      </c>
      <c r="F171">
        <v>8126.1945618773643</v>
      </c>
      <c r="G171">
        <v>8106.661121873205</v>
      </c>
      <c r="H171">
        <v>8469.9964545997555</v>
      </c>
      <c r="I171">
        <v>8922.6885824844103</v>
      </c>
      <c r="J171">
        <v>9583.8002483498967</v>
      </c>
      <c r="K171">
        <v>10247.564720783123</v>
      </c>
      <c r="L171">
        <v>10378.724398951666</v>
      </c>
      <c r="M171">
        <v>10605.333888617772</v>
      </c>
      <c r="N171">
        <v>10810.458340752642</v>
      </c>
      <c r="O171">
        <v>11096.605458727845</v>
      </c>
      <c r="P171">
        <v>11648.310343290637</v>
      </c>
      <c r="Q171">
        <v>11705.871223077451</v>
      </c>
      <c r="R171">
        <v>12162.021231248526</v>
      </c>
      <c r="S171">
        <v>12697.797549640931</v>
      </c>
      <c r="T171">
        <v>12992.367162928625</v>
      </c>
      <c r="U171">
        <v>13063.440862686894</v>
      </c>
      <c r="V171">
        <v>13182.198504199005</v>
      </c>
      <c r="W171">
        <v>13284.806809600492</v>
      </c>
      <c r="X171">
        <v>13293.959706338926</v>
      </c>
      <c r="Y171">
        <v>13101.086214174264</v>
      </c>
      <c r="Z171">
        <v>13348.937535477718</v>
      </c>
      <c r="AA171">
        <v>13331.827621000642</v>
      </c>
      <c r="AB171">
        <v>13006.487718579234</v>
      </c>
      <c r="AC171">
        <v>13081.360160828839</v>
      </c>
      <c r="AD171">
        <v>13339.646613066796</v>
      </c>
      <c r="AE171">
        <v>13805.025309105527</v>
      </c>
      <c r="AF171">
        <v>13906.520809611657</v>
      </c>
      <c r="AG171">
        <v>14803.702978914342</v>
      </c>
      <c r="AH171">
        <v>15126.124771992951</v>
      </c>
      <c r="AI171">
        <v>14654.704680232724</v>
      </c>
      <c r="AJ171">
        <v>13175.66592208733</v>
      </c>
      <c r="AK171">
        <v>14392.195065575315</v>
      </c>
      <c r="AL171">
        <v>15135.454894593753</v>
      </c>
      <c r="AM171">
        <v>15303.911063257779</v>
      </c>
      <c r="AN171">
        <v>15257.246435855091</v>
      </c>
      <c r="AO171">
        <v>15182.820174742936</v>
      </c>
      <c r="AP171">
        <v>15081.525633560852</v>
      </c>
      <c r="AQ171">
        <v>14949.029177240309</v>
      </c>
      <c r="AR171">
        <v>14735.748817577431</v>
      </c>
      <c r="AS171">
        <v>14476.885395111822</v>
      </c>
      <c r="AT171">
        <v>14137.619949003243</v>
      </c>
      <c r="AU171">
        <v>13752.880591250019</v>
      </c>
      <c r="AV171">
        <v>13281.209964835274</v>
      </c>
      <c r="AW171">
        <v>12749.883032094614</v>
      </c>
      <c r="AX171">
        <v>12180.041403584959</v>
      </c>
      <c r="AY171">
        <v>11525.848026235541</v>
      </c>
      <c r="AZ171">
        <v>10817.824373330825</v>
      </c>
      <c r="BA171">
        <v>10055.626600108761</v>
      </c>
      <c r="BB171">
        <v>9330.9334757375545</v>
      </c>
      <c r="BC171">
        <v>8537.3246302193838</v>
      </c>
      <c r="BD171">
        <v>7732.8937894266692</v>
      </c>
      <c r="BE171">
        <v>6962.6129292680844</v>
      </c>
      <c r="BF171">
        <v>6387.1339854572643</v>
      </c>
      <c r="BG171">
        <v>5745.5407580571291</v>
      </c>
      <c r="BH171">
        <v>5187.3738323445905</v>
      </c>
      <c r="BI171">
        <v>4732.7485211890753</v>
      </c>
      <c r="BJ171">
        <v>4311.6604404998225</v>
      </c>
      <c r="BK171">
        <v>3885.251877951061</v>
      </c>
      <c r="BL171">
        <v>3508.4605591144314</v>
      </c>
      <c r="BM171">
        <v>3193.6669356384314</v>
      </c>
      <c r="BN171">
        <v>2887.8882211076193</v>
      </c>
    </row>
    <row r="172" spans="1:66" x14ac:dyDescent="0.25">
      <c r="A172" t="s">
        <v>229</v>
      </c>
      <c r="B172" t="s">
        <v>538</v>
      </c>
      <c r="C172" t="s">
        <v>529</v>
      </c>
      <c r="D172" t="s">
        <v>522</v>
      </c>
      <c r="E172" t="s">
        <v>521</v>
      </c>
      <c r="F172">
        <v>15640.940843035291</v>
      </c>
      <c r="G172">
        <v>16150.546759988883</v>
      </c>
      <c r="H172">
        <v>17648.388786263939</v>
      </c>
      <c r="I172">
        <v>16725.370693795405</v>
      </c>
      <c r="J172">
        <v>16380.548324839787</v>
      </c>
      <c r="K172">
        <v>15499.119986501893</v>
      </c>
      <c r="L172">
        <v>16964.973485962018</v>
      </c>
      <c r="M172">
        <v>18776.307489236842</v>
      </c>
      <c r="N172">
        <v>16990.87642543549</v>
      </c>
      <c r="O172">
        <v>18068.06638576484</v>
      </c>
      <c r="P172">
        <v>18247.587022073894</v>
      </c>
      <c r="Q172">
        <v>20209.470689366266</v>
      </c>
      <c r="R172">
        <v>19699.848793804682</v>
      </c>
      <c r="S172">
        <v>20589.961823411428</v>
      </c>
      <c r="T172">
        <v>19932.694122895617</v>
      </c>
      <c r="U172">
        <v>21455.132172136808</v>
      </c>
      <c r="V172">
        <v>21734.471668911941</v>
      </c>
      <c r="W172">
        <v>20224.013693454704</v>
      </c>
      <c r="X172">
        <v>21356.548009904149</v>
      </c>
      <c r="Y172">
        <v>18870.840564758502</v>
      </c>
      <c r="Z172">
        <v>18772.299934571802</v>
      </c>
      <c r="AA172">
        <v>18114.081314169005</v>
      </c>
      <c r="AB172">
        <v>19820.47191931152</v>
      </c>
      <c r="AC172">
        <v>18884.997469550366</v>
      </c>
      <c r="AD172">
        <v>18698.599087495157</v>
      </c>
      <c r="AE172">
        <v>18478.836391393874</v>
      </c>
      <c r="AF172">
        <v>16973.70962476591</v>
      </c>
      <c r="AG172">
        <v>17531.475135032353</v>
      </c>
      <c r="AH172">
        <v>17282.73541087965</v>
      </c>
      <c r="AI172">
        <v>19152.571947895391</v>
      </c>
      <c r="AJ172">
        <v>18178.313197265285</v>
      </c>
      <c r="AK172">
        <v>18396.842955843931</v>
      </c>
      <c r="AL172">
        <v>17091.862178378724</v>
      </c>
      <c r="AM172">
        <v>16097.292235290319</v>
      </c>
      <c r="AN172">
        <v>14812.454633081283</v>
      </c>
      <c r="AO172">
        <v>13928.610546348913</v>
      </c>
      <c r="AP172">
        <v>13730.081195807301</v>
      </c>
      <c r="AQ172">
        <v>13397.386674805246</v>
      </c>
      <c r="AR172">
        <v>13049.506203916806</v>
      </c>
      <c r="AS172">
        <v>12862.452494702793</v>
      </c>
      <c r="AT172">
        <v>11932.3542246822</v>
      </c>
      <c r="AU172">
        <v>11760.158155799085</v>
      </c>
      <c r="AV172">
        <v>11506.001810964901</v>
      </c>
      <c r="AW172">
        <v>11261.362738358148</v>
      </c>
      <c r="AX172">
        <v>11068.295793535128</v>
      </c>
      <c r="AY172">
        <v>10947.465107459901</v>
      </c>
      <c r="AZ172">
        <v>10736.098597110511</v>
      </c>
      <c r="BA172">
        <v>10469.836188872043</v>
      </c>
      <c r="BB172">
        <v>10186.02730196313</v>
      </c>
      <c r="BC172">
        <v>9810.5981130048931</v>
      </c>
      <c r="BD172">
        <v>8658.0123832567169</v>
      </c>
      <c r="BE172">
        <v>8252.705972708336</v>
      </c>
      <c r="BF172">
        <v>7836.8072694827251</v>
      </c>
      <c r="BG172">
        <v>7483.0826181364801</v>
      </c>
      <c r="BH172">
        <v>7118.1005028373429</v>
      </c>
      <c r="BI172">
        <v>6787.8508633543006</v>
      </c>
      <c r="BJ172">
        <v>6462.9165238214555</v>
      </c>
      <c r="BK172">
        <v>6151.5664236182865</v>
      </c>
      <c r="BL172">
        <v>5832.1197248838216</v>
      </c>
      <c r="BM172">
        <v>5498.3825236879447</v>
      </c>
      <c r="BN172">
        <v>5192.0914341539501</v>
      </c>
    </row>
    <row r="173" spans="1:66" x14ac:dyDescent="0.25">
      <c r="A173" t="s">
        <v>229</v>
      </c>
      <c r="B173" t="s">
        <v>538</v>
      </c>
      <c r="C173" t="s">
        <v>529</v>
      </c>
      <c r="D173" t="s">
        <v>523</v>
      </c>
      <c r="E173" t="s">
        <v>521</v>
      </c>
      <c r="F173">
        <v>3429.1023206090149</v>
      </c>
      <c r="G173">
        <v>3582.0933132143959</v>
      </c>
      <c r="H173">
        <v>3230.4006797977117</v>
      </c>
      <c r="I173">
        <v>3072.4080540294026</v>
      </c>
      <c r="J173">
        <v>2943.5832063652938</v>
      </c>
      <c r="K173">
        <v>3036.6428253355557</v>
      </c>
      <c r="L173">
        <v>3231.1178764295346</v>
      </c>
      <c r="M173">
        <v>3121.0509253025539</v>
      </c>
      <c r="N173">
        <v>3108.4252054479571</v>
      </c>
      <c r="O173">
        <v>3287.2502963250704</v>
      </c>
      <c r="P173">
        <v>3324.3535917273935</v>
      </c>
      <c r="Q173">
        <v>3441.9326499549325</v>
      </c>
      <c r="R173">
        <v>3562.3255597822995</v>
      </c>
      <c r="S173">
        <v>3798.3629146741546</v>
      </c>
      <c r="T173">
        <v>3833.9993752516589</v>
      </c>
      <c r="U173">
        <v>3949.7863117346769</v>
      </c>
      <c r="V173">
        <v>4067.1636114352182</v>
      </c>
      <c r="W173">
        <v>4324.6641433976283</v>
      </c>
      <c r="X173">
        <v>4207.5754142911601</v>
      </c>
      <c r="Y173">
        <v>4156.3376144420381</v>
      </c>
      <c r="Z173">
        <v>4471.2064224286651</v>
      </c>
      <c r="AA173">
        <v>4511.1732699008671</v>
      </c>
      <c r="AB173">
        <v>4584.743425822363</v>
      </c>
      <c r="AC173">
        <v>4716.1203271304976</v>
      </c>
      <c r="AD173">
        <v>4887.0741014170871</v>
      </c>
      <c r="AE173">
        <v>5014.426570819578</v>
      </c>
      <c r="AF173">
        <v>4761.4486978313562</v>
      </c>
      <c r="AG173">
        <v>4803.9943473754338</v>
      </c>
      <c r="AH173">
        <v>4679.6792337008401</v>
      </c>
      <c r="AI173">
        <v>4713.1761267541115</v>
      </c>
      <c r="AJ173">
        <v>4482.2708369643005</v>
      </c>
      <c r="AK173">
        <v>4684.6924221093332</v>
      </c>
      <c r="AL173">
        <v>4615.5306846943822</v>
      </c>
      <c r="AM173">
        <v>4588.7278472420321</v>
      </c>
      <c r="AN173">
        <v>4623.752442902125</v>
      </c>
      <c r="AO173">
        <v>4592.0634674295152</v>
      </c>
      <c r="AP173">
        <v>4580.4770052583672</v>
      </c>
      <c r="AQ173">
        <v>4535.3377714394292</v>
      </c>
      <c r="AR173">
        <v>4495.7610058824666</v>
      </c>
      <c r="AS173">
        <v>4476.1275115818262</v>
      </c>
      <c r="AT173">
        <v>4270.9573441217153</v>
      </c>
      <c r="AU173">
        <v>4232.6105111448096</v>
      </c>
      <c r="AV173">
        <v>4196.4764030809392</v>
      </c>
      <c r="AW173">
        <v>4150.3808267369704</v>
      </c>
      <c r="AX173">
        <v>4111.4345097357145</v>
      </c>
      <c r="AY173">
        <v>4103.1405482243981</v>
      </c>
      <c r="AZ173">
        <v>4069.1491611389579</v>
      </c>
      <c r="BA173">
        <v>4047.5584375355461</v>
      </c>
      <c r="BB173">
        <v>4027.8926112094928</v>
      </c>
      <c r="BC173">
        <v>4010.2621895527132</v>
      </c>
      <c r="BD173">
        <v>3951.3474180119802</v>
      </c>
      <c r="BE173">
        <v>3939.3700154175699</v>
      </c>
      <c r="BF173">
        <v>3929.9872033702354</v>
      </c>
      <c r="BG173">
        <v>3925.4703960942347</v>
      </c>
      <c r="BH173">
        <v>3923.6671818240084</v>
      </c>
      <c r="BI173">
        <v>3924.3271067347137</v>
      </c>
      <c r="BJ173">
        <v>3928.1084086359547</v>
      </c>
      <c r="BK173">
        <v>3935.1092702728533</v>
      </c>
      <c r="BL173">
        <v>3944.0437613978966</v>
      </c>
      <c r="BM173">
        <v>3954.0820346638843</v>
      </c>
      <c r="BN173">
        <v>3966.9340482703715</v>
      </c>
    </row>
    <row r="174" spans="1:66" x14ac:dyDescent="0.25">
      <c r="A174" t="s">
        <v>229</v>
      </c>
      <c r="B174" t="s">
        <v>538</v>
      </c>
      <c r="C174" t="s">
        <v>529</v>
      </c>
      <c r="D174" t="s">
        <v>524</v>
      </c>
      <c r="E174" t="s">
        <v>521</v>
      </c>
      <c r="F174">
        <v>1816.6596733237263</v>
      </c>
      <c r="G174">
        <v>1893.7218802684215</v>
      </c>
      <c r="H174">
        <v>1971.3222733100288</v>
      </c>
      <c r="I174">
        <v>2049.4503492491226</v>
      </c>
      <c r="J174">
        <v>1947.5325263313807</v>
      </c>
      <c r="K174">
        <v>2023.8252549837712</v>
      </c>
      <c r="L174">
        <v>2102.1656796823004</v>
      </c>
      <c r="M174">
        <v>2125.7547716447093</v>
      </c>
      <c r="N174">
        <v>2086.8629737313777</v>
      </c>
      <c r="O174">
        <v>2084.0346339247499</v>
      </c>
      <c r="P174">
        <v>2103.6901401299438</v>
      </c>
      <c r="Q174">
        <v>2134.2537068539705</v>
      </c>
      <c r="R174">
        <v>2173.5947283527944</v>
      </c>
      <c r="S174">
        <v>2101.4028129686244</v>
      </c>
      <c r="T174">
        <v>2124.9026062551302</v>
      </c>
      <c r="U174">
        <v>2134.5667014321762</v>
      </c>
      <c r="V174">
        <v>1957.2003317893241</v>
      </c>
      <c r="W174">
        <v>1922.5694677164029</v>
      </c>
      <c r="X174">
        <v>1846.56179242198</v>
      </c>
      <c r="Y174">
        <v>1723.3205496528278</v>
      </c>
      <c r="Z174">
        <v>1665.7456629024559</v>
      </c>
      <c r="AA174">
        <v>1519.6605558608351</v>
      </c>
      <c r="AB174">
        <v>1410.5413176396301</v>
      </c>
      <c r="AC174">
        <v>1359.9084848190901</v>
      </c>
      <c r="AD174">
        <v>1314.1708670740722</v>
      </c>
      <c r="AE174">
        <v>1275.9271345153275</v>
      </c>
      <c r="AF174">
        <v>1246.0586846922251</v>
      </c>
      <c r="AG174">
        <v>1214.8602401561525</v>
      </c>
      <c r="AH174">
        <v>1156.3598029499428</v>
      </c>
      <c r="AI174">
        <v>1114.3950725962225</v>
      </c>
      <c r="AJ174">
        <v>1075.3643344180375</v>
      </c>
      <c r="AK174">
        <v>1058.4109684228663</v>
      </c>
      <c r="AL174">
        <v>1037.4549522386469</v>
      </c>
      <c r="AM174">
        <v>1013.2758510517407</v>
      </c>
      <c r="AN174">
        <v>991.73087463912941</v>
      </c>
      <c r="AO174">
        <v>970.67437720296823</v>
      </c>
      <c r="AP174">
        <v>949.70765952526119</v>
      </c>
      <c r="AQ174">
        <v>929.27304214105857</v>
      </c>
      <c r="AR174">
        <v>909.44593862552381</v>
      </c>
      <c r="AS174">
        <v>890.20077278003203</v>
      </c>
      <c r="AT174">
        <v>871.34442152989345</v>
      </c>
      <c r="AU174">
        <v>855.13096617355052</v>
      </c>
      <c r="AV174">
        <v>841.41236337917815</v>
      </c>
      <c r="AW174">
        <v>829.19970030628019</v>
      </c>
      <c r="AX174">
        <v>817.9153093405406</v>
      </c>
      <c r="AY174">
        <v>807.46470836703054</v>
      </c>
      <c r="AZ174">
        <v>797.42620395036988</v>
      </c>
      <c r="BA174">
        <v>787.78538634656923</v>
      </c>
      <c r="BB174">
        <v>778.52302611877394</v>
      </c>
      <c r="BC174">
        <v>769.52124022599696</v>
      </c>
      <c r="BD174">
        <v>760.91723140991348</v>
      </c>
      <c r="BE174">
        <v>752.88875096146035</v>
      </c>
      <c r="BF174">
        <v>744.94510574082778</v>
      </c>
      <c r="BG174">
        <v>737.09867059669966</v>
      </c>
      <c r="BH174">
        <v>729.27900666319317</v>
      </c>
      <c r="BI174">
        <v>721.61410586977718</v>
      </c>
      <c r="BJ174">
        <v>713.93666109206413</v>
      </c>
      <c r="BK174">
        <v>706.12882410345969</v>
      </c>
      <c r="BL174">
        <v>698.26931167350097</v>
      </c>
      <c r="BM174">
        <v>690.39560248839609</v>
      </c>
      <c r="BN174">
        <v>682.52326736644579</v>
      </c>
    </row>
    <row r="175" spans="1:66" x14ac:dyDescent="0.25">
      <c r="A175" t="s">
        <v>229</v>
      </c>
      <c r="B175" t="s">
        <v>538</v>
      </c>
      <c r="C175" t="s">
        <v>529</v>
      </c>
      <c r="D175" t="s">
        <v>525</v>
      </c>
      <c r="E175" t="s">
        <v>521</v>
      </c>
      <c r="F175">
        <v>29012.897398845394</v>
      </c>
      <c r="G175">
        <v>29733.023075344903</v>
      </c>
      <c r="H175">
        <v>31320.108193971439</v>
      </c>
      <c r="I175">
        <v>30769.917679558341</v>
      </c>
      <c r="J175">
        <v>30855.464305886358</v>
      </c>
      <c r="K175">
        <v>30807.15278760434</v>
      </c>
      <c r="L175">
        <v>32676.98144102552</v>
      </c>
      <c r="M175">
        <v>34628.447074801872</v>
      </c>
      <c r="N175">
        <v>32996.622945367468</v>
      </c>
      <c r="O175">
        <v>34535.956774742503</v>
      </c>
      <c r="P175">
        <v>35323.941097221861</v>
      </c>
      <c r="Q175">
        <v>37491.528269252616</v>
      </c>
      <c r="R175">
        <v>37597.790313188299</v>
      </c>
      <c r="S175">
        <v>39187.525100695137</v>
      </c>
      <c r="T175">
        <v>38883.963267331026</v>
      </c>
      <c r="U175">
        <v>40602.92604799055</v>
      </c>
      <c r="V175">
        <v>40941.03411633549</v>
      </c>
      <c r="W175">
        <v>39756.054114169223</v>
      </c>
      <c r="X175">
        <v>40704.644922956213</v>
      </c>
      <c r="Y175">
        <v>37851.584943027628</v>
      </c>
      <c r="Z175">
        <v>38258.189555380639</v>
      </c>
      <c r="AA175">
        <v>37476.742760931345</v>
      </c>
      <c r="AB175">
        <v>38822.24438135275</v>
      </c>
      <c r="AC175">
        <v>38042.386442328796</v>
      </c>
      <c r="AD175">
        <v>38239.490669053106</v>
      </c>
      <c r="AE175">
        <v>38574.2154058343</v>
      </c>
      <c r="AF175">
        <v>36887.73781690115</v>
      </c>
      <c r="AG175">
        <v>38354.032701478282</v>
      </c>
      <c r="AH175">
        <v>38244.89921952338</v>
      </c>
      <c r="AI175">
        <v>39634.847827478443</v>
      </c>
      <c r="AJ175">
        <v>36911.614290734949</v>
      </c>
      <c r="AK175">
        <v>38532.141411951452</v>
      </c>
      <c r="AL175">
        <v>37880.302709905503</v>
      </c>
      <c r="AM175">
        <v>37003.206996841865</v>
      </c>
      <c r="AN175">
        <v>35685.184386477624</v>
      </c>
      <c r="AO175">
        <v>34674.168565724329</v>
      </c>
      <c r="AP175">
        <v>34341.791494151781</v>
      </c>
      <c r="AQ175">
        <v>33811.026665626043</v>
      </c>
      <c r="AR175">
        <v>33190.461966002229</v>
      </c>
      <c r="AS175">
        <v>32705.666174176473</v>
      </c>
      <c r="AT175">
        <v>31212.275939337051</v>
      </c>
      <c r="AU175">
        <v>30600.780224367463</v>
      </c>
      <c r="AV175">
        <v>29825.100542260294</v>
      </c>
      <c r="AW175">
        <v>28990.826297496013</v>
      </c>
      <c r="AX175">
        <v>28177.687016196342</v>
      </c>
      <c r="AY175">
        <v>27383.918390286868</v>
      </c>
      <c r="AZ175">
        <v>26420.498335530665</v>
      </c>
      <c r="BA175">
        <v>25360.806612862918</v>
      </c>
      <c r="BB175">
        <v>24323.37641502895</v>
      </c>
      <c r="BC175">
        <v>23127.706173002985</v>
      </c>
      <c r="BD175">
        <v>21103.17082210528</v>
      </c>
      <c r="BE175">
        <v>19907.577668355454</v>
      </c>
      <c r="BF175">
        <v>18898.873564051049</v>
      </c>
      <c r="BG175">
        <v>17891.192442884545</v>
      </c>
      <c r="BH175">
        <v>16958.420523669134</v>
      </c>
      <c r="BI175">
        <v>16166.540597147869</v>
      </c>
      <c r="BJ175">
        <v>15416.622034049296</v>
      </c>
      <c r="BK175">
        <v>14678.056395945659</v>
      </c>
      <c r="BL175">
        <v>13982.893357069652</v>
      </c>
      <c r="BM175">
        <v>13336.527096478656</v>
      </c>
      <c r="BN175">
        <v>12729.436970898387</v>
      </c>
    </row>
    <row r="176" spans="1:66" x14ac:dyDescent="0.25">
      <c r="A176" t="s">
        <v>230</v>
      </c>
      <c r="B176" t="s">
        <v>538</v>
      </c>
      <c r="C176" t="s">
        <v>530</v>
      </c>
      <c r="D176" t="s">
        <v>518</v>
      </c>
      <c r="E176" t="s">
        <v>519</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11.416538041464802</v>
      </c>
      <c r="AA176">
        <v>8.7327708333333316</v>
      </c>
      <c r="AB176">
        <v>2.2770791666666668</v>
      </c>
      <c r="AC176">
        <v>1.3566666666666667</v>
      </c>
      <c r="AD176">
        <v>1.9666666666666663</v>
      </c>
      <c r="AE176">
        <v>4.4622309027777769</v>
      </c>
      <c r="AF176">
        <v>7.7698003472222208</v>
      </c>
      <c r="AG176">
        <v>11.941235920833332</v>
      </c>
      <c r="AH176">
        <v>18.817684762500001</v>
      </c>
      <c r="AI176">
        <v>24.5</v>
      </c>
      <c r="AJ176">
        <v>30</v>
      </c>
      <c r="AK176">
        <v>46.305643178011259</v>
      </c>
      <c r="AL176">
        <v>69.696559398715706</v>
      </c>
      <c r="AM176">
        <v>200</v>
      </c>
      <c r="AN176">
        <v>206</v>
      </c>
      <c r="AO176">
        <v>212.18</v>
      </c>
      <c r="AP176">
        <v>218.5454</v>
      </c>
      <c r="AQ176">
        <v>225.10176200000001</v>
      </c>
      <c r="AR176">
        <v>231.85481486</v>
      </c>
      <c r="AS176">
        <v>238.81045930580001</v>
      </c>
      <c r="AT176">
        <v>245.974773084974</v>
      </c>
      <c r="AU176">
        <v>253.35401627752324</v>
      </c>
      <c r="AV176">
        <v>260.95463676584893</v>
      </c>
      <c r="AW176">
        <v>268.78327586882443</v>
      </c>
      <c r="AX176">
        <v>276.8467741448892</v>
      </c>
      <c r="AY176">
        <v>285.15217736923586</v>
      </c>
      <c r="AZ176">
        <v>293.70674269031292</v>
      </c>
      <c r="BA176">
        <v>302.5179449710223</v>
      </c>
      <c r="BB176">
        <v>311.59348332015298</v>
      </c>
      <c r="BC176">
        <v>320.94128781975758</v>
      </c>
      <c r="BD176">
        <v>330.5695264543503</v>
      </c>
      <c r="BE176">
        <v>340.48661224798082</v>
      </c>
      <c r="BF176">
        <v>350.70121061542022</v>
      </c>
      <c r="BG176">
        <v>361.22224693388284</v>
      </c>
      <c r="BH176">
        <v>372.05891434189931</v>
      </c>
      <c r="BI176">
        <v>383.2206817721563</v>
      </c>
      <c r="BJ176">
        <v>394.71730222532102</v>
      </c>
      <c r="BK176">
        <v>406.55882129208067</v>
      </c>
      <c r="BL176">
        <v>418.7555859308431</v>
      </c>
      <c r="BM176">
        <v>431.31825350876841</v>
      </c>
      <c r="BN176">
        <v>444.25780111403145</v>
      </c>
    </row>
    <row r="177" spans="1:66" x14ac:dyDescent="0.25">
      <c r="A177" t="s">
        <v>230</v>
      </c>
      <c r="B177" t="s">
        <v>538</v>
      </c>
      <c r="C177" t="s">
        <v>530</v>
      </c>
      <c r="D177" t="s">
        <v>520</v>
      </c>
      <c r="E177" t="s">
        <v>521</v>
      </c>
      <c r="F177">
        <v>8126.1945618773643</v>
      </c>
      <c r="G177">
        <v>8106.661121873205</v>
      </c>
      <c r="H177">
        <v>8469.9964545997555</v>
      </c>
      <c r="I177">
        <v>8922.6885824844103</v>
      </c>
      <c r="J177">
        <v>9583.8002483498967</v>
      </c>
      <c r="K177">
        <v>10247.564720783123</v>
      </c>
      <c r="L177">
        <v>10378.724398951666</v>
      </c>
      <c r="M177">
        <v>10605.333888617772</v>
      </c>
      <c r="N177">
        <v>10810.458340752642</v>
      </c>
      <c r="O177">
        <v>11096.605458727845</v>
      </c>
      <c r="P177">
        <v>11648.310343290637</v>
      </c>
      <c r="Q177">
        <v>11705.871223077451</v>
      </c>
      <c r="R177">
        <v>12162.021231248526</v>
      </c>
      <c r="S177">
        <v>12697.797549640931</v>
      </c>
      <c r="T177">
        <v>12992.367162928625</v>
      </c>
      <c r="U177">
        <v>13063.440862686894</v>
      </c>
      <c r="V177">
        <v>13182.198504199005</v>
      </c>
      <c r="W177">
        <v>13284.806809600492</v>
      </c>
      <c r="X177">
        <v>13293.959706338926</v>
      </c>
      <c r="Y177">
        <v>13101.086214174264</v>
      </c>
      <c r="Z177">
        <v>13348.937535477718</v>
      </c>
      <c r="AA177">
        <v>13331.827621000642</v>
      </c>
      <c r="AB177">
        <v>13006.487718579234</v>
      </c>
      <c r="AC177">
        <v>13081.360160828839</v>
      </c>
      <c r="AD177">
        <v>13339.646613066796</v>
      </c>
      <c r="AE177">
        <v>13805.025309105527</v>
      </c>
      <c r="AF177">
        <v>13906.520809611657</v>
      </c>
      <c r="AG177">
        <v>14803.702978914342</v>
      </c>
      <c r="AH177">
        <v>15126.124771992951</v>
      </c>
      <c r="AI177">
        <v>14654.704680232724</v>
      </c>
      <c r="AJ177">
        <v>13175.66592208733</v>
      </c>
      <c r="AK177">
        <v>14392.195065575315</v>
      </c>
      <c r="AL177">
        <v>15135.34646719318</v>
      </c>
      <c r="AM177">
        <v>15303.75535561417</v>
      </c>
      <c r="AN177">
        <v>15253.614299202982</v>
      </c>
      <c r="AO177">
        <v>15172.07890105048</v>
      </c>
      <c r="AP177">
        <v>15062.716445879805</v>
      </c>
      <c r="AQ177">
        <v>14921.488169188655</v>
      </c>
      <c r="AR177">
        <v>14696.938380490261</v>
      </c>
      <c r="AS177">
        <v>14425.798434503376</v>
      </c>
      <c r="AT177">
        <v>14071.487058829425</v>
      </c>
      <c r="AU177">
        <v>13669.428852333127</v>
      </c>
      <c r="AV177">
        <v>13171.291533906753</v>
      </c>
      <c r="AW177">
        <v>12644.852565394702</v>
      </c>
      <c r="AX177">
        <v>12051.289389584696</v>
      </c>
      <c r="AY177">
        <v>11415.590777063122</v>
      </c>
      <c r="AZ177">
        <v>10744.756851203454</v>
      </c>
      <c r="BA177">
        <v>9940.0272202698197</v>
      </c>
      <c r="BB177">
        <v>9188.097644477004</v>
      </c>
      <c r="BC177">
        <v>8332.5390196682038</v>
      </c>
      <c r="BD177">
        <v>7625.6564035377796</v>
      </c>
      <c r="BE177">
        <v>6845.8858589386773</v>
      </c>
      <c r="BF177">
        <v>6268.7781105827762</v>
      </c>
      <c r="BG177">
        <v>5657.7370081167401</v>
      </c>
      <c r="BH177">
        <v>5125.0359897550334</v>
      </c>
      <c r="BI177">
        <v>4634.7014810297051</v>
      </c>
      <c r="BJ177">
        <v>4230.7784313591483</v>
      </c>
      <c r="BK177">
        <v>3824.2764861404826</v>
      </c>
      <c r="BL177">
        <v>3476.9705811076246</v>
      </c>
      <c r="BM177">
        <v>3122.6250182007693</v>
      </c>
      <c r="BN177">
        <v>2831.5494519019358</v>
      </c>
    </row>
    <row r="178" spans="1:66" x14ac:dyDescent="0.25">
      <c r="A178" t="s">
        <v>230</v>
      </c>
      <c r="B178" t="s">
        <v>538</v>
      </c>
      <c r="C178" t="s">
        <v>530</v>
      </c>
      <c r="D178" t="s">
        <v>522</v>
      </c>
      <c r="E178" t="s">
        <v>521</v>
      </c>
      <c r="F178">
        <v>15640.940843035291</v>
      </c>
      <c r="G178">
        <v>16150.546759988883</v>
      </c>
      <c r="H178">
        <v>17648.388786263939</v>
      </c>
      <c r="I178">
        <v>16725.370693795405</v>
      </c>
      <c r="J178">
        <v>16380.548324839787</v>
      </c>
      <c r="K178">
        <v>15499.119986501893</v>
      </c>
      <c r="L178">
        <v>16964.973485962018</v>
      </c>
      <c r="M178">
        <v>18776.307489236842</v>
      </c>
      <c r="N178">
        <v>16990.87642543549</v>
      </c>
      <c r="O178">
        <v>18068.06638576484</v>
      </c>
      <c r="P178">
        <v>18247.587022073894</v>
      </c>
      <c r="Q178">
        <v>20209.470689366266</v>
      </c>
      <c r="R178">
        <v>19699.848793804682</v>
      </c>
      <c r="S178">
        <v>20589.961823411428</v>
      </c>
      <c r="T178">
        <v>19932.694122895617</v>
      </c>
      <c r="U178">
        <v>21455.132172136808</v>
      </c>
      <c r="V178">
        <v>21734.471668911941</v>
      </c>
      <c r="W178">
        <v>20224.013693454704</v>
      </c>
      <c r="X178">
        <v>21356.548009904149</v>
      </c>
      <c r="Y178">
        <v>18870.840564758502</v>
      </c>
      <c r="Z178">
        <v>18772.299934571802</v>
      </c>
      <c r="AA178">
        <v>18114.081314169005</v>
      </c>
      <c r="AB178">
        <v>19820.47191931152</v>
      </c>
      <c r="AC178">
        <v>18884.997469550366</v>
      </c>
      <c r="AD178">
        <v>18698.599087495157</v>
      </c>
      <c r="AE178">
        <v>18478.836391393874</v>
      </c>
      <c r="AF178">
        <v>16973.70962476591</v>
      </c>
      <c r="AG178">
        <v>17531.475135032353</v>
      </c>
      <c r="AH178">
        <v>17282.73541087965</v>
      </c>
      <c r="AI178">
        <v>19152.571947895391</v>
      </c>
      <c r="AJ178">
        <v>18178.313197265285</v>
      </c>
      <c r="AK178">
        <v>18396.842955843931</v>
      </c>
      <c r="AL178">
        <v>17072.608369418856</v>
      </c>
      <c r="AM178">
        <v>16314.029934793847</v>
      </c>
      <c r="AN178">
        <v>14645.253235400081</v>
      </c>
      <c r="AO178">
        <v>13381.539243287029</v>
      </c>
      <c r="AP178">
        <v>13063.644627853311</v>
      </c>
      <c r="AQ178">
        <v>12712.097712393994</v>
      </c>
      <c r="AR178">
        <v>12392.867208629707</v>
      </c>
      <c r="AS178">
        <v>12137.336262244655</v>
      </c>
      <c r="AT178">
        <v>11068.317793478462</v>
      </c>
      <c r="AU178">
        <v>10739.462746643334</v>
      </c>
      <c r="AV178">
        <v>10448.476280886187</v>
      </c>
      <c r="AW178">
        <v>10212.203905572111</v>
      </c>
      <c r="AX178">
        <v>9989.1099152451025</v>
      </c>
      <c r="AY178">
        <v>9783.6618876295361</v>
      </c>
      <c r="AZ178">
        <v>9486.2425530938563</v>
      </c>
      <c r="BA178">
        <v>9229.2318292703567</v>
      </c>
      <c r="BB178">
        <v>8935.9222404630382</v>
      </c>
      <c r="BC178">
        <v>8606.6651262546984</v>
      </c>
      <c r="BD178">
        <v>7522.4168376891885</v>
      </c>
      <c r="BE178">
        <v>7288.7633283604509</v>
      </c>
      <c r="BF178">
        <v>6823.6907348262521</v>
      </c>
      <c r="BG178">
        <v>6440.9864943706161</v>
      </c>
      <c r="BH178">
        <v>6131.2805294946402</v>
      </c>
      <c r="BI178">
        <v>5880.7816424927278</v>
      </c>
      <c r="BJ178">
        <v>5638.3094950065761</v>
      </c>
      <c r="BK178">
        <v>5422.4886814809879</v>
      </c>
      <c r="BL178">
        <v>5164.0459930177003</v>
      </c>
      <c r="BM178">
        <v>4903.9761604943305</v>
      </c>
      <c r="BN178">
        <v>4658.7456251839631</v>
      </c>
    </row>
    <row r="179" spans="1:66" x14ac:dyDescent="0.25">
      <c r="A179" t="s">
        <v>230</v>
      </c>
      <c r="B179" t="s">
        <v>538</v>
      </c>
      <c r="C179" t="s">
        <v>530</v>
      </c>
      <c r="D179" t="s">
        <v>523</v>
      </c>
      <c r="E179" t="s">
        <v>521</v>
      </c>
      <c r="F179">
        <v>3429.1023206090149</v>
      </c>
      <c r="G179">
        <v>3582.0933132143959</v>
      </c>
      <c r="H179">
        <v>3230.4006797977117</v>
      </c>
      <c r="I179">
        <v>3072.4080540294026</v>
      </c>
      <c r="J179">
        <v>2943.5832063652938</v>
      </c>
      <c r="K179">
        <v>3036.6428253355557</v>
      </c>
      <c r="L179">
        <v>3231.1178764295346</v>
      </c>
      <c r="M179">
        <v>3121.0509253025539</v>
      </c>
      <c r="N179">
        <v>3108.4252054479571</v>
      </c>
      <c r="O179">
        <v>3287.2502963250704</v>
      </c>
      <c r="P179">
        <v>3324.3535917273935</v>
      </c>
      <c r="Q179">
        <v>3441.9326499549325</v>
      </c>
      <c r="R179">
        <v>3562.3255597822995</v>
      </c>
      <c r="S179">
        <v>3798.3629146741546</v>
      </c>
      <c r="T179">
        <v>3833.9993752516589</v>
      </c>
      <c r="U179">
        <v>3949.7863117346769</v>
      </c>
      <c r="V179">
        <v>4067.1636114352182</v>
      </c>
      <c r="W179">
        <v>4324.6641433976283</v>
      </c>
      <c r="X179">
        <v>4207.5754142911601</v>
      </c>
      <c r="Y179">
        <v>4156.3376144420381</v>
      </c>
      <c r="Z179">
        <v>4471.2064224286651</v>
      </c>
      <c r="AA179">
        <v>4511.1732699008671</v>
      </c>
      <c r="AB179">
        <v>4584.743425822363</v>
      </c>
      <c r="AC179">
        <v>4716.1203271304976</v>
      </c>
      <c r="AD179">
        <v>4887.0741014170871</v>
      </c>
      <c r="AE179">
        <v>5014.426570819578</v>
      </c>
      <c r="AF179">
        <v>4761.4486978313562</v>
      </c>
      <c r="AG179">
        <v>4803.9943473754338</v>
      </c>
      <c r="AH179">
        <v>4679.6792337008401</v>
      </c>
      <c r="AI179">
        <v>4713.1761267541115</v>
      </c>
      <c r="AJ179">
        <v>4482.2708369643005</v>
      </c>
      <c r="AK179">
        <v>4684.6924221093332</v>
      </c>
      <c r="AL179">
        <v>4615.5306846943822</v>
      </c>
      <c r="AM179">
        <v>4588.7278472420321</v>
      </c>
      <c r="AN179">
        <v>4623.7524429021241</v>
      </c>
      <c r="AO179">
        <v>4592.0634674295152</v>
      </c>
      <c r="AP179">
        <v>4580.4770052583663</v>
      </c>
      <c r="AQ179">
        <v>4535.3377714394283</v>
      </c>
      <c r="AR179">
        <v>4495.7610058824666</v>
      </c>
      <c r="AS179">
        <v>4476.1275115818262</v>
      </c>
      <c r="AT179">
        <v>4270.9573441217153</v>
      </c>
      <c r="AU179">
        <v>4232.6105111448096</v>
      </c>
      <c r="AV179">
        <v>4196.4764030809401</v>
      </c>
      <c r="AW179">
        <v>4150.3808267369704</v>
      </c>
      <c r="AX179">
        <v>4111.4345097357136</v>
      </c>
      <c r="AY179">
        <v>4103.1405482243972</v>
      </c>
      <c r="AZ179">
        <v>4069.1491611389579</v>
      </c>
      <c r="BA179">
        <v>4047.5584375355461</v>
      </c>
      <c r="BB179">
        <v>4027.8926112094932</v>
      </c>
      <c r="BC179">
        <v>4010.2621895527136</v>
      </c>
      <c r="BD179">
        <v>3951.3474180119806</v>
      </c>
      <c r="BE179">
        <v>3939.3700154175694</v>
      </c>
      <c r="BF179">
        <v>3929.987203370235</v>
      </c>
      <c r="BG179">
        <v>3925.4703960942343</v>
      </c>
      <c r="BH179">
        <v>3923.6671818240084</v>
      </c>
      <c r="BI179">
        <v>3924.3271067347132</v>
      </c>
      <c r="BJ179">
        <v>3928.1084086359542</v>
      </c>
      <c r="BK179">
        <v>3935.1092702728538</v>
      </c>
      <c r="BL179">
        <v>3944.0437613978961</v>
      </c>
      <c r="BM179">
        <v>3954.0820346638843</v>
      </c>
      <c r="BN179">
        <v>3966.9340482703715</v>
      </c>
    </row>
    <row r="180" spans="1:66" x14ac:dyDescent="0.25">
      <c r="A180" t="s">
        <v>230</v>
      </c>
      <c r="B180" t="s">
        <v>538</v>
      </c>
      <c r="C180" t="s">
        <v>530</v>
      </c>
      <c r="D180" t="s">
        <v>524</v>
      </c>
      <c r="E180" t="s">
        <v>521</v>
      </c>
      <c r="F180">
        <v>1816.6596733237263</v>
      </c>
      <c r="G180">
        <v>1893.7218802684215</v>
      </c>
      <c r="H180">
        <v>1971.3222733100288</v>
      </c>
      <c r="I180">
        <v>2049.4503492491226</v>
      </c>
      <c r="J180">
        <v>1947.5325263313807</v>
      </c>
      <c r="K180">
        <v>2023.8252549837712</v>
      </c>
      <c r="L180">
        <v>2102.1656796823004</v>
      </c>
      <c r="M180">
        <v>2125.7547716447093</v>
      </c>
      <c r="N180">
        <v>2086.8629737313777</v>
      </c>
      <c r="O180">
        <v>2084.0346339247499</v>
      </c>
      <c r="P180">
        <v>2103.6901401299438</v>
      </c>
      <c r="Q180">
        <v>2134.2537068539705</v>
      </c>
      <c r="R180">
        <v>2173.5947283527944</v>
      </c>
      <c r="S180">
        <v>2101.4028129686244</v>
      </c>
      <c r="T180">
        <v>2124.9026062551302</v>
      </c>
      <c r="U180">
        <v>2134.5667014321762</v>
      </c>
      <c r="V180">
        <v>1957.2003317893241</v>
      </c>
      <c r="W180">
        <v>1922.5694677164029</v>
      </c>
      <c r="X180">
        <v>1846.56179242198</v>
      </c>
      <c r="Y180">
        <v>1723.3205496528278</v>
      </c>
      <c r="Z180">
        <v>1665.7456629024559</v>
      </c>
      <c r="AA180">
        <v>1519.6605558608351</v>
      </c>
      <c r="AB180">
        <v>1410.5413176396301</v>
      </c>
      <c r="AC180">
        <v>1359.9084848190901</v>
      </c>
      <c r="AD180">
        <v>1314.1708670740722</v>
      </c>
      <c r="AE180">
        <v>1275.9271345153275</v>
      </c>
      <c r="AF180">
        <v>1246.0586846922251</v>
      </c>
      <c r="AG180">
        <v>1214.8602401561525</v>
      </c>
      <c r="AH180">
        <v>1156.3598029499428</v>
      </c>
      <c r="AI180">
        <v>1114.3950725962225</v>
      </c>
      <c r="AJ180">
        <v>1075.3643344180375</v>
      </c>
      <c r="AK180">
        <v>1058.4109684228663</v>
      </c>
      <c r="AL180">
        <v>1037.4549522386469</v>
      </c>
      <c r="AM180">
        <v>1013.2758510517407</v>
      </c>
      <c r="AN180">
        <v>991.73087463912941</v>
      </c>
      <c r="AO180">
        <v>970.67437720296823</v>
      </c>
      <c r="AP180">
        <v>949.70765952526119</v>
      </c>
      <c r="AQ180">
        <v>929.27304214105857</v>
      </c>
      <c r="AR180">
        <v>909.44593862552381</v>
      </c>
      <c r="AS180">
        <v>890.20077278003203</v>
      </c>
      <c r="AT180">
        <v>871.34442152989345</v>
      </c>
      <c r="AU180">
        <v>855.13096617355052</v>
      </c>
      <c r="AV180">
        <v>841.41236337917815</v>
      </c>
      <c r="AW180">
        <v>829.19970030628019</v>
      </c>
      <c r="AX180">
        <v>817.9153093405406</v>
      </c>
      <c r="AY180">
        <v>807.46470836703054</v>
      </c>
      <c r="AZ180">
        <v>797.42620395036988</v>
      </c>
      <c r="BA180">
        <v>787.78538634656923</v>
      </c>
      <c r="BB180">
        <v>778.52302611877394</v>
      </c>
      <c r="BC180">
        <v>769.52124022599696</v>
      </c>
      <c r="BD180">
        <v>760.91723140991348</v>
      </c>
      <c r="BE180">
        <v>752.88875096146035</v>
      </c>
      <c r="BF180">
        <v>744.94510574082778</v>
      </c>
      <c r="BG180">
        <v>737.09867059669966</v>
      </c>
      <c r="BH180">
        <v>729.27900666319317</v>
      </c>
      <c r="BI180">
        <v>721.61410586977718</v>
      </c>
      <c r="BJ180">
        <v>713.93666109206413</v>
      </c>
      <c r="BK180">
        <v>706.12882410345969</v>
      </c>
      <c r="BL180">
        <v>698.26931167350097</v>
      </c>
      <c r="BM180">
        <v>690.39560248839609</v>
      </c>
      <c r="BN180">
        <v>682.52326736644579</v>
      </c>
    </row>
    <row r="181" spans="1:66" x14ac:dyDescent="0.25">
      <c r="A181" t="s">
        <v>230</v>
      </c>
      <c r="B181" t="s">
        <v>538</v>
      </c>
      <c r="C181" t="s">
        <v>530</v>
      </c>
      <c r="D181" t="s">
        <v>525</v>
      </c>
      <c r="E181" t="s">
        <v>521</v>
      </c>
      <c r="F181">
        <v>29012.897398845394</v>
      </c>
      <c r="G181">
        <v>29733.023075344903</v>
      </c>
      <c r="H181">
        <v>31320.108193971439</v>
      </c>
      <c r="I181">
        <v>30769.917679558341</v>
      </c>
      <c r="J181">
        <v>30855.464305886358</v>
      </c>
      <c r="K181">
        <v>30807.15278760434</v>
      </c>
      <c r="L181">
        <v>32676.98144102552</v>
      </c>
      <c r="M181">
        <v>34628.447074801872</v>
      </c>
      <c r="N181">
        <v>32996.622945367468</v>
      </c>
      <c r="O181">
        <v>34535.956774742503</v>
      </c>
      <c r="P181">
        <v>35323.941097221861</v>
      </c>
      <c r="Q181">
        <v>37491.528269252616</v>
      </c>
      <c r="R181">
        <v>37597.790313188299</v>
      </c>
      <c r="S181">
        <v>39187.525100695137</v>
      </c>
      <c r="T181">
        <v>38883.963267331026</v>
      </c>
      <c r="U181">
        <v>40602.92604799055</v>
      </c>
      <c r="V181">
        <v>40941.03411633549</v>
      </c>
      <c r="W181">
        <v>39756.054114169223</v>
      </c>
      <c r="X181">
        <v>40704.644922956213</v>
      </c>
      <c r="Y181">
        <v>37851.584943027628</v>
      </c>
      <c r="Z181">
        <v>38258.189555380639</v>
      </c>
      <c r="AA181">
        <v>37476.742760931345</v>
      </c>
      <c r="AB181">
        <v>38822.24438135275</v>
      </c>
      <c r="AC181">
        <v>38042.386442328796</v>
      </c>
      <c r="AD181">
        <v>38239.490669053106</v>
      </c>
      <c r="AE181">
        <v>38574.2154058343</v>
      </c>
      <c r="AF181">
        <v>36887.73781690115</v>
      </c>
      <c r="AG181">
        <v>38354.032701478282</v>
      </c>
      <c r="AH181">
        <v>38244.89921952338</v>
      </c>
      <c r="AI181">
        <v>39634.847827478443</v>
      </c>
      <c r="AJ181">
        <v>36911.614290734949</v>
      </c>
      <c r="AK181">
        <v>38532.141411951452</v>
      </c>
      <c r="AL181">
        <v>37860.940473545059</v>
      </c>
      <c r="AM181">
        <v>37219.788988701788</v>
      </c>
      <c r="AN181">
        <v>35514.350852144315</v>
      </c>
      <c r="AO181">
        <v>34116.35598896999</v>
      </c>
      <c r="AP181">
        <v>33656.545738516746</v>
      </c>
      <c r="AQ181">
        <v>33098.19669516314</v>
      </c>
      <c r="AR181">
        <v>32495.012533627956</v>
      </c>
      <c r="AS181">
        <v>31929.462981109889</v>
      </c>
      <c r="AT181">
        <v>30282.106617959496</v>
      </c>
      <c r="AU181">
        <v>29496.63307629482</v>
      </c>
      <c r="AV181">
        <v>28657.656581253057</v>
      </c>
      <c r="AW181">
        <v>27836.636998010061</v>
      </c>
      <c r="AX181">
        <v>26969.749123906055</v>
      </c>
      <c r="AY181">
        <v>26109.857921284085</v>
      </c>
      <c r="AZ181">
        <v>25097.57476938664</v>
      </c>
      <c r="BA181">
        <v>24004.602873422289</v>
      </c>
      <c r="BB181">
        <v>22930.435522268308</v>
      </c>
      <c r="BC181">
        <v>21718.987575701609</v>
      </c>
      <c r="BD181">
        <v>19860.337890648862</v>
      </c>
      <c r="BE181">
        <v>18826.907953678161</v>
      </c>
      <c r="BF181">
        <v>17767.401154520092</v>
      </c>
      <c r="BG181">
        <v>16761.292569178291</v>
      </c>
      <c r="BH181">
        <v>15909.262707736876</v>
      </c>
      <c r="BI181">
        <v>15161.424336126924</v>
      </c>
      <c r="BJ181">
        <v>14511.132996093742</v>
      </c>
      <c r="BK181">
        <v>13888.003261997783</v>
      </c>
      <c r="BL181">
        <v>13283.329647196722</v>
      </c>
      <c r="BM181">
        <v>12671.078815847381</v>
      </c>
      <c r="BN181">
        <v>12139.752392722716</v>
      </c>
    </row>
    <row r="182" spans="1:66" x14ac:dyDescent="0.25">
      <c r="A182" t="s">
        <v>231</v>
      </c>
      <c r="B182" t="s">
        <v>538</v>
      </c>
      <c r="C182" t="s">
        <v>531</v>
      </c>
      <c r="D182" t="s">
        <v>518</v>
      </c>
      <c r="E182" t="s">
        <v>519</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11.416538041464802</v>
      </c>
      <c r="AA182">
        <v>8.7327708333333316</v>
      </c>
      <c r="AB182">
        <v>2.2770791666666668</v>
      </c>
      <c r="AC182">
        <v>1.3566666666666667</v>
      </c>
      <c r="AD182">
        <v>1.9666666666666663</v>
      </c>
      <c r="AE182">
        <v>4.4622309027777769</v>
      </c>
      <c r="AF182">
        <v>7.7698003472222208</v>
      </c>
      <c r="AG182">
        <v>11.941235920833332</v>
      </c>
      <c r="AH182">
        <v>18.817684762500001</v>
      </c>
      <c r="AI182">
        <v>24.5</v>
      </c>
      <c r="AJ182">
        <v>30</v>
      </c>
      <c r="AK182">
        <v>46.305643178011259</v>
      </c>
      <c r="AL182">
        <v>69.696559398715706</v>
      </c>
      <c r="AM182">
        <v>250</v>
      </c>
      <c r="AN182">
        <v>257.5</v>
      </c>
      <c r="AO182">
        <v>265.22500000000002</v>
      </c>
      <c r="AP182">
        <v>273.18175000000002</v>
      </c>
      <c r="AQ182">
        <v>281.37720250000001</v>
      </c>
      <c r="AR182">
        <v>289.81851857500004</v>
      </c>
      <c r="AS182">
        <v>298.51307413225004</v>
      </c>
      <c r="AT182">
        <v>307.46846635621756</v>
      </c>
      <c r="AU182">
        <v>316.69252034690408</v>
      </c>
      <c r="AV182">
        <v>326.19329595731119</v>
      </c>
      <c r="AW182">
        <v>335.97909483603053</v>
      </c>
      <c r="AX182">
        <v>346.05846768111144</v>
      </c>
      <c r="AY182">
        <v>356.44022171154478</v>
      </c>
      <c r="AZ182">
        <v>367.13342836289115</v>
      </c>
      <c r="BA182">
        <v>378.14743121377791</v>
      </c>
      <c r="BB182">
        <v>389.49185415019127</v>
      </c>
      <c r="BC182">
        <v>401.176609774697</v>
      </c>
      <c r="BD182">
        <v>413.21190806793794</v>
      </c>
      <c r="BE182">
        <v>425.6082653099761</v>
      </c>
      <c r="BF182">
        <v>438.37651326927539</v>
      </c>
      <c r="BG182">
        <v>451.52780866735367</v>
      </c>
      <c r="BH182">
        <v>465.07364292737429</v>
      </c>
      <c r="BI182">
        <v>479.02585221519553</v>
      </c>
      <c r="BJ182">
        <v>493.39662778165143</v>
      </c>
      <c r="BK182">
        <v>508.198526615101</v>
      </c>
      <c r="BL182">
        <v>523.44448241355406</v>
      </c>
      <c r="BM182">
        <v>539.14781688596065</v>
      </c>
      <c r="BN182">
        <v>555.32225139253944</v>
      </c>
    </row>
    <row r="183" spans="1:66" x14ac:dyDescent="0.25">
      <c r="A183" t="s">
        <v>231</v>
      </c>
      <c r="B183" t="s">
        <v>538</v>
      </c>
      <c r="C183" t="s">
        <v>531</v>
      </c>
      <c r="D183" t="s">
        <v>520</v>
      </c>
      <c r="E183" t="s">
        <v>521</v>
      </c>
      <c r="F183">
        <v>8126.1945618773643</v>
      </c>
      <c r="G183">
        <v>8106.661121873205</v>
      </c>
      <c r="H183">
        <v>8469.9964545997555</v>
      </c>
      <c r="I183">
        <v>8922.6885824844103</v>
      </c>
      <c r="J183">
        <v>9583.8002483498967</v>
      </c>
      <c r="K183">
        <v>10247.564720783123</v>
      </c>
      <c r="L183">
        <v>10378.724398951666</v>
      </c>
      <c r="M183">
        <v>10605.333888617772</v>
      </c>
      <c r="N183">
        <v>10810.458340752642</v>
      </c>
      <c r="O183">
        <v>11096.605458727845</v>
      </c>
      <c r="P183">
        <v>11648.310343290637</v>
      </c>
      <c r="Q183">
        <v>11705.871223077451</v>
      </c>
      <c r="R183">
        <v>12162.021231248526</v>
      </c>
      <c r="S183">
        <v>12697.797549640931</v>
      </c>
      <c r="T183">
        <v>12992.367162928625</v>
      </c>
      <c r="U183">
        <v>13063.440862686894</v>
      </c>
      <c r="V183">
        <v>13182.198504199005</v>
      </c>
      <c r="W183">
        <v>13284.806809600492</v>
      </c>
      <c r="X183">
        <v>13293.959706338926</v>
      </c>
      <c r="Y183">
        <v>13101.086214174264</v>
      </c>
      <c r="Z183">
        <v>13348.937535477718</v>
      </c>
      <c r="AA183">
        <v>13331.827621000642</v>
      </c>
      <c r="AB183">
        <v>13006.487718579234</v>
      </c>
      <c r="AC183">
        <v>13081.360160828839</v>
      </c>
      <c r="AD183">
        <v>13339.646613066796</v>
      </c>
      <c r="AE183">
        <v>13805.025309105527</v>
      </c>
      <c r="AF183">
        <v>13906.520809611657</v>
      </c>
      <c r="AG183">
        <v>14803.702978914342</v>
      </c>
      <c r="AH183">
        <v>15126.124771992951</v>
      </c>
      <c r="AI183">
        <v>14654.704680232724</v>
      </c>
      <c r="AJ183">
        <v>13175.66592208733</v>
      </c>
      <c r="AK183">
        <v>14392.195065575315</v>
      </c>
      <c r="AL183">
        <v>15135.339452744389</v>
      </c>
      <c r="AM183">
        <v>15303.747361791686</v>
      </c>
      <c r="AN183">
        <v>15250.044615947532</v>
      </c>
      <c r="AO183">
        <v>15164.037351064548</v>
      </c>
      <c r="AP183">
        <v>15046.975604695439</v>
      </c>
      <c r="AQ183">
        <v>14891.673094229443</v>
      </c>
      <c r="AR183">
        <v>14669.928386629232</v>
      </c>
      <c r="AS183">
        <v>14390.655181786515</v>
      </c>
      <c r="AT183">
        <v>14026.725072591969</v>
      </c>
      <c r="AU183">
        <v>13590.106420012213</v>
      </c>
      <c r="AV183">
        <v>13112.231428766614</v>
      </c>
      <c r="AW183">
        <v>12585.151096441337</v>
      </c>
      <c r="AX183">
        <v>11992.574680677919</v>
      </c>
      <c r="AY183">
        <v>11358.384578742118</v>
      </c>
      <c r="AZ183">
        <v>10690.911082905535</v>
      </c>
      <c r="BA183">
        <v>9886.4687354278794</v>
      </c>
      <c r="BB183">
        <v>9136.4315566813239</v>
      </c>
      <c r="BC183">
        <v>8282.0613583897593</v>
      </c>
      <c r="BD183">
        <v>7570.5421000501128</v>
      </c>
      <c r="BE183">
        <v>6800.7311192134421</v>
      </c>
      <c r="BF183">
        <v>6226.7921687117414</v>
      </c>
      <c r="BG183">
        <v>5593.6534472629573</v>
      </c>
      <c r="BH183">
        <v>5089.4529613143477</v>
      </c>
      <c r="BI183">
        <v>4603.7866674915822</v>
      </c>
      <c r="BJ183">
        <v>4202.0877041889507</v>
      </c>
      <c r="BK183">
        <v>3798.6945011875673</v>
      </c>
      <c r="BL183">
        <v>3441.8529124287402</v>
      </c>
      <c r="BM183">
        <v>3091.5436596356699</v>
      </c>
      <c r="BN183">
        <v>2814.5309949001385</v>
      </c>
    </row>
    <row r="184" spans="1:66" x14ac:dyDescent="0.25">
      <c r="A184" t="s">
        <v>231</v>
      </c>
      <c r="B184" t="s">
        <v>538</v>
      </c>
      <c r="C184" t="s">
        <v>531</v>
      </c>
      <c r="D184" t="s">
        <v>522</v>
      </c>
      <c r="E184" t="s">
        <v>521</v>
      </c>
      <c r="F184">
        <v>15640.940843035291</v>
      </c>
      <c r="G184">
        <v>16150.546759988883</v>
      </c>
      <c r="H184">
        <v>17648.388786263939</v>
      </c>
      <c r="I184">
        <v>16725.370693795405</v>
      </c>
      <c r="J184">
        <v>16380.548324839787</v>
      </c>
      <c r="K184">
        <v>15499.119986501893</v>
      </c>
      <c r="L184">
        <v>16964.973485962018</v>
      </c>
      <c r="M184">
        <v>18776.307489236842</v>
      </c>
      <c r="N184">
        <v>16990.87642543549</v>
      </c>
      <c r="O184">
        <v>18068.06638576484</v>
      </c>
      <c r="P184">
        <v>18247.587022073894</v>
      </c>
      <c r="Q184">
        <v>20209.470689366266</v>
      </c>
      <c r="R184">
        <v>19699.848793804682</v>
      </c>
      <c r="S184">
        <v>20589.961823411428</v>
      </c>
      <c r="T184">
        <v>19932.694122895617</v>
      </c>
      <c r="U184">
        <v>21455.132172136808</v>
      </c>
      <c r="V184">
        <v>21734.471668911941</v>
      </c>
      <c r="W184">
        <v>20224.013693454704</v>
      </c>
      <c r="X184">
        <v>21356.548009904149</v>
      </c>
      <c r="Y184">
        <v>18870.840564758502</v>
      </c>
      <c r="Z184">
        <v>18772.299934571802</v>
      </c>
      <c r="AA184">
        <v>18114.081314169005</v>
      </c>
      <c r="AB184">
        <v>19820.47191931152</v>
      </c>
      <c r="AC184">
        <v>18884.997469550366</v>
      </c>
      <c r="AD184">
        <v>18698.599087495157</v>
      </c>
      <c r="AE184">
        <v>18478.836391393874</v>
      </c>
      <c r="AF184">
        <v>16973.70962476591</v>
      </c>
      <c r="AG184">
        <v>17531.475135032353</v>
      </c>
      <c r="AH184">
        <v>17282.73541087965</v>
      </c>
      <c r="AI184">
        <v>19152.571947895391</v>
      </c>
      <c r="AJ184">
        <v>18178.313197265285</v>
      </c>
      <c r="AK184">
        <v>18396.842955843931</v>
      </c>
      <c r="AL184">
        <v>17073.801951658908</v>
      </c>
      <c r="AM184">
        <v>16038.09394155647</v>
      </c>
      <c r="AN184">
        <v>14345.268002993904</v>
      </c>
      <c r="AO184">
        <v>12927.202298682623</v>
      </c>
      <c r="AP184">
        <v>12654.525243870945</v>
      </c>
      <c r="AQ184">
        <v>12504.120625530788</v>
      </c>
      <c r="AR184">
        <v>12062.261069202892</v>
      </c>
      <c r="AS184">
        <v>11698.426773358333</v>
      </c>
      <c r="AT184">
        <v>10549.89906774472</v>
      </c>
      <c r="AU184">
        <v>10173.710285751295</v>
      </c>
      <c r="AV184">
        <v>9840.9439776325416</v>
      </c>
      <c r="AW184">
        <v>9570.0515745388402</v>
      </c>
      <c r="AX184">
        <v>9359.5838604667351</v>
      </c>
      <c r="AY184">
        <v>9152.5666977498386</v>
      </c>
      <c r="AZ184">
        <v>8852.7484381746926</v>
      </c>
      <c r="BA184">
        <v>8541.7447382275222</v>
      </c>
      <c r="BB184">
        <v>8333.7963555839815</v>
      </c>
      <c r="BC184">
        <v>8094.2054097856662</v>
      </c>
      <c r="BD184">
        <v>6984.9561793204466</v>
      </c>
      <c r="BE184">
        <v>6727.6163940932584</v>
      </c>
      <c r="BF184">
        <v>6478.7222857143151</v>
      </c>
      <c r="BG184">
        <v>6238.4963452807906</v>
      </c>
      <c r="BH184">
        <v>5761.8065165328198</v>
      </c>
      <c r="BI184">
        <v>5527.8673863509821</v>
      </c>
      <c r="BJ184">
        <v>5312.8602568031074</v>
      </c>
      <c r="BK184">
        <v>5071.2910813207527</v>
      </c>
      <c r="BL184">
        <v>4821.1618358993064</v>
      </c>
      <c r="BM184">
        <v>4494.1280472399039</v>
      </c>
      <c r="BN184">
        <v>4267.1955989946364</v>
      </c>
    </row>
    <row r="185" spans="1:66" x14ac:dyDescent="0.25">
      <c r="A185" t="s">
        <v>231</v>
      </c>
      <c r="B185" t="s">
        <v>538</v>
      </c>
      <c r="C185" t="s">
        <v>531</v>
      </c>
      <c r="D185" t="s">
        <v>523</v>
      </c>
      <c r="E185" t="s">
        <v>521</v>
      </c>
      <c r="F185">
        <v>3429.1023206090149</v>
      </c>
      <c r="G185">
        <v>3582.0933132143959</v>
      </c>
      <c r="H185">
        <v>3230.4006797977117</v>
      </c>
      <c r="I185">
        <v>3072.4080540294026</v>
      </c>
      <c r="J185">
        <v>2943.5832063652938</v>
      </c>
      <c r="K185">
        <v>3036.6428253355557</v>
      </c>
      <c r="L185">
        <v>3231.1178764295346</v>
      </c>
      <c r="M185">
        <v>3121.0509253025539</v>
      </c>
      <c r="N185">
        <v>3108.4252054479571</v>
      </c>
      <c r="O185">
        <v>3287.2502963250704</v>
      </c>
      <c r="P185">
        <v>3324.3535917273935</v>
      </c>
      <c r="Q185">
        <v>3441.9326499549325</v>
      </c>
      <c r="R185">
        <v>3562.3255597822995</v>
      </c>
      <c r="S185">
        <v>3798.3629146741546</v>
      </c>
      <c r="T185">
        <v>3833.9993752516589</v>
      </c>
      <c r="U185">
        <v>3949.7863117346769</v>
      </c>
      <c r="V185">
        <v>4067.1636114352182</v>
      </c>
      <c r="W185">
        <v>4324.6641433976283</v>
      </c>
      <c r="X185">
        <v>4207.5754142911601</v>
      </c>
      <c r="Y185">
        <v>4156.3376144420381</v>
      </c>
      <c r="Z185">
        <v>4471.2064224286651</v>
      </c>
      <c r="AA185">
        <v>4511.1732699008671</v>
      </c>
      <c r="AB185">
        <v>4584.743425822363</v>
      </c>
      <c r="AC185">
        <v>4716.1203271304976</v>
      </c>
      <c r="AD185">
        <v>4887.0741014170871</v>
      </c>
      <c r="AE185">
        <v>5014.426570819578</v>
      </c>
      <c r="AF185">
        <v>4761.4486978313562</v>
      </c>
      <c r="AG185">
        <v>4803.9943473754338</v>
      </c>
      <c r="AH185">
        <v>4679.6792337008401</v>
      </c>
      <c r="AI185">
        <v>4713.1761267541115</v>
      </c>
      <c r="AJ185">
        <v>4482.2708369643005</v>
      </c>
      <c r="AK185">
        <v>4684.6924221093332</v>
      </c>
      <c r="AL185">
        <v>4615.5306846943822</v>
      </c>
      <c r="AM185">
        <v>4588.727847242033</v>
      </c>
      <c r="AN185">
        <v>4623.752442902125</v>
      </c>
      <c r="AO185">
        <v>4592.0634674295143</v>
      </c>
      <c r="AP185">
        <v>4580.4770052583663</v>
      </c>
      <c r="AQ185">
        <v>4535.3377714394283</v>
      </c>
      <c r="AR185">
        <v>4495.7610058824657</v>
      </c>
      <c r="AS185">
        <v>4476.1275115818262</v>
      </c>
      <c r="AT185">
        <v>4270.9573441217153</v>
      </c>
      <c r="AU185">
        <v>4232.6105111448096</v>
      </c>
      <c r="AV185">
        <v>4196.4764030809392</v>
      </c>
      <c r="AW185">
        <v>4150.3808267369704</v>
      </c>
      <c r="AX185">
        <v>4111.4345097357145</v>
      </c>
      <c r="AY185">
        <v>4103.1405482243972</v>
      </c>
      <c r="AZ185">
        <v>4069.1491611389574</v>
      </c>
      <c r="BA185">
        <v>4047.5584375355465</v>
      </c>
      <c r="BB185">
        <v>4027.8926112094932</v>
      </c>
      <c r="BC185">
        <v>4010.2621895527132</v>
      </c>
      <c r="BD185">
        <v>3951.3474180119802</v>
      </c>
      <c r="BE185">
        <v>3939.3700154175699</v>
      </c>
      <c r="BF185">
        <v>3929.987203370235</v>
      </c>
      <c r="BG185">
        <v>3925.4703960942338</v>
      </c>
      <c r="BH185">
        <v>3923.6671818240088</v>
      </c>
      <c r="BI185">
        <v>3924.3271067347132</v>
      </c>
      <c r="BJ185">
        <v>3928.1084086359542</v>
      </c>
      <c r="BK185">
        <v>3935.1092702728538</v>
      </c>
      <c r="BL185">
        <v>3944.0437613978966</v>
      </c>
      <c r="BM185">
        <v>3954.0820346638843</v>
      </c>
      <c r="BN185">
        <v>3966.9340482703715</v>
      </c>
    </row>
    <row r="186" spans="1:66" x14ac:dyDescent="0.25">
      <c r="A186" t="s">
        <v>231</v>
      </c>
      <c r="B186" t="s">
        <v>538</v>
      </c>
      <c r="C186" t="s">
        <v>531</v>
      </c>
      <c r="D186" t="s">
        <v>524</v>
      </c>
      <c r="E186" t="s">
        <v>521</v>
      </c>
      <c r="F186">
        <v>1816.6596733237263</v>
      </c>
      <c r="G186">
        <v>1893.7218802684215</v>
      </c>
      <c r="H186">
        <v>1971.3222733100288</v>
      </c>
      <c r="I186">
        <v>2049.4503492491226</v>
      </c>
      <c r="J186">
        <v>1947.5325263313807</v>
      </c>
      <c r="K186">
        <v>2023.8252549837712</v>
      </c>
      <c r="L186">
        <v>2102.1656796823004</v>
      </c>
      <c r="M186">
        <v>2125.7547716447093</v>
      </c>
      <c r="N186">
        <v>2086.8629737313777</v>
      </c>
      <c r="O186">
        <v>2084.0346339247499</v>
      </c>
      <c r="P186">
        <v>2103.6901401299438</v>
      </c>
      <c r="Q186">
        <v>2134.2537068539705</v>
      </c>
      <c r="R186">
        <v>2173.5947283527944</v>
      </c>
      <c r="S186">
        <v>2101.4028129686244</v>
      </c>
      <c r="T186">
        <v>2124.9026062551302</v>
      </c>
      <c r="U186">
        <v>2134.5667014321762</v>
      </c>
      <c r="V186">
        <v>1957.2003317893241</v>
      </c>
      <c r="W186">
        <v>1922.5694677164029</v>
      </c>
      <c r="X186">
        <v>1846.56179242198</v>
      </c>
      <c r="Y186">
        <v>1723.3205496528278</v>
      </c>
      <c r="Z186">
        <v>1665.7456629024559</v>
      </c>
      <c r="AA186">
        <v>1519.6605558608351</v>
      </c>
      <c r="AB186">
        <v>1410.5413176396301</v>
      </c>
      <c r="AC186">
        <v>1359.9084848190901</v>
      </c>
      <c r="AD186">
        <v>1314.1708670740722</v>
      </c>
      <c r="AE186">
        <v>1275.9271345153275</v>
      </c>
      <c r="AF186">
        <v>1246.0586846922251</v>
      </c>
      <c r="AG186">
        <v>1214.8602401561525</v>
      </c>
      <c r="AH186">
        <v>1156.3598029499428</v>
      </c>
      <c r="AI186">
        <v>1114.3950725962225</v>
      </c>
      <c r="AJ186">
        <v>1075.3643344180375</v>
      </c>
      <c r="AK186">
        <v>1058.4109684228663</v>
      </c>
      <c r="AL186">
        <v>1037.4549522386469</v>
      </c>
      <c r="AM186">
        <v>1013.2758510517407</v>
      </c>
      <c r="AN186">
        <v>991.73087463912941</v>
      </c>
      <c r="AO186">
        <v>970.67437720296823</v>
      </c>
      <c r="AP186">
        <v>949.70765952526119</v>
      </c>
      <c r="AQ186">
        <v>929.27304214105857</v>
      </c>
      <c r="AR186">
        <v>909.44593862552381</v>
      </c>
      <c r="AS186">
        <v>890.20077278003203</v>
      </c>
      <c r="AT186">
        <v>871.34442152989345</v>
      </c>
      <c r="AU186">
        <v>855.13096617355052</v>
      </c>
      <c r="AV186">
        <v>841.41236337917815</v>
      </c>
      <c r="AW186">
        <v>829.19970030628019</v>
      </c>
      <c r="AX186">
        <v>817.9153093405406</v>
      </c>
      <c r="AY186">
        <v>807.46470836703054</v>
      </c>
      <c r="AZ186">
        <v>797.42620395036988</v>
      </c>
      <c r="BA186">
        <v>787.78538634656923</v>
      </c>
      <c r="BB186">
        <v>778.52302611877394</v>
      </c>
      <c r="BC186">
        <v>769.52124022599696</v>
      </c>
      <c r="BD186">
        <v>760.91723140991348</v>
      </c>
      <c r="BE186">
        <v>752.88875096146035</v>
      </c>
      <c r="BF186">
        <v>744.94510574082778</v>
      </c>
      <c r="BG186">
        <v>737.09867059669966</v>
      </c>
      <c r="BH186">
        <v>729.27900666319317</v>
      </c>
      <c r="BI186">
        <v>721.61410586977718</v>
      </c>
      <c r="BJ186">
        <v>713.93666109206413</v>
      </c>
      <c r="BK186">
        <v>706.12882410345969</v>
      </c>
      <c r="BL186">
        <v>698.26931167350097</v>
      </c>
      <c r="BM186">
        <v>690.39560248839609</v>
      </c>
      <c r="BN186">
        <v>682.52326736644579</v>
      </c>
    </row>
    <row r="187" spans="1:66" x14ac:dyDescent="0.25">
      <c r="A187" t="s">
        <v>231</v>
      </c>
      <c r="B187" t="s">
        <v>538</v>
      </c>
      <c r="C187" t="s">
        <v>531</v>
      </c>
      <c r="D187" t="s">
        <v>525</v>
      </c>
      <c r="E187" t="s">
        <v>521</v>
      </c>
      <c r="F187">
        <v>29012.897398845394</v>
      </c>
      <c r="G187">
        <v>29733.023075344903</v>
      </c>
      <c r="H187">
        <v>31320.108193971439</v>
      </c>
      <c r="I187">
        <v>30769.917679558341</v>
      </c>
      <c r="J187">
        <v>30855.464305886358</v>
      </c>
      <c r="K187">
        <v>30807.15278760434</v>
      </c>
      <c r="L187">
        <v>32676.98144102552</v>
      </c>
      <c r="M187">
        <v>34628.447074801872</v>
      </c>
      <c r="N187">
        <v>32996.622945367468</v>
      </c>
      <c r="O187">
        <v>34535.956774742503</v>
      </c>
      <c r="P187">
        <v>35323.941097221861</v>
      </c>
      <c r="Q187">
        <v>37491.528269252616</v>
      </c>
      <c r="R187">
        <v>37597.790313188299</v>
      </c>
      <c r="S187">
        <v>39187.525100695137</v>
      </c>
      <c r="T187">
        <v>38883.963267331026</v>
      </c>
      <c r="U187">
        <v>40602.92604799055</v>
      </c>
      <c r="V187">
        <v>40941.03411633549</v>
      </c>
      <c r="W187">
        <v>39756.054114169223</v>
      </c>
      <c r="X187">
        <v>40704.644922956213</v>
      </c>
      <c r="Y187">
        <v>37851.584943027628</v>
      </c>
      <c r="Z187">
        <v>38258.189555380639</v>
      </c>
      <c r="AA187">
        <v>37476.742760931345</v>
      </c>
      <c r="AB187">
        <v>38822.24438135275</v>
      </c>
      <c r="AC187">
        <v>38042.386442328796</v>
      </c>
      <c r="AD187">
        <v>38239.490669053106</v>
      </c>
      <c r="AE187">
        <v>38574.2154058343</v>
      </c>
      <c r="AF187">
        <v>36887.73781690115</v>
      </c>
      <c r="AG187">
        <v>38354.032701478282</v>
      </c>
      <c r="AH187">
        <v>38244.89921952338</v>
      </c>
      <c r="AI187">
        <v>39634.847827478443</v>
      </c>
      <c r="AJ187">
        <v>36911.614290734949</v>
      </c>
      <c r="AK187">
        <v>38532.141411951452</v>
      </c>
      <c r="AL187">
        <v>37862.127041336324</v>
      </c>
      <c r="AM187">
        <v>36943.84500164193</v>
      </c>
      <c r="AN187">
        <v>35210.795936482689</v>
      </c>
      <c r="AO187">
        <v>33653.977494379651</v>
      </c>
      <c r="AP187">
        <v>33231.685513350014</v>
      </c>
      <c r="AQ187">
        <v>32860.404533340719</v>
      </c>
      <c r="AR187">
        <v>32137.396400340109</v>
      </c>
      <c r="AS187">
        <v>31455.410239506706</v>
      </c>
      <c r="AT187">
        <v>29718.925905988297</v>
      </c>
      <c r="AU187">
        <v>28851.558183081866</v>
      </c>
      <c r="AV187">
        <v>27991.064172859271</v>
      </c>
      <c r="AW187">
        <v>27134.78319802343</v>
      </c>
      <c r="AX187">
        <v>26281.508360220909</v>
      </c>
      <c r="AY187">
        <v>25421.556533083385</v>
      </c>
      <c r="AZ187">
        <v>24410.234886169554</v>
      </c>
      <c r="BA187">
        <v>23263.557297537514</v>
      </c>
      <c r="BB187">
        <v>22276.643549593573</v>
      </c>
      <c r="BC187">
        <v>21156.050197954133</v>
      </c>
      <c r="BD187">
        <v>19267.762928792454</v>
      </c>
      <c r="BE187">
        <v>18220.606279685733</v>
      </c>
      <c r="BF187">
        <v>17380.446763537118</v>
      </c>
      <c r="BG187">
        <v>16494.718859234679</v>
      </c>
      <c r="BH187">
        <v>15504.20566633437</v>
      </c>
      <c r="BI187">
        <v>14777.595266447055</v>
      </c>
      <c r="BJ187">
        <v>14156.993030720076</v>
      </c>
      <c r="BK187">
        <v>13511.223676884634</v>
      </c>
      <c r="BL187">
        <v>12905.327821399444</v>
      </c>
      <c r="BM187">
        <v>12230.149344027854</v>
      </c>
      <c r="BN187">
        <v>11731.183909531592</v>
      </c>
    </row>
    <row r="188" spans="1:66" x14ac:dyDescent="0.25">
      <c r="A188" t="s">
        <v>232</v>
      </c>
      <c r="B188" t="s">
        <v>538</v>
      </c>
      <c r="C188" t="s">
        <v>539</v>
      </c>
      <c r="D188" t="s">
        <v>518</v>
      </c>
      <c r="E188" t="s">
        <v>519</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11.416538041464802</v>
      </c>
      <c r="AA188">
        <v>8.7327708333333316</v>
      </c>
      <c r="AB188">
        <v>2.2770791666666668</v>
      </c>
      <c r="AC188">
        <v>1.3566666666666667</v>
      </c>
      <c r="AD188">
        <v>1.9666666666666663</v>
      </c>
      <c r="AE188">
        <v>4.4622309027777769</v>
      </c>
      <c r="AF188">
        <v>7.7698003472222208</v>
      </c>
      <c r="AG188">
        <v>11.941235920833332</v>
      </c>
      <c r="AH188">
        <v>18.817684762500001</v>
      </c>
      <c r="AI188">
        <v>24.5</v>
      </c>
      <c r="AJ188">
        <v>30</v>
      </c>
      <c r="AK188">
        <v>46.305643178011259</v>
      </c>
      <c r="AL188">
        <v>69.696559398715706</v>
      </c>
      <c r="AM188">
        <v>270</v>
      </c>
      <c r="AN188">
        <v>278.10000000000002</v>
      </c>
      <c r="AO188">
        <v>286.44300000000004</v>
      </c>
      <c r="AP188">
        <v>295.03629000000006</v>
      </c>
      <c r="AQ188">
        <v>303.88737870000006</v>
      </c>
      <c r="AR188">
        <v>313.00400006100006</v>
      </c>
      <c r="AS188">
        <v>322.39412006283004</v>
      </c>
      <c r="AT188">
        <v>332.06594366471495</v>
      </c>
      <c r="AU188">
        <v>342.02792197465641</v>
      </c>
      <c r="AV188">
        <v>352.28875963389612</v>
      </c>
      <c r="AW188">
        <v>362.85742242291303</v>
      </c>
      <c r="AX188">
        <v>373.74314509560043</v>
      </c>
      <c r="AY188">
        <v>384.95543944846844</v>
      </c>
      <c r="AZ188">
        <v>396.50410263192248</v>
      </c>
      <c r="BA188">
        <v>408.39922571088016</v>
      </c>
      <c r="BB188">
        <v>420.6512024822066</v>
      </c>
      <c r="BC188">
        <v>433.27073855667282</v>
      </c>
      <c r="BD188">
        <v>446.26886071337304</v>
      </c>
      <c r="BE188">
        <v>459.65692653477424</v>
      </c>
      <c r="BF188">
        <v>473.44663433081746</v>
      </c>
      <c r="BG188">
        <v>487.65003336074199</v>
      </c>
      <c r="BH188">
        <v>502.27953436156423</v>
      </c>
      <c r="BI188">
        <v>517.3479203924112</v>
      </c>
      <c r="BJ188">
        <v>532.86835800418351</v>
      </c>
      <c r="BK188">
        <v>548.85440874430901</v>
      </c>
      <c r="BL188">
        <v>565.32004100663835</v>
      </c>
      <c r="BM188">
        <v>582.2796422368375</v>
      </c>
      <c r="BN188">
        <v>599.74803150394268</v>
      </c>
    </row>
    <row r="189" spans="1:66" x14ac:dyDescent="0.25">
      <c r="A189" t="s">
        <v>232</v>
      </c>
      <c r="B189" t="s">
        <v>538</v>
      </c>
      <c r="C189" t="s">
        <v>539</v>
      </c>
      <c r="D189" t="s">
        <v>520</v>
      </c>
      <c r="E189" t="s">
        <v>521</v>
      </c>
      <c r="F189">
        <v>8126.1945618773643</v>
      </c>
      <c r="G189">
        <v>8106.661121873205</v>
      </c>
      <c r="H189">
        <v>8469.9964545997555</v>
      </c>
      <c r="I189">
        <v>8922.6885824844103</v>
      </c>
      <c r="J189">
        <v>9583.8002483498967</v>
      </c>
      <c r="K189">
        <v>10247.564720783123</v>
      </c>
      <c r="L189">
        <v>10378.724398951666</v>
      </c>
      <c r="M189">
        <v>10605.333888617772</v>
      </c>
      <c r="N189">
        <v>10810.458340752642</v>
      </c>
      <c r="O189">
        <v>11096.605458727845</v>
      </c>
      <c r="P189">
        <v>11648.310343290637</v>
      </c>
      <c r="Q189">
        <v>11705.871223077451</v>
      </c>
      <c r="R189">
        <v>12162.021231248526</v>
      </c>
      <c r="S189">
        <v>12697.797549640931</v>
      </c>
      <c r="T189">
        <v>12992.367162928625</v>
      </c>
      <c r="U189">
        <v>13063.440862686894</v>
      </c>
      <c r="V189">
        <v>13182.198504199005</v>
      </c>
      <c r="W189">
        <v>13284.806809600492</v>
      </c>
      <c r="X189">
        <v>13293.959706338926</v>
      </c>
      <c r="Y189">
        <v>13101.086214174264</v>
      </c>
      <c r="Z189">
        <v>13348.937535477718</v>
      </c>
      <c r="AA189">
        <v>13331.827621000642</v>
      </c>
      <c r="AB189">
        <v>13006.487718579234</v>
      </c>
      <c r="AC189">
        <v>13081.360160828839</v>
      </c>
      <c r="AD189">
        <v>13339.646613066796</v>
      </c>
      <c r="AE189">
        <v>13805.025309105527</v>
      </c>
      <c r="AF189">
        <v>13906.520809611657</v>
      </c>
      <c r="AG189">
        <v>14803.702978914342</v>
      </c>
      <c r="AH189">
        <v>15126.124771992951</v>
      </c>
      <c r="AI189">
        <v>14654.704680232724</v>
      </c>
      <c r="AJ189">
        <v>13175.66592208733</v>
      </c>
      <c r="AK189">
        <v>14392.195065575315</v>
      </c>
      <c r="AL189">
        <v>15135.339452744389</v>
      </c>
      <c r="AM189">
        <v>15302.231254733037</v>
      </c>
      <c r="AN189">
        <v>15246.650760749195</v>
      </c>
      <c r="AO189">
        <v>15158.351447438839</v>
      </c>
      <c r="AP189">
        <v>15038.627748235651</v>
      </c>
      <c r="AQ189">
        <v>14880.157478624826</v>
      </c>
      <c r="AR189">
        <v>14655.027433323441</v>
      </c>
      <c r="AS189">
        <v>14360.8973727309</v>
      </c>
      <c r="AT189">
        <v>14003.308393474137</v>
      </c>
      <c r="AU189">
        <v>13561.03422393144</v>
      </c>
      <c r="AV189">
        <v>13082.047984086073</v>
      </c>
      <c r="AW189">
        <v>12555.077649543124</v>
      </c>
      <c r="AX189">
        <v>11963.114890715404</v>
      </c>
      <c r="AY189">
        <v>11305.3388161885</v>
      </c>
      <c r="AZ189">
        <v>10663.731451824529</v>
      </c>
      <c r="BA189">
        <v>9859.935435268977</v>
      </c>
      <c r="BB189">
        <v>9111.1070477206904</v>
      </c>
      <c r="BC189">
        <v>8257.73027109551</v>
      </c>
      <c r="BD189">
        <v>7519.631106878448</v>
      </c>
      <c r="BE189">
        <v>6779.4289695587095</v>
      </c>
      <c r="BF189">
        <v>6207.1084744532409</v>
      </c>
      <c r="BG189">
        <v>5575.7888380280028</v>
      </c>
      <c r="BH189">
        <v>5049.8547129445533</v>
      </c>
      <c r="BI189">
        <v>4588.9984644067517</v>
      </c>
      <c r="BJ189">
        <v>4187.9762129507326</v>
      </c>
      <c r="BK189">
        <v>3787.0024261193221</v>
      </c>
      <c r="BL189">
        <v>3431.6902363196305</v>
      </c>
      <c r="BM189">
        <v>3082.8072678437625</v>
      </c>
      <c r="BN189">
        <v>2797.6677446022168</v>
      </c>
    </row>
    <row r="190" spans="1:66" x14ac:dyDescent="0.25">
      <c r="A190" t="s">
        <v>232</v>
      </c>
      <c r="B190" t="s">
        <v>538</v>
      </c>
      <c r="C190" t="s">
        <v>539</v>
      </c>
      <c r="D190" t="s">
        <v>522</v>
      </c>
      <c r="E190" t="s">
        <v>521</v>
      </c>
      <c r="F190">
        <v>15640.940843035291</v>
      </c>
      <c r="G190">
        <v>16150.546759988883</v>
      </c>
      <c r="H190">
        <v>17648.388786263939</v>
      </c>
      <c r="I190">
        <v>16725.370693795405</v>
      </c>
      <c r="J190">
        <v>16380.548324839787</v>
      </c>
      <c r="K190">
        <v>15499.119986501893</v>
      </c>
      <c r="L190">
        <v>16964.973485962018</v>
      </c>
      <c r="M190">
        <v>18776.307489236842</v>
      </c>
      <c r="N190">
        <v>16990.87642543549</v>
      </c>
      <c r="O190">
        <v>18068.06638576484</v>
      </c>
      <c r="P190">
        <v>18247.587022073894</v>
      </c>
      <c r="Q190">
        <v>20209.470689366266</v>
      </c>
      <c r="R190">
        <v>19699.848793804682</v>
      </c>
      <c r="S190">
        <v>20589.961823411428</v>
      </c>
      <c r="T190">
        <v>19932.694122895617</v>
      </c>
      <c r="U190">
        <v>21455.132172136808</v>
      </c>
      <c r="V190">
        <v>21734.471668911941</v>
      </c>
      <c r="W190">
        <v>20224.013693454704</v>
      </c>
      <c r="X190">
        <v>21356.548009904149</v>
      </c>
      <c r="Y190">
        <v>18870.840564758502</v>
      </c>
      <c r="Z190">
        <v>18772.299934571802</v>
      </c>
      <c r="AA190">
        <v>18114.081314169005</v>
      </c>
      <c r="AB190">
        <v>19820.47191931152</v>
      </c>
      <c r="AC190">
        <v>18884.997469550366</v>
      </c>
      <c r="AD190">
        <v>18698.599087495157</v>
      </c>
      <c r="AE190">
        <v>18478.836391393874</v>
      </c>
      <c r="AF190">
        <v>16973.70962476591</v>
      </c>
      <c r="AG190">
        <v>17531.475135032353</v>
      </c>
      <c r="AH190">
        <v>17282.73541087965</v>
      </c>
      <c r="AI190">
        <v>19152.571947895391</v>
      </c>
      <c r="AJ190">
        <v>18178.313197265285</v>
      </c>
      <c r="AK190">
        <v>18396.842955843931</v>
      </c>
      <c r="AL190">
        <v>17073.801951658908</v>
      </c>
      <c r="AM190">
        <v>15895.397785119107</v>
      </c>
      <c r="AN190">
        <v>14189.421185592651</v>
      </c>
      <c r="AO190">
        <v>12689.61905684444</v>
      </c>
      <c r="AP190">
        <v>12403.770965975164</v>
      </c>
      <c r="AQ190">
        <v>12265.785355698059</v>
      </c>
      <c r="AR190">
        <v>11974.705188593238</v>
      </c>
      <c r="AS190">
        <v>11557.115854182168</v>
      </c>
      <c r="AT190">
        <v>10324.207573699028</v>
      </c>
      <c r="AU190">
        <v>9897.447595664893</v>
      </c>
      <c r="AV190">
        <v>9557.444183244912</v>
      </c>
      <c r="AW190">
        <v>9306.1593297273903</v>
      </c>
      <c r="AX190">
        <v>9108.3601485533218</v>
      </c>
      <c r="AY190">
        <v>8947.174253976742</v>
      </c>
      <c r="AZ190">
        <v>8738.1991828653681</v>
      </c>
      <c r="BA190">
        <v>8500.6573895686288</v>
      </c>
      <c r="BB190">
        <v>8299.5894133528582</v>
      </c>
      <c r="BC190">
        <v>8057.2679030441286</v>
      </c>
      <c r="BD190">
        <v>6943.6285033170298</v>
      </c>
      <c r="BE190">
        <v>6686.3624828062766</v>
      </c>
      <c r="BF190">
        <v>6440.0893604489765</v>
      </c>
      <c r="BG190">
        <v>5997.3502018329245</v>
      </c>
      <c r="BH190">
        <v>5735.4141371645619</v>
      </c>
      <c r="BI190">
        <v>5523.7679875224676</v>
      </c>
      <c r="BJ190">
        <v>5287.1691347953256</v>
      </c>
      <c r="BK190">
        <v>5045.3740024049403</v>
      </c>
      <c r="BL190">
        <v>4796.1087564881491</v>
      </c>
      <c r="BM190">
        <v>4470.5741602741455</v>
      </c>
      <c r="BN190">
        <v>4244.4352054543542</v>
      </c>
    </row>
    <row r="191" spans="1:66" x14ac:dyDescent="0.25">
      <c r="A191" t="s">
        <v>232</v>
      </c>
      <c r="B191" t="s">
        <v>538</v>
      </c>
      <c r="C191" t="s">
        <v>539</v>
      </c>
      <c r="D191" t="s">
        <v>523</v>
      </c>
      <c r="E191" t="s">
        <v>521</v>
      </c>
      <c r="F191">
        <v>3429.1023206090149</v>
      </c>
      <c r="G191">
        <v>3582.0933132143959</v>
      </c>
      <c r="H191">
        <v>3230.4006797977117</v>
      </c>
      <c r="I191">
        <v>3072.4080540294026</v>
      </c>
      <c r="J191">
        <v>2943.5832063652938</v>
      </c>
      <c r="K191">
        <v>3036.6428253355557</v>
      </c>
      <c r="L191">
        <v>3231.1178764295346</v>
      </c>
      <c r="M191">
        <v>3121.0509253025539</v>
      </c>
      <c r="N191">
        <v>3108.4252054479571</v>
      </c>
      <c r="O191">
        <v>3287.2502963250704</v>
      </c>
      <c r="P191">
        <v>3324.3535917273935</v>
      </c>
      <c r="Q191">
        <v>3441.9326499549325</v>
      </c>
      <c r="R191">
        <v>3562.3255597822995</v>
      </c>
      <c r="S191">
        <v>3798.3629146741546</v>
      </c>
      <c r="T191">
        <v>3833.9993752516589</v>
      </c>
      <c r="U191">
        <v>3949.7863117346769</v>
      </c>
      <c r="V191">
        <v>4067.1636114352182</v>
      </c>
      <c r="W191">
        <v>4324.6641433976283</v>
      </c>
      <c r="X191">
        <v>4207.5754142911601</v>
      </c>
      <c r="Y191">
        <v>4156.3376144420381</v>
      </c>
      <c r="Z191">
        <v>4471.2064224286651</v>
      </c>
      <c r="AA191">
        <v>4511.1732699008671</v>
      </c>
      <c r="AB191">
        <v>4584.743425822363</v>
      </c>
      <c r="AC191">
        <v>4716.1203271304976</v>
      </c>
      <c r="AD191">
        <v>4887.0741014170871</v>
      </c>
      <c r="AE191">
        <v>5014.426570819578</v>
      </c>
      <c r="AF191">
        <v>4761.4486978313562</v>
      </c>
      <c r="AG191">
        <v>4803.9943473754338</v>
      </c>
      <c r="AH191">
        <v>4679.6792337008401</v>
      </c>
      <c r="AI191">
        <v>4713.1761267541115</v>
      </c>
      <c r="AJ191">
        <v>4482.2708369643005</v>
      </c>
      <c r="AK191">
        <v>4684.6924221093332</v>
      </c>
      <c r="AL191">
        <v>4615.5306846943822</v>
      </c>
      <c r="AM191">
        <v>4588.727847242033</v>
      </c>
      <c r="AN191">
        <v>4623.752442902125</v>
      </c>
      <c r="AO191">
        <v>4592.0634674295152</v>
      </c>
      <c r="AP191">
        <v>4580.4770052583663</v>
      </c>
      <c r="AQ191">
        <v>4535.3377714394283</v>
      </c>
      <c r="AR191">
        <v>4495.7610058824657</v>
      </c>
      <c r="AS191">
        <v>4476.1275115818262</v>
      </c>
      <c r="AT191">
        <v>4270.9573441217153</v>
      </c>
      <c r="AU191">
        <v>4232.6105111448096</v>
      </c>
      <c r="AV191">
        <v>4196.4764030809392</v>
      </c>
      <c r="AW191">
        <v>4150.3808267369704</v>
      </c>
      <c r="AX191">
        <v>4111.4345097357145</v>
      </c>
      <c r="AY191">
        <v>4103.1405482243972</v>
      </c>
      <c r="AZ191">
        <v>4069.1491611389574</v>
      </c>
      <c r="BA191">
        <v>4047.5584375355465</v>
      </c>
      <c r="BB191">
        <v>4027.8926112094932</v>
      </c>
      <c r="BC191">
        <v>4010.2621895527132</v>
      </c>
      <c r="BD191">
        <v>3951.3474180119802</v>
      </c>
      <c r="BE191">
        <v>3939.3700154175694</v>
      </c>
      <c r="BF191">
        <v>3929.9872033702354</v>
      </c>
      <c r="BG191">
        <v>3925.4703960942338</v>
      </c>
      <c r="BH191">
        <v>3923.6671818240088</v>
      </c>
      <c r="BI191">
        <v>3924.3271067347137</v>
      </c>
      <c r="BJ191">
        <v>3928.1084086359542</v>
      </c>
      <c r="BK191">
        <v>3935.1092702728533</v>
      </c>
      <c r="BL191">
        <v>3944.0437613978966</v>
      </c>
      <c r="BM191">
        <v>3954.0820346638848</v>
      </c>
      <c r="BN191">
        <v>3966.934048270371</v>
      </c>
    </row>
    <row r="192" spans="1:66" x14ac:dyDescent="0.25">
      <c r="A192" t="s">
        <v>232</v>
      </c>
      <c r="B192" t="s">
        <v>538</v>
      </c>
      <c r="C192" t="s">
        <v>539</v>
      </c>
      <c r="D192" t="s">
        <v>524</v>
      </c>
      <c r="E192" t="s">
        <v>521</v>
      </c>
      <c r="F192">
        <v>1816.6596733237263</v>
      </c>
      <c r="G192">
        <v>1893.7218802684215</v>
      </c>
      <c r="H192">
        <v>1971.3222733100288</v>
      </c>
      <c r="I192">
        <v>2049.4503492491226</v>
      </c>
      <c r="J192">
        <v>1947.5325263313807</v>
      </c>
      <c r="K192">
        <v>2023.8252549837712</v>
      </c>
      <c r="L192">
        <v>2102.1656796823004</v>
      </c>
      <c r="M192">
        <v>2125.7547716447093</v>
      </c>
      <c r="N192">
        <v>2086.8629737313777</v>
      </c>
      <c r="O192">
        <v>2084.0346339247499</v>
      </c>
      <c r="P192">
        <v>2103.6901401299438</v>
      </c>
      <c r="Q192">
        <v>2134.2537068539705</v>
      </c>
      <c r="R192">
        <v>2173.5947283527944</v>
      </c>
      <c r="S192">
        <v>2101.4028129686244</v>
      </c>
      <c r="T192">
        <v>2124.9026062551302</v>
      </c>
      <c r="U192">
        <v>2134.5667014321762</v>
      </c>
      <c r="V192">
        <v>1957.2003317893241</v>
      </c>
      <c r="W192">
        <v>1922.5694677164029</v>
      </c>
      <c r="X192">
        <v>1846.56179242198</v>
      </c>
      <c r="Y192">
        <v>1723.3205496528278</v>
      </c>
      <c r="Z192">
        <v>1665.7456629024559</v>
      </c>
      <c r="AA192">
        <v>1519.6605558608351</v>
      </c>
      <c r="AB192">
        <v>1410.5413176396301</v>
      </c>
      <c r="AC192">
        <v>1359.9084848190901</v>
      </c>
      <c r="AD192">
        <v>1314.1708670740722</v>
      </c>
      <c r="AE192">
        <v>1275.9271345153275</v>
      </c>
      <c r="AF192">
        <v>1246.0586846922251</v>
      </c>
      <c r="AG192">
        <v>1214.8602401561525</v>
      </c>
      <c r="AH192">
        <v>1156.3598029499428</v>
      </c>
      <c r="AI192">
        <v>1114.3950725962225</v>
      </c>
      <c r="AJ192">
        <v>1075.3643344180375</v>
      </c>
      <c r="AK192">
        <v>1058.4109684228663</v>
      </c>
      <c r="AL192">
        <v>1037.4549522386469</v>
      </c>
      <c r="AM192">
        <v>1013.2758510517407</v>
      </c>
      <c r="AN192">
        <v>991.73087463912941</v>
      </c>
      <c r="AO192">
        <v>970.67437720296823</v>
      </c>
      <c r="AP192">
        <v>949.70765952526119</v>
      </c>
      <c r="AQ192">
        <v>929.27304214105857</v>
      </c>
      <c r="AR192">
        <v>909.44593862552381</v>
      </c>
      <c r="AS192">
        <v>890.20077278003203</v>
      </c>
      <c r="AT192">
        <v>871.34442152989345</v>
      </c>
      <c r="AU192">
        <v>855.13096617355052</v>
      </c>
      <c r="AV192">
        <v>841.41236337917815</v>
      </c>
      <c r="AW192">
        <v>829.19970030628019</v>
      </c>
      <c r="AX192">
        <v>817.9153093405406</v>
      </c>
      <c r="AY192">
        <v>807.46470836703054</v>
      </c>
      <c r="AZ192">
        <v>797.42620395036988</v>
      </c>
      <c r="BA192">
        <v>787.78538634656923</v>
      </c>
      <c r="BB192">
        <v>778.52302611877394</v>
      </c>
      <c r="BC192">
        <v>769.52124022599696</v>
      </c>
      <c r="BD192">
        <v>760.91723140991348</v>
      </c>
      <c r="BE192">
        <v>752.88875096146035</v>
      </c>
      <c r="BF192">
        <v>744.94510574082778</v>
      </c>
      <c r="BG192">
        <v>737.09867059669966</v>
      </c>
      <c r="BH192">
        <v>729.27900666319317</v>
      </c>
      <c r="BI192">
        <v>721.61410586977718</v>
      </c>
      <c r="BJ192">
        <v>713.93666109206413</v>
      </c>
      <c r="BK192">
        <v>706.12882410345969</v>
      </c>
      <c r="BL192">
        <v>698.26931167350097</v>
      </c>
      <c r="BM192">
        <v>690.39560248839609</v>
      </c>
      <c r="BN192">
        <v>682.52326736644579</v>
      </c>
    </row>
    <row r="193" spans="1:66" x14ac:dyDescent="0.25">
      <c r="A193" t="s">
        <v>232</v>
      </c>
      <c r="B193" t="s">
        <v>538</v>
      </c>
      <c r="C193" t="s">
        <v>539</v>
      </c>
      <c r="D193" t="s">
        <v>525</v>
      </c>
      <c r="E193" t="s">
        <v>521</v>
      </c>
      <c r="F193">
        <v>29012.897398845394</v>
      </c>
      <c r="G193">
        <v>29733.023075344903</v>
      </c>
      <c r="H193">
        <v>31320.108193971439</v>
      </c>
      <c r="I193">
        <v>30769.917679558341</v>
      </c>
      <c r="J193">
        <v>30855.464305886358</v>
      </c>
      <c r="K193">
        <v>30807.15278760434</v>
      </c>
      <c r="L193">
        <v>32676.98144102552</v>
      </c>
      <c r="M193">
        <v>34628.447074801872</v>
      </c>
      <c r="N193">
        <v>32996.622945367468</v>
      </c>
      <c r="O193">
        <v>34535.956774742503</v>
      </c>
      <c r="P193">
        <v>35323.941097221861</v>
      </c>
      <c r="Q193">
        <v>37491.528269252616</v>
      </c>
      <c r="R193">
        <v>37597.790313188299</v>
      </c>
      <c r="S193">
        <v>39187.525100695137</v>
      </c>
      <c r="T193">
        <v>38883.963267331026</v>
      </c>
      <c r="U193">
        <v>40602.92604799055</v>
      </c>
      <c r="V193">
        <v>40941.03411633549</v>
      </c>
      <c r="W193">
        <v>39756.054114169223</v>
      </c>
      <c r="X193">
        <v>40704.644922956213</v>
      </c>
      <c r="Y193">
        <v>37851.584943027628</v>
      </c>
      <c r="Z193">
        <v>38258.189555380639</v>
      </c>
      <c r="AA193">
        <v>37476.742760931345</v>
      </c>
      <c r="AB193">
        <v>38822.24438135275</v>
      </c>
      <c r="AC193">
        <v>38042.386442328796</v>
      </c>
      <c r="AD193">
        <v>38239.490669053106</v>
      </c>
      <c r="AE193">
        <v>38574.2154058343</v>
      </c>
      <c r="AF193">
        <v>36887.73781690115</v>
      </c>
      <c r="AG193">
        <v>38354.032701478282</v>
      </c>
      <c r="AH193">
        <v>38244.89921952338</v>
      </c>
      <c r="AI193">
        <v>39634.847827478443</v>
      </c>
      <c r="AJ193">
        <v>36911.614290734949</v>
      </c>
      <c r="AK193">
        <v>38532.141411951452</v>
      </c>
      <c r="AL193">
        <v>37862.127041336324</v>
      </c>
      <c r="AM193">
        <v>36799.63273814592</v>
      </c>
      <c r="AN193">
        <v>35051.5552638831</v>
      </c>
      <c r="AO193">
        <v>33410.708348915759</v>
      </c>
      <c r="AP193">
        <v>32972.583378994445</v>
      </c>
      <c r="AQ193">
        <v>32610.553647903376</v>
      </c>
      <c r="AR193">
        <v>32034.939566424666</v>
      </c>
      <c r="AS193">
        <v>31284.341511274932</v>
      </c>
      <c r="AT193">
        <v>29469.817732824777</v>
      </c>
      <c r="AU193">
        <v>28546.22329691469</v>
      </c>
      <c r="AV193">
        <v>27677.380933791104</v>
      </c>
      <c r="AW193">
        <v>26840.817506313764</v>
      </c>
      <c r="AX193">
        <v>26000.824858344982</v>
      </c>
      <c r="AY193">
        <v>25163.11832675667</v>
      </c>
      <c r="AZ193">
        <v>24268.505999779223</v>
      </c>
      <c r="BA193">
        <v>23195.936648719722</v>
      </c>
      <c r="BB193">
        <v>22217.112098401816</v>
      </c>
      <c r="BC193">
        <v>21094.781603918349</v>
      </c>
      <c r="BD193">
        <v>19175.52425961737</v>
      </c>
      <c r="BE193">
        <v>18158.050218744018</v>
      </c>
      <c r="BF193">
        <v>17322.130144013281</v>
      </c>
      <c r="BG193">
        <v>16235.70810655186</v>
      </c>
      <c r="BH193">
        <v>15438.215038596316</v>
      </c>
      <c r="BI193">
        <v>14758.707664533711</v>
      </c>
      <c r="BJ193">
        <v>14117.190417474076</v>
      </c>
      <c r="BK193">
        <v>13473.614522900574</v>
      </c>
      <c r="BL193">
        <v>12870.112065879179</v>
      </c>
      <c r="BM193">
        <v>12197.859065270188</v>
      </c>
      <c r="BN193">
        <v>11691.560265693386</v>
      </c>
    </row>
    <row r="194" spans="1:66" x14ac:dyDescent="0.25">
      <c r="A194" t="s">
        <v>233</v>
      </c>
      <c r="B194" t="s">
        <v>538</v>
      </c>
      <c r="C194" t="s">
        <v>532</v>
      </c>
      <c r="D194" t="s">
        <v>518</v>
      </c>
      <c r="E194" t="s">
        <v>519</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11.416538041464802</v>
      </c>
      <c r="AA194">
        <v>8.7327708333333316</v>
      </c>
      <c r="AB194">
        <v>2.2770791666666668</v>
      </c>
      <c r="AC194">
        <v>1.3566666666666667</v>
      </c>
      <c r="AD194">
        <v>1.9666666666666663</v>
      </c>
      <c r="AE194">
        <v>4.4622309027777769</v>
      </c>
      <c r="AF194">
        <v>7.7698003472222208</v>
      </c>
      <c r="AG194">
        <v>11.941235920833332</v>
      </c>
      <c r="AH194">
        <v>18.817684762500001</v>
      </c>
      <c r="AI194">
        <v>24.5</v>
      </c>
      <c r="AJ194">
        <v>30</v>
      </c>
      <c r="AK194">
        <v>46.305643178011259</v>
      </c>
      <c r="AL194">
        <v>69.696559398715706</v>
      </c>
      <c r="AM194">
        <v>300</v>
      </c>
      <c r="AN194">
        <v>309</v>
      </c>
      <c r="AO194">
        <v>318.27</v>
      </c>
      <c r="AP194">
        <v>327.81810000000002</v>
      </c>
      <c r="AQ194">
        <v>337.65264300000001</v>
      </c>
      <c r="AR194">
        <v>347.78222228999999</v>
      </c>
      <c r="AS194">
        <v>358.21568895870001</v>
      </c>
      <c r="AT194">
        <v>368.96215962746101</v>
      </c>
      <c r="AU194">
        <v>380.03102441628482</v>
      </c>
      <c r="AV194">
        <v>391.4319551487734</v>
      </c>
      <c r="AW194">
        <v>403.17491380323662</v>
      </c>
      <c r="AX194">
        <v>415.27016121733374</v>
      </c>
      <c r="AY194">
        <v>427.72826605385376</v>
      </c>
      <c r="AZ194">
        <v>440.56011403546938</v>
      </c>
      <c r="BA194">
        <v>453.77691745653345</v>
      </c>
      <c r="BB194">
        <v>467.39022498022945</v>
      </c>
      <c r="BC194">
        <v>481.41193172963636</v>
      </c>
      <c r="BD194">
        <v>495.85428968152547</v>
      </c>
      <c r="BE194">
        <v>510.72991837197122</v>
      </c>
      <c r="BF194">
        <v>526.05181592313033</v>
      </c>
      <c r="BG194">
        <v>541.83337040082426</v>
      </c>
      <c r="BH194">
        <v>558.08837151284899</v>
      </c>
      <c r="BI194">
        <v>574.83102265823447</v>
      </c>
      <c r="BJ194">
        <v>592.07595333798156</v>
      </c>
      <c r="BK194">
        <v>609.838231938121</v>
      </c>
      <c r="BL194">
        <v>628.13337889626462</v>
      </c>
      <c r="BM194">
        <v>646.97738026315255</v>
      </c>
      <c r="BN194">
        <v>666.38670167104715</v>
      </c>
    </row>
    <row r="195" spans="1:66" x14ac:dyDescent="0.25">
      <c r="A195" t="s">
        <v>233</v>
      </c>
      <c r="B195" t="s">
        <v>538</v>
      </c>
      <c r="C195" t="s">
        <v>532</v>
      </c>
      <c r="D195" t="s">
        <v>520</v>
      </c>
      <c r="E195" t="s">
        <v>521</v>
      </c>
      <c r="F195">
        <v>8126.1945618773643</v>
      </c>
      <c r="G195">
        <v>8106.661121873205</v>
      </c>
      <c r="H195">
        <v>8469.9964545997555</v>
      </c>
      <c r="I195">
        <v>8922.6885824844103</v>
      </c>
      <c r="J195">
        <v>9583.8002483498967</v>
      </c>
      <c r="K195">
        <v>10247.564720783123</v>
      </c>
      <c r="L195">
        <v>10378.724398951666</v>
      </c>
      <c r="M195">
        <v>10605.333888617772</v>
      </c>
      <c r="N195">
        <v>10810.458340752642</v>
      </c>
      <c r="O195">
        <v>11096.605458727845</v>
      </c>
      <c r="P195">
        <v>11648.310343290637</v>
      </c>
      <c r="Q195">
        <v>11705.871223077451</v>
      </c>
      <c r="R195">
        <v>12162.021231248526</v>
      </c>
      <c r="S195">
        <v>12697.797549640931</v>
      </c>
      <c r="T195">
        <v>12992.367162928625</v>
      </c>
      <c r="U195">
        <v>13063.440862686894</v>
      </c>
      <c r="V195">
        <v>13182.198504199005</v>
      </c>
      <c r="W195">
        <v>13284.806809600492</v>
      </c>
      <c r="X195">
        <v>13293.959706338926</v>
      </c>
      <c r="Y195">
        <v>13101.086214174264</v>
      </c>
      <c r="Z195">
        <v>13348.937535477718</v>
      </c>
      <c r="AA195">
        <v>13331.827621000642</v>
      </c>
      <c r="AB195">
        <v>13006.487718579234</v>
      </c>
      <c r="AC195">
        <v>13081.360160828839</v>
      </c>
      <c r="AD195">
        <v>13339.646613066796</v>
      </c>
      <c r="AE195">
        <v>13805.025309105527</v>
      </c>
      <c r="AF195">
        <v>13906.520809611657</v>
      </c>
      <c r="AG195">
        <v>14803.702978914342</v>
      </c>
      <c r="AH195">
        <v>15126.124771992951</v>
      </c>
      <c r="AI195">
        <v>14654.704680232724</v>
      </c>
      <c r="AJ195">
        <v>13175.66592208733</v>
      </c>
      <c r="AK195">
        <v>14392.195065575315</v>
      </c>
      <c r="AL195">
        <v>15135.339452744389</v>
      </c>
      <c r="AM195">
        <v>15299.541608481117</v>
      </c>
      <c r="AN195">
        <v>15240.90716328238</v>
      </c>
      <c r="AO195">
        <v>15148.874022542908</v>
      </c>
      <c r="AP195">
        <v>15024.813084629624</v>
      </c>
      <c r="AQ195">
        <v>14861.184628721805</v>
      </c>
      <c r="AR195">
        <v>14630.544632271887</v>
      </c>
      <c r="AS195">
        <v>14329.808786756374</v>
      </c>
      <c r="AT195">
        <v>13965.006094412458</v>
      </c>
      <c r="AU195">
        <v>13513.576858748615</v>
      </c>
      <c r="AV195">
        <v>13033.233608342985</v>
      </c>
      <c r="AW195">
        <v>12502.099059540096</v>
      </c>
      <c r="AX195">
        <v>11924.730396288329</v>
      </c>
      <c r="AY195">
        <v>11259.366234673153</v>
      </c>
      <c r="AZ195">
        <v>10594.693692406463</v>
      </c>
      <c r="BA195">
        <v>9817.7760110396011</v>
      </c>
      <c r="BB195">
        <v>9112.4806063744436</v>
      </c>
      <c r="BC195">
        <v>8219.3835163264757</v>
      </c>
      <c r="BD195">
        <v>7484.0631926590886</v>
      </c>
      <c r="BE195">
        <v>6746.0419470144307</v>
      </c>
      <c r="BF195">
        <v>6176.3147665056995</v>
      </c>
      <c r="BG195">
        <v>5565.6667560483866</v>
      </c>
      <c r="BH195">
        <v>5024.6698316076254</v>
      </c>
      <c r="BI195">
        <v>4566.0113591970485</v>
      </c>
      <c r="BJ195">
        <v>4179.3669117325471</v>
      </c>
      <c r="BK195">
        <v>3768.8571851875386</v>
      </c>
      <c r="BL195">
        <v>3416.1928762431307</v>
      </c>
      <c r="BM195">
        <v>3069.3148967902889</v>
      </c>
      <c r="BN195">
        <v>2786.3303364462827</v>
      </c>
    </row>
    <row r="196" spans="1:66" x14ac:dyDescent="0.25">
      <c r="A196" t="s">
        <v>233</v>
      </c>
      <c r="B196" t="s">
        <v>538</v>
      </c>
      <c r="C196" t="s">
        <v>532</v>
      </c>
      <c r="D196" t="s">
        <v>522</v>
      </c>
      <c r="E196" t="s">
        <v>521</v>
      </c>
      <c r="F196">
        <v>15640.940843035291</v>
      </c>
      <c r="G196">
        <v>16150.546759988883</v>
      </c>
      <c r="H196">
        <v>17648.388786263939</v>
      </c>
      <c r="I196">
        <v>16725.370693795405</v>
      </c>
      <c r="J196">
        <v>16380.548324839787</v>
      </c>
      <c r="K196">
        <v>15499.119986501893</v>
      </c>
      <c r="L196">
        <v>16964.973485962018</v>
      </c>
      <c r="M196">
        <v>18776.307489236842</v>
      </c>
      <c r="N196">
        <v>16990.87642543549</v>
      </c>
      <c r="O196">
        <v>18068.06638576484</v>
      </c>
      <c r="P196">
        <v>18247.587022073894</v>
      </c>
      <c r="Q196">
        <v>20209.470689366266</v>
      </c>
      <c r="R196">
        <v>19699.848793804682</v>
      </c>
      <c r="S196">
        <v>20589.961823411428</v>
      </c>
      <c r="T196">
        <v>19932.694122895617</v>
      </c>
      <c r="U196">
        <v>21455.132172136808</v>
      </c>
      <c r="V196">
        <v>21734.471668911941</v>
      </c>
      <c r="W196">
        <v>20224.013693454704</v>
      </c>
      <c r="X196">
        <v>21356.548009904149</v>
      </c>
      <c r="Y196">
        <v>18870.840564758502</v>
      </c>
      <c r="Z196">
        <v>18772.299934571802</v>
      </c>
      <c r="AA196">
        <v>18114.081314169005</v>
      </c>
      <c r="AB196">
        <v>19820.47191931152</v>
      </c>
      <c r="AC196">
        <v>18884.997469550366</v>
      </c>
      <c r="AD196">
        <v>18698.599087495157</v>
      </c>
      <c r="AE196">
        <v>18478.836391393874</v>
      </c>
      <c r="AF196">
        <v>16973.70962476591</v>
      </c>
      <c r="AG196">
        <v>17531.475135032353</v>
      </c>
      <c r="AH196">
        <v>17282.73541087965</v>
      </c>
      <c r="AI196">
        <v>19152.571947895391</v>
      </c>
      <c r="AJ196">
        <v>18178.313197265285</v>
      </c>
      <c r="AK196">
        <v>18396.842955843931</v>
      </c>
      <c r="AL196">
        <v>17073.801951658908</v>
      </c>
      <c r="AM196">
        <v>15751.701862452432</v>
      </c>
      <c r="AN196">
        <v>14061.439958082461</v>
      </c>
      <c r="AO196">
        <v>12487.239928835375</v>
      </c>
      <c r="AP196">
        <v>12127.661983836148</v>
      </c>
      <c r="AQ196">
        <v>11910.921796035682</v>
      </c>
      <c r="AR196">
        <v>11626.037316790087</v>
      </c>
      <c r="AS196">
        <v>11174.116238247145</v>
      </c>
      <c r="AT196">
        <v>9838.8558843512365</v>
      </c>
      <c r="AU196">
        <v>9385.8643951434933</v>
      </c>
      <c r="AV196">
        <v>9130.0129703681832</v>
      </c>
      <c r="AW196">
        <v>9115.1132099113329</v>
      </c>
      <c r="AX196">
        <v>9011.2567528605377</v>
      </c>
      <c r="AY196">
        <v>8893.2447257039294</v>
      </c>
      <c r="AZ196">
        <v>8683.3820777249439</v>
      </c>
      <c r="BA196">
        <v>8453.5079080476844</v>
      </c>
      <c r="BB196">
        <v>8250.3927655766038</v>
      </c>
      <c r="BC196">
        <v>8007.1424623864677</v>
      </c>
      <c r="BD196">
        <v>6701.3113308483762</v>
      </c>
      <c r="BE196">
        <v>6447.333203274331</v>
      </c>
      <c r="BF196">
        <v>6198.9135284563172</v>
      </c>
      <c r="BG196">
        <v>5935.183747147038</v>
      </c>
      <c r="BH196">
        <v>5701.7958024903455</v>
      </c>
      <c r="BI196">
        <v>5490.2828426096521</v>
      </c>
      <c r="BJ196">
        <v>5253.6798550538015</v>
      </c>
      <c r="BK196">
        <v>5012.7736204000357</v>
      </c>
      <c r="BL196">
        <v>4764.5977398913847</v>
      </c>
      <c r="BM196">
        <v>4440.9461932535214</v>
      </c>
      <c r="BN196">
        <v>4215.8200534644693</v>
      </c>
    </row>
    <row r="197" spans="1:66" x14ac:dyDescent="0.25">
      <c r="A197" t="s">
        <v>233</v>
      </c>
      <c r="B197" t="s">
        <v>538</v>
      </c>
      <c r="C197" t="s">
        <v>532</v>
      </c>
      <c r="D197" t="s">
        <v>523</v>
      </c>
      <c r="E197" t="s">
        <v>521</v>
      </c>
      <c r="F197">
        <v>3429.1023206090149</v>
      </c>
      <c r="G197">
        <v>3582.0933132143959</v>
      </c>
      <c r="H197">
        <v>3230.4006797977117</v>
      </c>
      <c r="I197">
        <v>3072.4080540294026</v>
      </c>
      <c r="J197">
        <v>2943.5832063652938</v>
      </c>
      <c r="K197">
        <v>3036.6428253355557</v>
      </c>
      <c r="L197">
        <v>3231.1178764295346</v>
      </c>
      <c r="M197">
        <v>3121.0509253025539</v>
      </c>
      <c r="N197">
        <v>3108.4252054479571</v>
      </c>
      <c r="O197">
        <v>3287.2502963250704</v>
      </c>
      <c r="P197">
        <v>3324.3535917273935</v>
      </c>
      <c r="Q197">
        <v>3441.9326499549325</v>
      </c>
      <c r="R197">
        <v>3562.3255597822995</v>
      </c>
      <c r="S197">
        <v>3798.3629146741546</v>
      </c>
      <c r="T197">
        <v>3833.9993752516589</v>
      </c>
      <c r="U197">
        <v>3949.7863117346769</v>
      </c>
      <c r="V197">
        <v>4067.1636114352182</v>
      </c>
      <c r="W197">
        <v>4324.6641433976283</v>
      </c>
      <c r="X197">
        <v>4207.5754142911601</v>
      </c>
      <c r="Y197">
        <v>4156.3376144420381</v>
      </c>
      <c r="Z197">
        <v>4471.2064224286651</v>
      </c>
      <c r="AA197">
        <v>4511.1732699008671</v>
      </c>
      <c r="AB197">
        <v>4584.743425822363</v>
      </c>
      <c r="AC197">
        <v>4716.1203271304976</v>
      </c>
      <c r="AD197">
        <v>4887.0741014170871</v>
      </c>
      <c r="AE197">
        <v>5014.426570819578</v>
      </c>
      <c r="AF197">
        <v>4761.4486978313562</v>
      </c>
      <c r="AG197">
        <v>4803.9943473754338</v>
      </c>
      <c r="AH197">
        <v>4679.6792337008401</v>
      </c>
      <c r="AI197">
        <v>4713.1761267541115</v>
      </c>
      <c r="AJ197">
        <v>4482.2708369643005</v>
      </c>
      <c r="AK197">
        <v>4684.6924221093332</v>
      </c>
      <c r="AL197">
        <v>4615.5306846943822</v>
      </c>
      <c r="AM197">
        <v>4588.7278472420321</v>
      </c>
      <c r="AN197">
        <v>4623.7524429021241</v>
      </c>
      <c r="AO197">
        <v>4592.0634674295143</v>
      </c>
      <c r="AP197">
        <v>4580.4770052583663</v>
      </c>
      <c r="AQ197">
        <v>4535.3377714394283</v>
      </c>
      <c r="AR197">
        <v>4495.7610058824657</v>
      </c>
      <c r="AS197">
        <v>4476.1275115818262</v>
      </c>
      <c r="AT197">
        <v>4270.9573441217153</v>
      </c>
      <c r="AU197">
        <v>4232.6105111448105</v>
      </c>
      <c r="AV197">
        <v>4196.4764030809392</v>
      </c>
      <c r="AW197">
        <v>4150.3808267369704</v>
      </c>
      <c r="AX197">
        <v>4111.4345097357145</v>
      </c>
      <c r="AY197">
        <v>4103.1405482243972</v>
      </c>
      <c r="AZ197">
        <v>4069.1491611389574</v>
      </c>
      <c r="BA197">
        <v>4047.5584375355465</v>
      </c>
      <c r="BB197">
        <v>4027.8926112094932</v>
      </c>
      <c r="BC197">
        <v>4010.2621895527127</v>
      </c>
      <c r="BD197">
        <v>3951.3474180119811</v>
      </c>
      <c r="BE197">
        <v>3939.3700154175694</v>
      </c>
      <c r="BF197">
        <v>3929.9872033702354</v>
      </c>
      <c r="BG197">
        <v>3925.4703960942347</v>
      </c>
      <c r="BH197">
        <v>3923.6671818240088</v>
      </c>
      <c r="BI197">
        <v>3924.3271067347132</v>
      </c>
      <c r="BJ197">
        <v>3928.1084086359547</v>
      </c>
      <c r="BK197">
        <v>3935.1092702728533</v>
      </c>
      <c r="BL197">
        <v>3944.0437613978957</v>
      </c>
      <c r="BM197">
        <v>3954.0820346638843</v>
      </c>
      <c r="BN197">
        <v>3966.9340482703715</v>
      </c>
    </row>
    <row r="198" spans="1:66" x14ac:dyDescent="0.25">
      <c r="A198" t="s">
        <v>233</v>
      </c>
      <c r="B198" t="s">
        <v>538</v>
      </c>
      <c r="C198" t="s">
        <v>532</v>
      </c>
      <c r="D198" t="s">
        <v>524</v>
      </c>
      <c r="E198" t="s">
        <v>521</v>
      </c>
      <c r="F198">
        <v>1816.6596733237263</v>
      </c>
      <c r="G198">
        <v>1893.7218802684215</v>
      </c>
      <c r="H198">
        <v>1971.3222733100288</v>
      </c>
      <c r="I198">
        <v>2049.4503492491226</v>
      </c>
      <c r="J198">
        <v>1947.5325263313807</v>
      </c>
      <c r="K198">
        <v>2023.8252549837712</v>
      </c>
      <c r="L198">
        <v>2102.1656796823004</v>
      </c>
      <c r="M198">
        <v>2125.7547716447093</v>
      </c>
      <c r="N198">
        <v>2086.8629737313777</v>
      </c>
      <c r="O198">
        <v>2084.0346339247499</v>
      </c>
      <c r="P198">
        <v>2103.6901401299438</v>
      </c>
      <c r="Q198">
        <v>2134.2537068539705</v>
      </c>
      <c r="R198">
        <v>2173.5947283527944</v>
      </c>
      <c r="S198">
        <v>2101.4028129686244</v>
      </c>
      <c r="T198">
        <v>2124.9026062551302</v>
      </c>
      <c r="U198">
        <v>2134.5667014321762</v>
      </c>
      <c r="V198">
        <v>1957.2003317893241</v>
      </c>
      <c r="W198">
        <v>1922.5694677164029</v>
      </c>
      <c r="X198">
        <v>1846.56179242198</v>
      </c>
      <c r="Y198">
        <v>1723.3205496528278</v>
      </c>
      <c r="Z198">
        <v>1665.7456629024559</v>
      </c>
      <c r="AA198">
        <v>1519.6605558608351</v>
      </c>
      <c r="AB198">
        <v>1410.5413176396301</v>
      </c>
      <c r="AC198">
        <v>1359.9084848190901</v>
      </c>
      <c r="AD198">
        <v>1314.1708670740722</v>
      </c>
      <c r="AE198">
        <v>1275.9271345153275</v>
      </c>
      <c r="AF198">
        <v>1246.0586846922251</v>
      </c>
      <c r="AG198">
        <v>1214.8602401561525</v>
      </c>
      <c r="AH198">
        <v>1156.3598029499428</v>
      </c>
      <c r="AI198">
        <v>1114.3950725962225</v>
      </c>
      <c r="AJ198">
        <v>1075.3643344180375</v>
      </c>
      <c r="AK198">
        <v>1058.4109684228663</v>
      </c>
      <c r="AL198">
        <v>1037.4549522386469</v>
      </c>
      <c r="AM198">
        <v>1013.2758510517407</v>
      </c>
      <c r="AN198">
        <v>991.73087463912941</v>
      </c>
      <c r="AO198">
        <v>970.67437720296823</v>
      </c>
      <c r="AP198">
        <v>949.70765952526119</v>
      </c>
      <c r="AQ198">
        <v>929.27304214105857</v>
      </c>
      <c r="AR198">
        <v>909.44593862552381</v>
      </c>
      <c r="AS198">
        <v>890.20077278003203</v>
      </c>
      <c r="AT198">
        <v>871.34442152989345</v>
      </c>
      <c r="AU198">
        <v>855.13096617355052</v>
      </c>
      <c r="AV198">
        <v>841.41236337917815</v>
      </c>
      <c r="AW198">
        <v>829.19970030628019</v>
      </c>
      <c r="AX198">
        <v>817.9153093405406</v>
      </c>
      <c r="AY198">
        <v>807.46470836703054</v>
      </c>
      <c r="AZ198">
        <v>797.42620395036988</v>
      </c>
      <c r="BA198">
        <v>787.78538634656923</v>
      </c>
      <c r="BB198">
        <v>778.52302611877394</v>
      </c>
      <c r="BC198">
        <v>769.52124022599696</v>
      </c>
      <c r="BD198">
        <v>760.91723140991348</v>
      </c>
      <c r="BE198">
        <v>752.88875096146035</v>
      </c>
      <c r="BF198">
        <v>744.94510574082778</v>
      </c>
      <c r="BG198">
        <v>737.09867059669966</v>
      </c>
      <c r="BH198">
        <v>729.27900666319317</v>
      </c>
      <c r="BI198">
        <v>721.61410586977718</v>
      </c>
      <c r="BJ198">
        <v>713.93666109206413</v>
      </c>
      <c r="BK198">
        <v>706.12882410345969</v>
      </c>
      <c r="BL198">
        <v>698.26931167350097</v>
      </c>
      <c r="BM198">
        <v>690.39560248839609</v>
      </c>
      <c r="BN198">
        <v>682.52326736644579</v>
      </c>
    </row>
    <row r="199" spans="1:66" x14ac:dyDescent="0.25">
      <c r="A199" t="s">
        <v>233</v>
      </c>
      <c r="B199" t="s">
        <v>538</v>
      </c>
      <c r="C199" t="s">
        <v>532</v>
      </c>
      <c r="D199" t="s">
        <v>525</v>
      </c>
      <c r="E199" t="s">
        <v>521</v>
      </c>
      <c r="F199">
        <v>29012.897398845394</v>
      </c>
      <c r="G199">
        <v>29733.023075344903</v>
      </c>
      <c r="H199">
        <v>31320.108193971439</v>
      </c>
      <c r="I199">
        <v>30769.917679558341</v>
      </c>
      <c r="J199">
        <v>30855.464305886358</v>
      </c>
      <c r="K199">
        <v>30807.15278760434</v>
      </c>
      <c r="L199">
        <v>32676.98144102552</v>
      </c>
      <c r="M199">
        <v>34628.447074801872</v>
      </c>
      <c r="N199">
        <v>32996.622945367468</v>
      </c>
      <c r="O199">
        <v>34535.956774742503</v>
      </c>
      <c r="P199">
        <v>35323.941097221861</v>
      </c>
      <c r="Q199">
        <v>37491.528269252616</v>
      </c>
      <c r="R199">
        <v>37597.790313188299</v>
      </c>
      <c r="S199">
        <v>39187.525100695137</v>
      </c>
      <c r="T199">
        <v>38883.963267331026</v>
      </c>
      <c r="U199">
        <v>40602.92604799055</v>
      </c>
      <c r="V199">
        <v>40941.03411633549</v>
      </c>
      <c r="W199">
        <v>39756.054114169223</v>
      </c>
      <c r="X199">
        <v>40704.644922956213</v>
      </c>
      <c r="Y199">
        <v>37851.584943027628</v>
      </c>
      <c r="Z199">
        <v>38258.189555380639</v>
      </c>
      <c r="AA199">
        <v>37476.742760931345</v>
      </c>
      <c r="AB199">
        <v>38822.24438135275</v>
      </c>
      <c r="AC199">
        <v>38042.386442328796</v>
      </c>
      <c r="AD199">
        <v>38239.490669053106</v>
      </c>
      <c r="AE199">
        <v>38574.2154058343</v>
      </c>
      <c r="AF199">
        <v>36887.73781690115</v>
      </c>
      <c r="AG199">
        <v>38354.032701478282</v>
      </c>
      <c r="AH199">
        <v>38244.89921952338</v>
      </c>
      <c r="AI199">
        <v>39634.847827478443</v>
      </c>
      <c r="AJ199">
        <v>36911.614290734949</v>
      </c>
      <c r="AK199">
        <v>38532.141411951452</v>
      </c>
      <c r="AL199">
        <v>37862.127041336324</v>
      </c>
      <c r="AM199">
        <v>36653.247169227317</v>
      </c>
      <c r="AN199">
        <v>34917.830438906094</v>
      </c>
      <c r="AO199">
        <v>33198.851796010764</v>
      </c>
      <c r="AP199">
        <v>32682.659733249398</v>
      </c>
      <c r="AQ199">
        <v>32236.717238337973</v>
      </c>
      <c r="AR199">
        <v>31661.788893569963</v>
      </c>
      <c r="AS199">
        <v>30870.25330936538</v>
      </c>
      <c r="AT199">
        <v>28946.163744415302</v>
      </c>
      <c r="AU199">
        <v>27987.182731210472</v>
      </c>
      <c r="AV199">
        <v>27201.135345171286</v>
      </c>
      <c r="AW199">
        <v>26596.792796494679</v>
      </c>
      <c r="AX199">
        <v>25865.336968225121</v>
      </c>
      <c r="AY199">
        <v>25063.216216968511</v>
      </c>
      <c r="AZ199">
        <v>24144.651135220734</v>
      </c>
      <c r="BA199">
        <v>23106.627742969398</v>
      </c>
      <c r="BB199">
        <v>22169.289009279317</v>
      </c>
      <c r="BC199">
        <v>21006.309408491652</v>
      </c>
      <c r="BD199">
        <v>18897.639172929357</v>
      </c>
      <c r="BE199">
        <v>17885.63391666779</v>
      </c>
      <c r="BF199">
        <v>17050.16060407308</v>
      </c>
      <c r="BG199">
        <v>16163.419569886359</v>
      </c>
      <c r="BH199">
        <v>15379.411822585173</v>
      </c>
      <c r="BI199">
        <v>14702.235414411191</v>
      </c>
      <c r="BJ199">
        <v>14075.091836514368</v>
      </c>
      <c r="BK199">
        <v>13422.868899963887</v>
      </c>
      <c r="BL199">
        <v>12823.103689205911</v>
      </c>
      <c r="BM199">
        <v>12154.738727196091</v>
      </c>
      <c r="BN199">
        <v>11651.607705547569</v>
      </c>
    </row>
    <row r="200" spans="1:66" x14ac:dyDescent="0.25">
      <c r="A200" t="s">
        <v>234</v>
      </c>
      <c r="B200" t="s">
        <v>538</v>
      </c>
      <c r="C200" t="s">
        <v>533</v>
      </c>
      <c r="D200" t="s">
        <v>518</v>
      </c>
      <c r="E200" t="s">
        <v>519</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11.416538041464802</v>
      </c>
      <c r="AA200">
        <v>8.7327708333333316</v>
      </c>
      <c r="AB200">
        <v>2.2770791666666668</v>
      </c>
      <c r="AC200">
        <v>1.3566666666666667</v>
      </c>
      <c r="AD200">
        <v>1.9666666666666663</v>
      </c>
      <c r="AE200">
        <v>4.4622309027777769</v>
      </c>
      <c r="AF200">
        <v>7.7698003472222208</v>
      </c>
      <c r="AG200">
        <v>11.941235920833332</v>
      </c>
      <c r="AH200">
        <v>18.817684762500001</v>
      </c>
      <c r="AI200">
        <v>24.5</v>
      </c>
      <c r="AJ200">
        <v>30</v>
      </c>
      <c r="AK200">
        <v>46.305643178011259</v>
      </c>
      <c r="AL200">
        <v>69.696559398715706</v>
      </c>
      <c r="AM200">
        <v>50</v>
      </c>
      <c r="AN200">
        <v>51.5</v>
      </c>
      <c r="AO200">
        <v>53.045000000000002</v>
      </c>
      <c r="AP200">
        <v>54.63635</v>
      </c>
      <c r="AQ200">
        <v>56.275440500000002</v>
      </c>
      <c r="AR200">
        <v>57.963703715000001</v>
      </c>
      <c r="AS200">
        <v>59.702614826450002</v>
      </c>
      <c r="AT200">
        <v>61.493693271243501</v>
      </c>
      <c r="AU200">
        <v>63.338504069380811</v>
      </c>
      <c r="AV200">
        <v>65.238659191462233</v>
      </c>
      <c r="AW200">
        <v>67.195818967206108</v>
      </c>
      <c r="AX200">
        <v>69.211693536222299</v>
      </c>
      <c r="AY200">
        <v>71.288044342308964</v>
      </c>
      <c r="AZ200">
        <v>73.42668567257823</v>
      </c>
      <c r="BA200">
        <v>75.629486242755576</v>
      </c>
      <c r="BB200">
        <v>77.898370830038246</v>
      </c>
      <c r="BC200">
        <v>80.235321954939394</v>
      </c>
      <c r="BD200">
        <v>82.642381613587574</v>
      </c>
      <c r="BE200">
        <v>85.121653061995204</v>
      </c>
      <c r="BF200">
        <v>87.675302653855056</v>
      </c>
      <c r="BG200">
        <v>90.305561733470711</v>
      </c>
      <c r="BH200">
        <v>93.014728585474828</v>
      </c>
      <c r="BI200">
        <v>95.805170443039074</v>
      </c>
      <c r="BJ200">
        <v>98.679325556330255</v>
      </c>
      <c r="BK200">
        <v>101.63970532302017</v>
      </c>
      <c r="BL200">
        <v>104.68889648271077</v>
      </c>
      <c r="BM200">
        <v>107.8295633771921</v>
      </c>
      <c r="BN200">
        <v>111.06445027850786</v>
      </c>
    </row>
    <row r="201" spans="1:66" x14ac:dyDescent="0.25">
      <c r="A201" t="s">
        <v>234</v>
      </c>
      <c r="B201" t="s">
        <v>538</v>
      </c>
      <c r="C201" t="s">
        <v>533</v>
      </c>
      <c r="D201" t="s">
        <v>520</v>
      </c>
      <c r="E201" t="s">
        <v>521</v>
      </c>
      <c r="F201">
        <v>8126.1945618773643</v>
      </c>
      <c r="G201">
        <v>8106.661121873205</v>
      </c>
      <c r="H201">
        <v>8469.9964545997555</v>
      </c>
      <c r="I201">
        <v>8922.6885824844103</v>
      </c>
      <c r="J201">
        <v>9583.8002483498967</v>
      </c>
      <c r="K201">
        <v>10247.564720783123</v>
      </c>
      <c r="L201">
        <v>10378.724398951666</v>
      </c>
      <c r="M201">
        <v>10605.333888617772</v>
      </c>
      <c r="N201">
        <v>10810.458340752642</v>
      </c>
      <c r="O201">
        <v>11096.605458727845</v>
      </c>
      <c r="P201">
        <v>11648.310343290637</v>
      </c>
      <c r="Q201">
        <v>11705.871223077451</v>
      </c>
      <c r="R201">
        <v>12162.021231248526</v>
      </c>
      <c r="S201">
        <v>12697.797549640931</v>
      </c>
      <c r="T201">
        <v>12992.367162928625</v>
      </c>
      <c r="U201">
        <v>13063.440862686894</v>
      </c>
      <c r="V201">
        <v>13182.198504199005</v>
      </c>
      <c r="W201">
        <v>13284.806809600492</v>
      </c>
      <c r="X201">
        <v>13293.959706338926</v>
      </c>
      <c r="Y201">
        <v>13101.086214174264</v>
      </c>
      <c r="Z201">
        <v>13348.937535477718</v>
      </c>
      <c r="AA201">
        <v>13331.827621000642</v>
      </c>
      <c r="AB201">
        <v>13006.487718579234</v>
      </c>
      <c r="AC201">
        <v>13081.360160828839</v>
      </c>
      <c r="AD201">
        <v>13339.646613066796</v>
      </c>
      <c r="AE201">
        <v>13805.025309105527</v>
      </c>
      <c r="AF201">
        <v>13906.520809611657</v>
      </c>
      <c r="AG201">
        <v>14803.702978914342</v>
      </c>
      <c r="AH201">
        <v>15126.124771992951</v>
      </c>
      <c r="AI201">
        <v>14654.704680232724</v>
      </c>
      <c r="AJ201">
        <v>13175.66592208733</v>
      </c>
      <c r="AK201">
        <v>14392.195065575315</v>
      </c>
      <c r="AL201">
        <v>15135.531379382821</v>
      </c>
      <c r="AM201">
        <v>15304.336842135976</v>
      </c>
      <c r="AN201">
        <v>15259.698159726586</v>
      </c>
      <c r="AO201">
        <v>15195.432454405358</v>
      </c>
      <c r="AP201">
        <v>15118.072296532899</v>
      </c>
      <c r="AQ201">
        <v>15003.375201276614</v>
      </c>
      <c r="AR201">
        <v>14821.824799590162</v>
      </c>
      <c r="AS201">
        <v>14600.976509293574</v>
      </c>
      <c r="AT201">
        <v>14318.737500495015</v>
      </c>
      <c r="AU201">
        <v>13971.45195712171</v>
      </c>
      <c r="AV201">
        <v>13593.185423612498</v>
      </c>
      <c r="AW201">
        <v>13089.618870162731</v>
      </c>
      <c r="AX201">
        <v>12530.178340504403</v>
      </c>
      <c r="AY201">
        <v>11923.102993271203</v>
      </c>
      <c r="AZ201">
        <v>11261.596804012819</v>
      </c>
      <c r="BA201">
        <v>10530.633109571585</v>
      </c>
      <c r="BB201">
        <v>9810.1013799803623</v>
      </c>
      <c r="BC201">
        <v>9025.0075094136955</v>
      </c>
      <c r="BD201">
        <v>8294.8496311839208</v>
      </c>
      <c r="BE201">
        <v>7541.2923957553876</v>
      </c>
      <c r="BF201">
        <v>6844.6984077864736</v>
      </c>
      <c r="BG201">
        <v>6276.2054593675357</v>
      </c>
      <c r="BH201">
        <v>5673.0028205178814</v>
      </c>
      <c r="BI201">
        <v>5121.5925891757224</v>
      </c>
      <c r="BJ201">
        <v>4660.647216614776</v>
      </c>
      <c r="BK201">
        <v>4221.5322210193153</v>
      </c>
      <c r="BL201">
        <v>3822.2502971808353</v>
      </c>
      <c r="BM201">
        <v>3476.2421628965503</v>
      </c>
      <c r="BN201">
        <v>3154.5154348518358</v>
      </c>
    </row>
    <row r="202" spans="1:66" x14ac:dyDescent="0.25">
      <c r="A202" t="s">
        <v>234</v>
      </c>
      <c r="B202" t="s">
        <v>538</v>
      </c>
      <c r="C202" t="s">
        <v>533</v>
      </c>
      <c r="D202" t="s">
        <v>522</v>
      </c>
      <c r="E202" t="s">
        <v>521</v>
      </c>
      <c r="F202">
        <v>15640.940843035291</v>
      </c>
      <c r="G202">
        <v>16150.546759988883</v>
      </c>
      <c r="H202">
        <v>17648.388786263939</v>
      </c>
      <c r="I202">
        <v>16725.370693795405</v>
      </c>
      <c r="J202">
        <v>16380.548324839787</v>
      </c>
      <c r="K202">
        <v>15499.119986501893</v>
      </c>
      <c r="L202">
        <v>16964.973485962018</v>
      </c>
      <c r="M202">
        <v>18776.307489236842</v>
      </c>
      <c r="N202">
        <v>16990.87642543549</v>
      </c>
      <c r="O202">
        <v>18068.06638576484</v>
      </c>
      <c r="P202">
        <v>18247.587022073894</v>
      </c>
      <c r="Q202">
        <v>20209.470689366266</v>
      </c>
      <c r="R202">
        <v>19699.848793804682</v>
      </c>
      <c r="S202">
        <v>20589.961823411428</v>
      </c>
      <c r="T202">
        <v>19932.694122895617</v>
      </c>
      <c r="U202">
        <v>21455.132172136808</v>
      </c>
      <c r="V202">
        <v>21734.471668911941</v>
      </c>
      <c r="W202">
        <v>20224.013693454704</v>
      </c>
      <c r="X202">
        <v>21356.548009904149</v>
      </c>
      <c r="Y202">
        <v>18870.840564758502</v>
      </c>
      <c r="Z202">
        <v>18772.299934571802</v>
      </c>
      <c r="AA202">
        <v>18114.081314169005</v>
      </c>
      <c r="AB202">
        <v>19820.47191931152</v>
      </c>
      <c r="AC202">
        <v>18884.997469550366</v>
      </c>
      <c r="AD202">
        <v>18698.599087495157</v>
      </c>
      <c r="AE202">
        <v>18478.836391393874</v>
      </c>
      <c r="AF202">
        <v>16973.70962476591</v>
      </c>
      <c r="AG202">
        <v>17531.475135032353</v>
      </c>
      <c r="AH202">
        <v>17282.73541087965</v>
      </c>
      <c r="AI202">
        <v>19152.571947895391</v>
      </c>
      <c r="AJ202">
        <v>18178.313197265285</v>
      </c>
      <c r="AK202">
        <v>18396.842955843931</v>
      </c>
      <c r="AL202">
        <v>17143.161884363748</v>
      </c>
      <c r="AM202">
        <v>16457.333893809162</v>
      </c>
      <c r="AN202">
        <v>15728.316445361912</v>
      </c>
      <c r="AO202">
        <v>15230.331162029037</v>
      </c>
      <c r="AP202">
        <v>15110.40847438104</v>
      </c>
      <c r="AQ202">
        <v>14998.20150974147</v>
      </c>
      <c r="AR202">
        <v>14913.420184629536</v>
      </c>
      <c r="AS202">
        <v>14952.746129121773</v>
      </c>
      <c r="AT202">
        <v>14162.984239713864</v>
      </c>
      <c r="AU202">
        <v>14113.284560106586</v>
      </c>
      <c r="AV202">
        <v>13994.30996389135</v>
      </c>
      <c r="AW202">
        <v>13968.090022239832</v>
      </c>
      <c r="AX202">
        <v>13923.697441757882</v>
      </c>
      <c r="AY202">
        <v>13855.880688555269</v>
      </c>
      <c r="AZ202">
        <v>13704.441454341379</v>
      </c>
      <c r="BA202">
        <v>13537.925667797799</v>
      </c>
      <c r="BB202">
        <v>13407.884147622983</v>
      </c>
      <c r="BC202">
        <v>13228.935304699737</v>
      </c>
      <c r="BD202">
        <v>12233.841848740327</v>
      </c>
      <c r="BE202">
        <v>11952.847061624714</v>
      </c>
      <c r="BF202">
        <v>11404.538528098114</v>
      </c>
      <c r="BG202">
        <v>11059.643292447538</v>
      </c>
      <c r="BH202">
        <v>10710.04609482552</v>
      </c>
      <c r="BI202">
        <v>10324.657685569067</v>
      </c>
      <c r="BJ202">
        <v>9951.9193182049221</v>
      </c>
      <c r="BK202">
        <v>9585.2973663518551</v>
      </c>
      <c r="BL202">
        <v>9210.9146249377263</v>
      </c>
      <c r="BM202">
        <v>8835.8498126557752</v>
      </c>
      <c r="BN202">
        <v>8481.3571432722292</v>
      </c>
    </row>
    <row r="203" spans="1:66" x14ac:dyDescent="0.25">
      <c r="A203" t="s">
        <v>234</v>
      </c>
      <c r="B203" t="s">
        <v>538</v>
      </c>
      <c r="C203" t="s">
        <v>533</v>
      </c>
      <c r="D203" t="s">
        <v>523</v>
      </c>
      <c r="E203" t="s">
        <v>521</v>
      </c>
      <c r="F203">
        <v>3429.1023206090149</v>
      </c>
      <c r="G203">
        <v>3582.0933132143959</v>
      </c>
      <c r="H203">
        <v>3230.4006797977117</v>
      </c>
      <c r="I203">
        <v>3072.4080540294026</v>
      </c>
      <c r="J203">
        <v>2943.5832063652938</v>
      </c>
      <c r="K203">
        <v>3036.6428253355557</v>
      </c>
      <c r="L203">
        <v>3231.1178764295346</v>
      </c>
      <c r="M203">
        <v>3121.0509253025539</v>
      </c>
      <c r="N203">
        <v>3108.4252054479571</v>
      </c>
      <c r="O203">
        <v>3287.2502963250704</v>
      </c>
      <c r="P203">
        <v>3324.3535917273935</v>
      </c>
      <c r="Q203">
        <v>3441.9326499549325</v>
      </c>
      <c r="R203">
        <v>3562.3255597822995</v>
      </c>
      <c r="S203">
        <v>3798.3629146741546</v>
      </c>
      <c r="T203">
        <v>3833.9993752516589</v>
      </c>
      <c r="U203">
        <v>3949.7863117346769</v>
      </c>
      <c r="V203">
        <v>4067.1636114352182</v>
      </c>
      <c r="W203">
        <v>4324.6641433976283</v>
      </c>
      <c r="X203">
        <v>4207.5754142911601</v>
      </c>
      <c r="Y203">
        <v>4156.3376144420381</v>
      </c>
      <c r="Z203">
        <v>4471.2064224286651</v>
      </c>
      <c r="AA203">
        <v>4511.1732699008671</v>
      </c>
      <c r="AB203">
        <v>4584.743425822363</v>
      </c>
      <c r="AC203">
        <v>4716.1203271304976</v>
      </c>
      <c r="AD203">
        <v>4887.0741014170871</v>
      </c>
      <c r="AE203">
        <v>5014.426570819578</v>
      </c>
      <c r="AF203">
        <v>4761.4486978313562</v>
      </c>
      <c r="AG203">
        <v>4803.9943473754338</v>
      </c>
      <c r="AH203">
        <v>4679.6792337008401</v>
      </c>
      <c r="AI203">
        <v>4713.1761267541115</v>
      </c>
      <c r="AJ203">
        <v>4482.2708369643005</v>
      </c>
      <c r="AK203">
        <v>4684.6924221093332</v>
      </c>
      <c r="AL203">
        <v>4615.5306846943831</v>
      </c>
      <c r="AM203">
        <v>4588.727847242033</v>
      </c>
      <c r="AN203">
        <v>4623.7524429021241</v>
      </c>
      <c r="AO203">
        <v>4592.0634674295143</v>
      </c>
      <c r="AP203">
        <v>4580.4770052583663</v>
      </c>
      <c r="AQ203">
        <v>4535.3377714394283</v>
      </c>
      <c r="AR203">
        <v>4495.7610058824666</v>
      </c>
      <c r="AS203">
        <v>4476.1275115818262</v>
      </c>
      <c r="AT203">
        <v>4270.9573441217153</v>
      </c>
      <c r="AU203">
        <v>4232.6105111448087</v>
      </c>
      <c r="AV203">
        <v>4196.4764030809392</v>
      </c>
      <c r="AW203">
        <v>4150.3808267369704</v>
      </c>
      <c r="AX203">
        <v>4111.4345097357136</v>
      </c>
      <c r="AY203">
        <v>4103.1405482243981</v>
      </c>
      <c r="AZ203">
        <v>4069.1491611389579</v>
      </c>
      <c r="BA203">
        <v>4047.558437535547</v>
      </c>
      <c r="BB203">
        <v>4027.8926112094928</v>
      </c>
      <c r="BC203">
        <v>4010.2621895527127</v>
      </c>
      <c r="BD203">
        <v>3951.3474180119811</v>
      </c>
      <c r="BE203">
        <v>3939.3700154175699</v>
      </c>
      <c r="BF203">
        <v>3929.9872033702354</v>
      </c>
      <c r="BG203">
        <v>3925.4703960942347</v>
      </c>
      <c r="BH203">
        <v>3923.6671818240088</v>
      </c>
      <c r="BI203">
        <v>3924.3271067347137</v>
      </c>
      <c r="BJ203">
        <v>3928.1084086359542</v>
      </c>
      <c r="BK203">
        <v>3935.1092702728538</v>
      </c>
      <c r="BL203">
        <v>3944.0437613978961</v>
      </c>
      <c r="BM203">
        <v>3954.0820346638843</v>
      </c>
      <c r="BN203">
        <v>3966.934048270371</v>
      </c>
    </row>
    <row r="204" spans="1:66" x14ac:dyDescent="0.25">
      <c r="A204" t="s">
        <v>234</v>
      </c>
      <c r="B204" t="s">
        <v>538</v>
      </c>
      <c r="C204" t="s">
        <v>533</v>
      </c>
      <c r="D204" t="s">
        <v>524</v>
      </c>
      <c r="E204" t="s">
        <v>521</v>
      </c>
      <c r="F204">
        <v>1816.6596733237263</v>
      </c>
      <c r="G204">
        <v>1893.7218802684215</v>
      </c>
      <c r="H204">
        <v>1971.3222733100288</v>
      </c>
      <c r="I204">
        <v>2049.4503492491226</v>
      </c>
      <c r="J204">
        <v>1947.5325263313807</v>
      </c>
      <c r="K204">
        <v>2023.8252549837712</v>
      </c>
      <c r="L204">
        <v>2102.1656796823004</v>
      </c>
      <c r="M204">
        <v>2125.7547716447093</v>
      </c>
      <c r="N204">
        <v>2086.8629737313777</v>
      </c>
      <c r="O204">
        <v>2084.0346339247499</v>
      </c>
      <c r="P204">
        <v>2103.6901401299438</v>
      </c>
      <c r="Q204">
        <v>2134.2537068539705</v>
      </c>
      <c r="R204">
        <v>2173.5947283527944</v>
      </c>
      <c r="S204">
        <v>2101.4028129686244</v>
      </c>
      <c r="T204">
        <v>2124.9026062551302</v>
      </c>
      <c r="U204">
        <v>2134.5667014321762</v>
      </c>
      <c r="V204">
        <v>1957.2003317893241</v>
      </c>
      <c r="W204">
        <v>1922.5694677164029</v>
      </c>
      <c r="X204">
        <v>1846.56179242198</v>
      </c>
      <c r="Y204">
        <v>1723.3205496528278</v>
      </c>
      <c r="Z204">
        <v>1665.7456629024559</v>
      </c>
      <c r="AA204">
        <v>1519.6605558608351</v>
      </c>
      <c r="AB204">
        <v>1410.5413176396301</v>
      </c>
      <c r="AC204">
        <v>1359.9084848190901</v>
      </c>
      <c r="AD204">
        <v>1314.1708670740722</v>
      </c>
      <c r="AE204">
        <v>1275.9271345153275</v>
      </c>
      <c r="AF204">
        <v>1246.0586846922251</v>
      </c>
      <c r="AG204">
        <v>1214.8602401561525</v>
      </c>
      <c r="AH204">
        <v>1156.3598029499428</v>
      </c>
      <c r="AI204">
        <v>1114.3950725962225</v>
      </c>
      <c r="AJ204">
        <v>1075.3643344180375</v>
      </c>
      <c r="AK204">
        <v>1058.4109684228663</v>
      </c>
      <c r="AL204">
        <v>1037.4549522386469</v>
      </c>
      <c r="AM204">
        <v>1013.2758510517407</v>
      </c>
      <c r="AN204">
        <v>991.73087463912941</v>
      </c>
      <c r="AO204">
        <v>970.67437720296823</v>
      </c>
      <c r="AP204">
        <v>949.70765952526119</v>
      </c>
      <c r="AQ204">
        <v>929.27304214105857</v>
      </c>
      <c r="AR204">
        <v>909.44593862552381</v>
      </c>
      <c r="AS204">
        <v>890.20077278003203</v>
      </c>
      <c r="AT204">
        <v>871.34442152989345</v>
      </c>
      <c r="AU204">
        <v>855.13096617355052</v>
      </c>
      <c r="AV204">
        <v>841.41236337917815</v>
      </c>
      <c r="AW204">
        <v>829.19970030628019</v>
      </c>
      <c r="AX204">
        <v>817.9153093405406</v>
      </c>
      <c r="AY204">
        <v>807.46470836703054</v>
      </c>
      <c r="AZ204">
        <v>797.42620395036988</v>
      </c>
      <c r="BA204">
        <v>787.78538634656923</v>
      </c>
      <c r="BB204">
        <v>778.52302611877394</v>
      </c>
      <c r="BC204">
        <v>769.52124022599696</v>
      </c>
      <c r="BD204">
        <v>760.91723140991348</v>
      </c>
      <c r="BE204">
        <v>752.88875096146035</v>
      </c>
      <c r="BF204">
        <v>744.94510574082778</v>
      </c>
      <c r="BG204">
        <v>737.09867059669966</v>
      </c>
      <c r="BH204">
        <v>729.27900666319317</v>
      </c>
      <c r="BI204">
        <v>721.61410586977718</v>
      </c>
      <c r="BJ204">
        <v>713.93666109206413</v>
      </c>
      <c r="BK204">
        <v>706.12882410345969</v>
      </c>
      <c r="BL204">
        <v>698.26931167350097</v>
      </c>
      <c r="BM204">
        <v>690.39560248839609</v>
      </c>
      <c r="BN204">
        <v>682.52326736644579</v>
      </c>
    </row>
    <row r="205" spans="1:66" x14ac:dyDescent="0.25">
      <c r="A205" t="s">
        <v>234</v>
      </c>
      <c r="B205" t="s">
        <v>538</v>
      </c>
      <c r="C205" t="s">
        <v>533</v>
      </c>
      <c r="D205" t="s">
        <v>525</v>
      </c>
      <c r="E205" t="s">
        <v>521</v>
      </c>
      <c r="F205">
        <v>29012.897398845394</v>
      </c>
      <c r="G205">
        <v>29733.023075344903</v>
      </c>
      <c r="H205">
        <v>31320.108193971439</v>
      </c>
      <c r="I205">
        <v>30769.917679558341</v>
      </c>
      <c r="J205">
        <v>30855.464305886358</v>
      </c>
      <c r="K205">
        <v>30807.15278760434</v>
      </c>
      <c r="L205">
        <v>32676.98144102552</v>
      </c>
      <c r="M205">
        <v>34628.447074801872</v>
      </c>
      <c r="N205">
        <v>32996.622945367468</v>
      </c>
      <c r="O205">
        <v>34535.956774742503</v>
      </c>
      <c r="P205">
        <v>35323.941097221861</v>
      </c>
      <c r="Q205">
        <v>37491.528269252616</v>
      </c>
      <c r="R205">
        <v>37597.790313188299</v>
      </c>
      <c r="S205">
        <v>39187.525100695137</v>
      </c>
      <c r="T205">
        <v>38883.963267331026</v>
      </c>
      <c r="U205">
        <v>40602.92604799055</v>
      </c>
      <c r="V205">
        <v>40941.03411633549</v>
      </c>
      <c r="W205">
        <v>39756.054114169223</v>
      </c>
      <c r="X205">
        <v>40704.644922956213</v>
      </c>
      <c r="Y205">
        <v>37851.584943027628</v>
      </c>
      <c r="Z205">
        <v>38258.189555380639</v>
      </c>
      <c r="AA205">
        <v>37476.742760931345</v>
      </c>
      <c r="AB205">
        <v>38822.24438135275</v>
      </c>
      <c r="AC205">
        <v>38042.386442328796</v>
      </c>
      <c r="AD205">
        <v>38239.490669053106</v>
      </c>
      <c r="AE205">
        <v>38574.2154058343</v>
      </c>
      <c r="AF205">
        <v>36887.73781690115</v>
      </c>
      <c r="AG205">
        <v>38354.032701478282</v>
      </c>
      <c r="AH205">
        <v>38244.89921952338</v>
      </c>
      <c r="AI205">
        <v>39634.847827478443</v>
      </c>
      <c r="AJ205">
        <v>36911.614290734949</v>
      </c>
      <c r="AK205">
        <v>38532.141411951452</v>
      </c>
      <c r="AL205">
        <v>37931.678900679595</v>
      </c>
      <c r="AM205">
        <v>37363.674434238907</v>
      </c>
      <c r="AN205">
        <v>36603.497922629751</v>
      </c>
      <c r="AO205">
        <v>35988.501461066873</v>
      </c>
      <c r="AP205">
        <v>35758.665435697563</v>
      </c>
      <c r="AQ205">
        <v>35466.187524598572</v>
      </c>
      <c r="AR205">
        <v>35140.451928727693</v>
      </c>
      <c r="AS205">
        <v>34920.050922777205</v>
      </c>
      <c r="AT205">
        <v>33624.023505860489</v>
      </c>
      <c r="AU205">
        <v>33172.477994546658</v>
      </c>
      <c r="AV205">
        <v>32625.384153963965</v>
      </c>
      <c r="AW205">
        <v>32037.289419445813</v>
      </c>
      <c r="AX205">
        <v>31383.225601338541</v>
      </c>
      <c r="AY205">
        <v>30689.588938417903</v>
      </c>
      <c r="AZ205">
        <v>29832.613623443525</v>
      </c>
      <c r="BA205">
        <v>28903.902601251499</v>
      </c>
      <c r="BB205">
        <v>28024.401164931613</v>
      </c>
      <c r="BC205">
        <v>27033.726243892143</v>
      </c>
      <c r="BD205">
        <v>25240.956129346141</v>
      </c>
      <c r="BE205">
        <v>24186.398223759134</v>
      </c>
      <c r="BF205">
        <v>22924.169244995646</v>
      </c>
      <c r="BG205">
        <v>21998.417818506008</v>
      </c>
      <c r="BH205">
        <v>21035.995103830606</v>
      </c>
      <c r="BI205">
        <v>20092.191487349279</v>
      </c>
      <c r="BJ205">
        <v>19254.611604547714</v>
      </c>
      <c r="BK205">
        <v>18448.067681747485</v>
      </c>
      <c r="BL205">
        <v>17675.477995189962</v>
      </c>
      <c r="BM205">
        <v>16956.569612704607</v>
      </c>
      <c r="BN205">
        <v>16285.32989376088</v>
      </c>
    </row>
    <row r="206" spans="1:66" x14ac:dyDescent="0.25">
      <c r="A206" t="s">
        <v>235</v>
      </c>
      <c r="B206" t="s">
        <v>538</v>
      </c>
      <c r="C206" t="s">
        <v>534</v>
      </c>
      <c r="D206" t="s">
        <v>518</v>
      </c>
      <c r="E206" t="s">
        <v>519</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11.416538041464802</v>
      </c>
      <c r="AA206">
        <v>8.7327708333333316</v>
      </c>
      <c r="AB206">
        <v>2.2770791666666668</v>
      </c>
      <c r="AC206">
        <v>1.3566666666666667</v>
      </c>
      <c r="AD206">
        <v>1.9666666666666663</v>
      </c>
      <c r="AE206">
        <v>4.4622309027777769</v>
      </c>
      <c r="AF206">
        <v>7.7698003472222208</v>
      </c>
      <c r="AG206">
        <v>11.941235920833332</v>
      </c>
      <c r="AH206">
        <v>18.817684762500001</v>
      </c>
      <c r="AI206">
        <v>24.5</v>
      </c>
      <c r="AJ206">
        <v>30</v>
      </c>
      <c r="AK206">
        <v>46.305643178011259</v>
      </c>
      <c r="AL206">
        <v>69.696559398715706</v>
      </c>
      <c r="AM206">
        <v>78.978951484932111</v>
      </c>
      <c r="AN206">
        <v>88.261343571148515</v>
      </c>
      <c r="AO206">
        <v>97.54373565736492</v>
      </c>
      <c r="AP206">
        <v>106.82612774358132</v>
      </c>
      <c r="AQ206">
        <v>116.10851982979773</v>
      </c>
      <c r="AR206">
        <v>125.39091191601413</v>
      </c>
      <c r="AS206">
        <v>134.67330400223054</v>
      </c>
      <c r="AT206">
        <v>143.95569608844693</v>
      </c>
      <c r="AU206">
        <v>148.27436697110033</v>
      </c>
      <c r="AV206">
        <v>152.72259798023336</v>
      </c>
      <c r="AW206">
        <v>157.30427591964036</v>
      </c>
      <c r="AX206">
        <v>162.02340419722958</v>
      </c>
      <c r="AY206">
        <v>166.88410632314648</v>
      </c>
      <c r="AZ206">
        <v>171.89062951284089</v>
      </c>
      <c r="BA206">
        <v>177.04734839822612</v>
      </c>
      <c r="BB206">
        <v>182.35876885017291</v>
      </c>
      <c r="BC206">
        <v>187.8295319156781</v>
      </c>
      <c r="BD206">
        <v>193.46441787314845</v>
      </c>
      <c r="BE206">
        <v>199.2683504093429</v>
      </c>
      <c r="BF206">
        <v>205.24640092162321</v>
      </c>
      <c r="BG206">
        <v>211.40379294927192</v>
      </c>
      <c r="BH206">
        <v>217.74590673775009</v>
      </c>
      <c r="BI206">
        <v>224.27828393988258</v>
      </c>
      <c r="BJ206">
        <v>231.00663245807908</v>
      </c>
      <c r="BK206">
        <v>237.93683143182147</v>
      </c>
      <c r="BL206">
        <v>245.07493637477612</v>
      </c>
      <c r="BM206">
        <v>252.42718446601941</v>
      </c>
      <c r="BN206">
        <v>260</v>
      </c>
    </row>
    <row r="207" spans="1:66" x14ac:dyDescent="0.25">
      <c r="A207" t="s">
        <v>235</v>
      </c>
      <c r="B207" t="s">
        <v>538</v>
      </c>
      <c r="C207" t="s">
        <v>534</v>
      </c>
      <c r="D207" t="s">
        <v>520</v>
      </c>
      <c r="E207" t="s">
        <v>521</v>
      </c>
      <c r="F207">
        <v>8126.1945618773643</v>
      </c>
      <c r="G207">
        <v>8106.661121873205</v>
      </c>
      <c r="H207">
        <v>8469.9964545997555</v>
      </c>
      <c r="I207">
        <v>8922.6885824844103</v>
      </c>
      <c r="J207">
        <v>9583.8002483498967</v>
      </c>
      <c r="K207">
        <v>10247.564720783123</v>
      </c>
      <c r="L207">
        <v>10378.724398951666</v>
      </c>
      <c r="M207">
        <v>10605.333888617772</v>
      </c>
      <c r="N207">
        <v>10810.458340752642</v>
      </c>
      <c r="O207">
        <v>11096.605458727845</v>
      </c>
      <c r="P207">
        <v>11648.310343290637</v>
      </c>
      <c r="Q207">
        <v>11705.871223077451</v>
      </c>
      <c r="R207">
        <v>12162.021231248526</v>
      </c>
      <c r="S207">
        <v>12697.797549640931</v>
      </c>
      <c r="T207">
        <v>12992.367162928625</v>
      </c>
      <c r="U207">
        <v>13063.440862686894</v>
      </c>
      <c r="V207">
        <v>13182.198504199005</v>
      </c>
      <c r="W207">
        <v>13284.806809600492</v>
      </c>
      <c r="X207">
        <v>13293.959706338926</v>
      </c>
      <c r="Y207">
        <v>13101.086214174264</v>
      </c>
      <c r="Z207">
        <v>13348.937535477718</v>
      </c>
      <c r="AA207">
        <v>13331.827621000642</v>
      </c>
      <c r="AB207">
        <v>13006.487718579234</v>
      </c>
      <c r="AC207">
        <v>13081.360160828839</v>
      </c>
      <c r="AD207">
        <v>13339.646613066796</v>
      </c>
      <c r="AE207">
        <v>13805.025309105527</v>
      </c>
      <c r="AF207">
        <v>13906.520809611657</v>
      </c>
      <c r="AG207">
        <v>14803.702978914342</v>
      </c>
      <c r="AH207">
        <v>15126.124771992951</v>
      </c>
      <c r="AI207">
        <v>14654.704680232724</v>
      </c>
      <c r="AJ207">
        <v>13175.66592208733</v>
      </c>
      <c r="AK207">
        <v>14392.195065575315</v>
      </c>
      <c r="AL207">
        <v>15135.493517198767</v>
      </c>
      <c r="AM207">
        <v>15304.097536886889</v>
      </c>
      <c r="AN207">
        <v>15259.058259104564</v>
      </c>
      <c r="AO207">
        <v>15190.240345384222</v>
      </c>
      <c r="AP207">
        <v>15104.023080890027</v>
      </c>
      <c r="AQ207">
        <v>14974.315532977796</v>
      </c>
      <c r="AR207">
        <v>14773.64736902285</v>
      </c>
      <c r="AS207">
        <v>14528.680706098479</v>
      </c>
      <c r="AT207">
        <v>14210.645980955906</v>
      </c>
      <c r="AU207">
        <v>13840.36673992943</v>
      </c>
      <c r="AV207">
        <v>13393.996577073098</v>
      </c>
      <c r="AW207">
        <v>12883.48489943496</v>
      </c>
      <c r="AX207">
        <v>12298.087430503645</v>
      </c>
      <c r="AY207">
        <v>11656.032857847002</v>
      </c>
      <c r="AZ207">
        <v>10981.193800608857</v>
      </c>
      <c r="BA207">
        <v>10212.931361217319</v>
      </c>
      <c r="BB207">
        <v>9467.448738448642</v>
      </c>
      <c r="BC207">
        <v>8674.8714551973444</v>
      </c>
      <c r="BD207">
        <v>7911.1608874019248</v>
      </c>
      <c r="BE207">
        <v>7126.8990626308796</v>
      </c>
      <c r="BF207">
        <v>6518.4404943796981</v>
      </c>
      <c r="BG207">
        <v>5864.3439198809792</v>
      </c>
      <c r="BH207">
        <v>5346.635733099266</v>
      </c>
      <c r="BI207">
        <v>4833.4523184293666</v>
      </c>
      <c r="BJ207">
        <v>4398.6149306796815</v>
      </c>
      <c r="BK207">
        <v>3988.9616097870603</v>
      </c>
      <c r="BL207">
        <v>3603.7155439097751</v>
      </c>
      <c r="BM207">
        <v>3234.5037770723561</v>
      </c>
      <c r="BN207">
        <v>2995.6247116249388</v>
      </c>
    </row>
    <row r="208" spans="1:66" x14ac:dyDescent="0.25">
      <c r="A208" t="s">
        <v>235</v>
      </c>
      <c r="B208" t="s">
        <v>538</v>
      </c>
      <c r="C208" t="s">
        <v>534</v>
      </c>
      <c r="D208" t="s">
        <v>522</v>
      </c>
      <c r="E208" t="s">
        <v>521</v>
      </c>
      <c r="F208">
        <v>15640.940843035291</v>
      </c>
      <c r="G208">
        <v>16150.546759988883</v>
      </c>
      <c r="H208">
        <v>17648.388786263939</v>
      </c>
      <c r="I208">
        <v>16725.370693795405</v>
      </c>
      <c r="J208">
        <v>16380.548324839787</v>
      </c>
      <c r="K208">
        <v>15499.119986501893</v>
      </c>
      <c r="L208">
        <v>16964.973485962018</v>
      </c>
      <c r="M208">
        <v>18776.307489236842</v>
      </c>
      <c r="N208">
        <v>16990.87642543549</v>
      </c>
      <c r="O208">
        <v>18068.06638576484</v>
      </c>
      <c r="P208">
        <v>18247.587022073894</v>
      </c>
      <c r="Q208">
        <v>20209.470689366266</v>
      </c>
      <c r="R208">
        <v>19699.848793804682</v>
      </c>
      <c r="S208">
        <v>20589.961823411428</v>
      </c>
      <c r="T208">
        <v>19932.694122895617</v>
      </c>
      <c r="U208">
        <v>21455.132172136808</v>
      </c>
      <c r="V208">
        <v>21734.471668911941</v>
      </c>
      <c r="W208">
        <v>20224.013693454704</v>
      </c>
      <c r="X208">
        <v>21356.548009904149</v>
      </c>
      <c r="Y208">
        <v>18870.840564758502</v>
      </c>
      <c r="Z208">
        <v>18772.299934571802</v>
      </c>
      <c r="AA208">
        <v>18114.081314169005</v>
      </c>
      <c r="AB208">
        <v>19820.47191931152</v>
      </c>
      <c r="AC208">
        <v>18884.997469550366</v>
      </c>
      <c r="AD208">
        <v>18698.599087495157</v>
      </c>
      <c r="AE208">
        <v>18478.836391393874</v>
      </c>
      <c r="AF208">
        <v>16973.70962476591</v>
      </c>
      <c r="AG208">
        <v>17531.475135032353</v>
      </c>
      <c r="AH208">
        <v>17282.73541087965</v>
      </c>
      <c r="AI208">
        <v>19152.571947895391</v>
      </c>
      <c r="AJ208">
        <v>18178.313197265285</v>
      </c>
      <c r="AK208">
        <v>18396.842955843931</v>
      </c>
      <c r="AL208">
        <v>17106.464125809438</v>
      </c>
      <c r="AM208">
        <v>16247.301616712981</v>
      </c>
      <c r="AN208">
        <v>15333.004022485731</v>
      </c>
      <c r="AO208">
        <v>14472.402393956812</v>
      </c>
      <c r="AP208">
        <v>14320.839779284845</v>
      </c>
      <c r="AQ208">
        <v>14125.56887055979</v>
      </c>
      <c r="AR208">
        <v>13863.14086348851</v>
      </c>
      <c r="AS208">
        <v>13763.077326628623</v>
      </c>
      <c r="AT208">
        <v>12823.360741088809</v>
      </c>
      <c r="AU208">
        <v>12679.716470344172</v>
      </c>
      <c r="AV208">
        <v>12506.220145707166</v>
      </c>
      <c r="AW208">
        <v>12394.31954052812</v>
      </c>
      <c r="AX208">
        <v>12248.459865207464</v>
      </c>
      <c r="AY208">
        <v>12084.068359775118</v>
      </c>
      <c r="AZ208">
        <v>11807.180695700768</v>
      </c>
      <c r="BA208">
        <v>11422.919944424613</v>
      </c>
      <c r="BB208">
        <v>11057.971143285085</v>
      </c>
      <c r="BC208">
        <v>10682.610820565153</v>
      </c>
      <c r="BD208">
        <v>9537.2654452111146</v>
      </c>
      <c r="BE208">
        <v>9133.9795907911885</v>
      </c>
      <c r="BF208">
        <v>8709.6874286563761</v>
      </c>
      <c r="BG208">
        <v>8376.1609191051175</v>
      </c>
      <c r="BH208">
        <v>8005.9097745174167</v>
      </c>
      <c r="BI208">
        <v>7594.9341471182152</v>
      </c>
      <c r="BJ208">
        <v>7174.7085672656849</v>
      </c>
      <c r="BK208">
        <v>6739.9424381910076</v>
      </c>
      <c r="BL208">
        <v>6340.1601433281858</v>
      </c>
      <c r="BM208">
        <v>5985.2970118406329</v>
      </c>
      <c r="BN208">
        <v>5698.8464832713844</v>
      </c>
    </row>
    <row r="209" spans="1:66" x14ac:dyDescent="0.25">
      <c r="A209" t="s">
        <v>235</v>
      </c>
      <c r="B209" t="s">
        <v>538</v>
      </c>
      <c r="C209" t="s">
        <v>534</v>
      </c>
      <c r="D209" t="s">
        <v>523</v>
      </c>
      <c r="E209" t="s">
        <v>521</v>
      </c>
      <c r="F209">
        <v>3429.1023206090149</v>
      </c>
      <c r="G209">
        <v>3582.0933132143959</v>
      </c>
      <c r="H209">
        <v>3230.4006797977117</v>
      </c>
      <c r="I209">
        <v>3072.4080540294026</v>
      </c>
      <c r="J209">
        <v>2943.5832063652938</v>
      </c>
      <c r="K209">
        <v>3036.6428253355557</v>
      </c>
      <c r="L209">
        <v>3231.1178764295346</v>
      </c>
      <c r="M209">
        <v>3121.0509253025539</v>
      </c>
      <c r="N209">
        <v>3108.4252054479571</v>
      </c>
      <c r="O209">
        <v>3287.2502963250704</v>
      </c>
      <c r="P209">
        <v>3324.3535917273935</v>
      </c>
      <c r="Q209">
        <v>3441.9326499549325</v>
      </c>
      <c r="R209">
        <v>3562.3255597822995</v>
      </c>
      <c r="S209">
        <v>3798.3629146741546</v>
      </c>
      <c r="T209">
        <v>3833.9993752516589</v>
      </c>
      <c r="U209">
        <v>3949.7863117346769</v>
      </c>
      <c r="V209">
        <v>4067.1636114352182</v>
      </c>
      <c r="W209">
        <v>4324.6641433976283</v>
      </c>
      <c r="X209">
        <v>4207.5754142911601</v>
      </c>
      <c r="Y209">
        <v>4156.3376144420381</v>
      </c>
      <c r="Z209">
        <v>4471.2064224286651</v>
      </c>
      <c r="AA209">
        <v>4511.1732699008671</v>
      </c>
      <c r="AB209">
        <v>4584.743425822363</v>
      </c>
      <c r="AC209">
        <v>4716.1203271304976</v>
      </c>
      <c r="AD209">
        <v>4887.0741014170871</v>
      </c>
      <c r="AE209">
        <v>5014.426570819578</v>
      </c>
      <c r="AF209">
        <v>4761.4486978313562</v>
      </c>
      <c r="AG209">
        <v>4803.9943473754338</v>
      </c>
      <c r="AH209">
        <v>4679.6792337008401</v>
      </c>
      <c r="AI209">
        <v>4713.1761267541115</v>
      </c>
      <c r="AJ209">
        <v>4482.2708369643005</v>
      </c>
      <c r="AK209">
        <v>4684.6924221093332</v>
      </c>
      <c r="AL209">
        <v>4615.5306846943822</v>
      </c>
      <c r="AM209">
        <v>4588.727847242033</v>
      </c>
      <c r="AN209">
        <v>4623.752442902125</v>
      </c>
      <c r="AO209">
        <v>4592.0634674295152</v>
      </c>
      <c r="AP209">
        <v>4580.4770052583663</v>
      </c>
      <c r="AQ209">
        <v>4535.3377714394273</v>
      </c>
      <c r="AR209">
        <v>4495.7610058824657</v>
      </c>
      <c r="AS209">
        <v>4476.1275115818262</v>
      </c>
      <c r="AT209">
        <v>4270.9573441217153</v>
      </c>
      <c r="AU209">
        <v>4232.6105111448105</v>
      </c>
      <c r="AV209">
        <v>4196.4764030809392</v>
      </c>
      <c r="AW209">
        <v>4150.3808267369695</v>
      </c>
      <c r="AX209">
        <v>4111.4345097357136</v>
      </c>
      <c r="AY209">
        <v>4103.140548224399</v>
      </c>
      <c r="AZ209">
        <v>4069.1491611389579</v>
      </c>
      <c r="BA209">
        <v>4047.5584375355465</v>
      </c>
      <c r="BB209">
        <v>4027.8926112094928</v>
      </c>
      <c r="BC209">
        <v>4010.2621895527132</v>
      </c>
      <c r="BD209">
        <v>3951.3474180119806</v>
      </c>
      <c r="BE209">
        <v>3939.3700154175694</v>
      </c>
      <c r="BF209">
        <v>3929.987203370235</v>
      </c>
      <c r="BG209">
        <v>3925.4703960942347</v>
      </c>
      <c r="BH209">
        <v>3923.6671818240088</v>
      </c>
      <c r="BI209">
        <v>3924.3271067347132</v>
      </c>
      <c r="BJ209">
        <v>3928.1084086359542</v>
      </c>
      <c r="BK209">
        <v>3935.1092702728538</v>
      </c>
      <c r="BL209">
        <v>3944.0437613978966</v>
      </c>
      <c r="BM209">
        <v>3954.0820346638843</v>
      </c>
      <c r="BN209">
        <v>3966.9340482703715</v>
      </c>
    </row>
    <row r="210" spans="1:66" x14ac:dyDescent="0.25">
      <c r="A210" t="s">
        <v>235</v>
      </c>
      <c r="B210" t="s">
        <v>538</v>
      </c>
      <c r="C210" t="s">
        <v>534</v>
      </c>
      <c r="D210" t="s">
        <v>524</v>
      </c>
      <c r="E210" t="s">
        <v>521</v>
      </c>
      <c r="F210">
        <v>1816.6596733237263</v>
      </c>
      <c r="G210">
        <v>1893.7218802684215</v>
      </c>
      <c r="H210">
        <v>1971.3222733100288</v>
      </c>
      <c r="I210">
        <v>2049.4503492491226</v>
      </c>
      <c r="J210">
        <v>1947.5325263313807</v>
      </c>
      <c r="K210">
        <v>2023.8252549837712</v>
      </c>
      <c r="L210">
        <v>2102.1656796823004</v>
      </c>
      <c r="M210">
        <v>2125.7547716447093</v>
      </c>
      <c r="N210">
        <v>2086.8629737313777</v>
      </c>
      <c r="O210">
        <v>2084.0346339247499</v>
      </c>
      <c r="P210">
        <v>2103.6901401299438</v>
      </c>
      <c r="Q210">
        <v>2134.2537068539705</v>
      </c>
      <c r="R210">
        <v>2173.5947283527944</v>
      </c>
      <c r="S210">
        <v>2101.4028129686244</v>
      </c>
      <c r="T210">
        <v>2124.9026062551302</v>
      </c>
      <c r="U210">
        <v>2134.5667014321762</v>
      </c>
      <c r="V210">
        <v>1957.2003317893241</v>
      </c>
      <c r="W210">
        <v>1922.5694677164029</v>
      </c>
      <c r="X210">
        <v>1846.56179242198</v>
      </c>
      <c r="Y210">
        <v>1723.3205496528278</v>
      </c>
      <c r="Z210">
        <v>1665.7456629024559</v>
      </c>
      <c r="AA210">
        <v>1519.6605558608351</v>
      </c>
      <c r="AB210">
        <v>1410.5413176396301</v>
      </c>
      <c r="AC210">
        <v>1359.9084848190901</v>
      </c>
      <c r="AD210">
        <v>1314.1708670740722</v>
      </c>
      <c r="AE210">
        <v>1275.9271345153275</v>
      </c>
      <c r="AF210">
        <v>1246.0586846922251</v>
      </c>
      <c r="AG210">
        <v>1214.8602401561525</v>
      </c>
      <c r="AH210">
        <v>1156.3598029499428</v>
      </c>
      <c r="AI210">
        <v>1114.3950725962225</v>
      </c>
      <c r="AJ210">
        <v>1075.3643344180375</v>
      </c>
      <c r="AK210">
        <v>1058.4109684228663</v>
      </c>
      <c r="AL210">
        <v>1037.4549522386469</v>
      </c>
      <c r="AM210">
        <v>1013.2758510517407</v>
      </c>
      <c r="AN210">
        <v>991.73087463912941</v>
      </c>
      <c r="AO210">
        <v>970.67437720296823</v>
      </c>
      <c r="AP210">
        <v>949.70765952526119</v>
      </c>
      <c r="AQ210">
        <v>929.27304214105857</v>
      </c>
      <c r="AR210">
        <v>909.44593862552381</v>
      </c>
      <c r="AS210">
        <v>890.20077278003203</v>
      </c>
      <c r="AT210">
        <v>871.34442152989345</v>
      </c>
      <c r="AU210">
        <v>855.13096617355052</v>
      </c>
      <c r="AV210">
        <v>841.41236337917815</v>
      </c>
      <c r="AW210">
        <v>829.19970030628019</v>
      </c>
      <c r="AX210">
        <v>817.9153093405406</v>
      </c>
      <c r="AY210">
        <v>807.46470836703054</v>
      </c>
      <c r="AZ210">
        <v>797.42620395036988</v>
      </c>
      <c r="BA210">
        <v>787.78538634656923</v>
      </c>
      <c r="BB210">
        <v>778.52302611877394</v>
      </c>
      <c r="BC210">
        <v>769.52124022599696</v>
      </c>
      <c r="BD210">
        <v>760.91723140991348</v>
      </c>
      <c r="BE210">
        <v>752.88875096146035</v>
      </c>
      <c r="BF210">
        <v>744.94510574082778</v>
      </c>
      <c r="BG210">
        <v>737.09867059669966</v>
      </c>
      <c r="BH210">
        <v>729.27900666319317</v>
      </c>
      <c r="BI210">
        <v>721.61410586977718</v>
      </c>
      <c r="BJ210">
        <v>713.93666109206413</v>
      </c>
      <c r="BK210">
        <v>706.12882410345969</v>
      </c>
      <c r="BL210">
        <v>698.26931167350097</v>
      </c>
      <c r="BM210">
        <v>690.39560248839609</v>
      </c>
      <c r="BN210">
        <v>682.52326736644579</v>
      </c>
    </row>
    <row r="211" spans="1:66" x14ac:dyDescent="0.25">
      <c r="A211" t="s">
        <v>235</v>
      </c>
      <c r="B211" t="s">
        <v>538</v>
      </c>
      <c r="C211" t="s">
        <v>534</v>
      </c>
      <c r="D211" t="s">
        <v>525</v>
      </c>
      <c r="E211" t="s">
        <v>521</v>
      </c>
      <c r="F211">
        <v>29012.897398845394</v>
      </c>
      <c r="G211">
        <v>29733.023075344903</v>
      </c>
      <c r="H211">
        <v>31320.108193971439</v>
      </c>
      <c r="I211">
        <v>30769.917679558341</v>
      </c>
      <c r="J211">
        <v>30855.464305886358</v>
      </c>
      <c r="K211">
        <v>30807.15278760434</v>
      </c>
      <c r="L211">
        <v>32676.98144102552</v>
      </c>
      <c r="M211">
        <v>34628.447074801872</v>
      </c>
      <c r="N211">
        <v>32996.622945367468</v>
      </c>
      <c r="O211">
        <v>34535.956774742503</v>
      </c>
      <c r="P211">
        <v>35323.941097221861</v>
      </c>
      <c r="Q211">
        <v>37491.528269252616</v>
      </c>
      <c r="R211">
        <v>37597.790313188299</v>
      </c>
      <c r="S211">
        <v>39187.525100695137</v>
      </c>
      <c r="T211">
        <v>38883.963267331026</v>
      </c>
      <c r="U211">
        <v>40602.92604799055</v>
      </c>
      <c r="V211">
        <v>40941.03411633549</v>
      </c>
      <c r="W211">
        <v>39756.054114169223</v>
      </c>
      <c r="X211">
        <v>40704.644922956213</v>
      </c>
      <c r="Y211">
        <v>37851.584943027628</v>
      </c>
      <c r="Z211">
        <v>38258.189555380639</v>
      </c>
      <c r="AA211">
        <v>37476.742760931345</v>
      </c>
      <c r="AB211">
        <v>38822.24438135275</v>
      </c>
      <c r="AC211">
        <v>38042.386442328796</v>
      </c>
      <c r="AD211">
        <v>38239.490669053106</v>
      </c>
      <c r="AE211">
        <v>38574.2154058343</v>
      </c>
      <c r="AF211">
        <v>36887.73781690115</v>
      </c>
      <c r="AG211">
        <v>38354.032701478282</v>
      </c>
      <c r="AH211">
        <v>38244.89921952338</v>
      </c>
      <c r="AI211">
        <v>39634.847827478443</v>
      </c>
      <c r="AJ211">
        <v>36911.614290734949</v>
      </c>
      <c r="AK211">
        <v>38532.141411951452</v>
      </c>
      <c r="AL211">
        <v>37894.943279941232</v>
      </c>
      <c r="AM211">
        <v>37153.402851893647</v>
      </c>
      <c r="AN211">
        <v>36207.545599131547</v>
      </c>
      <c r="AO211">
        <v>35225.380583973514</v>
      </c>
      <c r="AP211">
        <v>34955.0475249585</v>
      </c>
      <c r="AQ211">
        <v>34564.495217118078</v>
      </c>
      <c r="AR211">
        <v>34041.995177019351</v>
      </c>
      <c r="AS211">
        <v>33658.086317088957</v>
      </c>
      <c r="AT211">
        <v>32176.308487696326</v>
      </c>
      <c r="AU211">
        <v>31607.824687591965</v>
      </c>
      <c r="AV211">
        <v>30938.105489240381</v>
      </c>
      <c r="AW211">
        <v>30257.384967006328</v>
      </c>
      <c r="AX211">
        <v>29475.897114787364</v>
      </c>
      <c r="AY211">
        <v>28650.706474213552</v>
      </c>
      <c r="AZ211">
        <v>27654.949861398953</v>
      </c>
      <c r="BA211">
        <v>26471.195129524047</v>
      </c>
      <c r="BB211">
        <v>25331.835519061995</v>
      </c>
      <c r="BC211">
        <v>24137.265705541206</v>
      </c>
      <c r="BD211">
        <v>22160.690982034932</v>
      </c>
      <c r="BE211">
        <v>20953.1374198011</v>
      </c>
      <c r="BF211">
        <v>19903.060232147138</v>
      </c>
      <c r="BG211">
        <v>18903.073905677033</v>
      </c>
      <c r="BH211">
        <v>18005.491696103887</v>
      </c>
      <c r="BI211">
        <v>17074.327678152069</v>
      </c>
      <c r="BJ211">
        <v>16215.368567673386</v>
      </c>
      <c r="BK211">
        <v>15370.14214235438</v>
      </c>
      <c r="BL211">
        <v>14586.188760309358</v>
      </c>
      <c r="BM211">
        <v>13864.27842606527</v>
      </c>
      <c r="BN211">
        <v>13343.92851053314</v>
      </c>
    </row>
    <row r="212" spans="1:66" x14ac:dyDescent="0.25">
      <c r="A212" t="s">
        <v>236</v>
      </c>
      <c r="B212" t="s">
        <v>538</v>
      </c>
      <c r="C212" t="s">
        <v>526</v>
      </c>
      <c r="D212" t="s">
        <v>518</v>
      </c>
      <c r="E212" t="s">
        <v>519</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11.416538041464802</v>
      </c>
      <c r="AA212">
        <v>8.7327708333333316</v>
      </c>
      <c r="AB212">
        <v>2.2770791666666668</v>
      </c>
      <c r="AC212">
        <v>1.3566666666666667</v>
      </c>
      <c r="AD212">
        <v>1.9666666666666663</v>
      </c>
      <c r="AE212">
        <v>4.4622309027777769</v>
      </c>
      <c r="AF212">
        <v>7.7698003472222208</v>
      </c>
      <c r="AG212">
        <v>11.941235920833332</v>
      </c>
      <c r="AH212">
        <v>18.817684762500001</v>
      </c>
      <c r="AI212">
        <v>24.5</v>
      </c>
      <c r="AJ212">
        <v>30</v>
      </c>
      <c r="AK212">
        <v>46.305643178011259</v>
      </c>
      <c r="AL212">
        <v>69.696559398715706</v>
      </c>
      <c r="AM212">
        <v>0.01</v>
      </c>
      <c r="AN212">
        <v>0.01</v>
      </c>
      <c r="AO212">
        <v>0.01</v>
      </c>
      <c r="AP212">
        <v>0.01</v>
      </c>
      <c r="AQ212">
        <v>0.01</v>
      </c>
      <c r="AR212">
        <v>0.01</v>
      </c>
      <c r="AS212">
        <v>0.01</v>
      </c>
      <c r="AT212">
        <v>0.01</v>
      </c>
      <c r="AU212">
        <v>0.01</v>
      </c>
      <c r="AV212">
        <v>0.01</v>
      </c>
      <c r="AW212">
        <v>0.01</v>
      </c>
      <c r="AX212">
        <v>0.01</v>
      </c>
      <c r="AY212">
        <v>0.01</v>
      </c>
      <c r="AZ212">
        <v>0.01</v>
      </c>
      <c r="BA212">
        <v>0.01</v>
      </c>
      <c r="BB212">
        <v>0.01</v>
      </c>
      <c r="BC212">
        <v>0.01</v>
      </c>
      <c r="BD212">
        <v>0.01</v>
      </c>
      <c r="BE212">
        <v>0.01</v>
      </c>
      <c r="BF212">
        <v>0.01</v>
      </c>
      <c r="BG212">
        <v>0.01</v>
      </c>
      <c r="BH212">
        <v>0.01</v>
      </c>
      <c r="BI212">
        <v>0.01</v>
      </c>
      <c r="BJ212">
        <v>0.01</v>
      </c>
      <c r="BK212">
        <v>0.01</v>
      </c>
      <c r="BL212">
        <v>0.01</v>
      </c>
      <c r="BM212">
        <v>0.01</v>
      </c>
      <c r="BN212">
        <v>0.01</v>
      </c>
    </row>
    <row r="213" spans="1:66" x14ac:dyDescent="0.25">
      <c r="A213" t="s">
        <v>236</v>
      </c>
      <c r="B213" t="s">
        <v>538</v>
      </c>
      <c r="C213" t="s">
        <v>526</v>
      </c>
      <c r="D213" t="s">
        <v>520</v>
      </c>
      <c r="E213" t="s">
        <v>521</v>
      </c>
      <c r="F213">
        <v>8126.1945618773643</v>
      </c>
      <c r="G213">
        <v>8106.661121873205</v>
      </c>
      <c r="H213">
        <v>8469.9964545997555</v>
      </c>
      <c r="I213">
        <v>8922.6885824844103</v>
      </c>
      <c r="J213">
        <v>9583.8002483498967</v>
      </c>
      <c r="K213">
        <v>10247.564720783123</v>
      </c>
      <c r="L213">
        <v>10378.724398951666</v>
      </c>
      <c r="M213">
        <v>10605.333888617772</v>
      </c>
      <c r="N213">
        <v>10810.458340752642</v>
      </c>
      <c r="O213">
        <v>11096.605458727845</v>
      </c>
      <c r="P213">
        <v>11648.310343290637</v>
      </c>
      <c r="Q213">
        <v>11705.871223077451</v>
      </c>
      <c r="R213">
        <v>12162.021231248526</v>
      </c>
      <c r="S213">
        <v>12697.797549640931</v>
      </c>
      <c r="T213">
        <v>12992.367162928625</v>
      </c>
      <c r="U213">
        <v>13063.440862686894</v>
      </c>
      <c r="V213">
        <v>13182.198504199005</v>
      </c>
      <c r="W213">
        <v>13284.806809600492</v>
      </c>
      <c r="X213">
        <v>13293.959706338926</v>
      </c>
      <c r="Y213">
        <v>13101.086214174264</v>
      </c>
      <c r="Z213">
        <v>13348.937535477718</v>
      </c>
      <c r="AA213">
        <v>13331.827621000642</v>
      </c>
      <c r="AB213">
        <v>13006.487718579234</v>
      </c>
      <c r="AC213">
        <v>13081.360160828839</v>
      </c>
      <c r="AD213">
        <v>13339.646613066796</v>
      </c>
      <c r="AE213">
        <v>13805.025309105527</v>
      </c>
      <c r="AF213">
        <v>13906.520809611657</v>
      </c>
      <c r="AG213">
        <v>14803.702978914342</v>
      </c>
      <c r="AH213">
        <v>15126.124771992951</v>
      </c>
      <c r="AI213">
        <v>14654.704680232724</v>
      </c>
      <c r="AJ213">
        <v>13175.66592208733</v>
      </c>
      <c r="AK213">
        <v>14392.195065575315</v>
      </c>
      <c r="AL213">
        <v>15135.531379382821</v>
      </c>
      <c r="AM213">
        <v>15308.575941283863</v>
      </c>
      <c r="AN213">
        <v>15269.937305722833</v>
      </c>
      <c r="AO213">
        <v>15212.972726311347</v>
      </c>
      <c r="AP213">
        <v>15147.74359457187</v>
      </c>
      <c r="AQ213">
        <v>15054.968320746619</v>
      </c>
      <c r="AR213">
        <v>14890.484393249482</v>
      </c>
      <c r="AS213">
        <v>14689.523610303675</v>
      </c>
      <c r="AT213">
        <v>14444.960951962492</v>
      </c>
      <c r="AU213">
        <v>14136.653590095435</v>
      </c>
      <c r="AV213">
        <v>13770.552623081929</v>
      </c>
      <c r="AW213">
        <v>13338.121685544847</v>
      </c>
      <c r="AX213">
        <v>12801.267524211104</v>
      </c>
      <c r="AY213">
        <v>12247.4829501858</v>
      </c>
      <c r="AZ213">
        <v>11566.550877535776</v>
      </c>
      <c r="BA213">
        <v>10831.022060043488</v>
      </c>
      <c r="BB213">
        <v>10204.814305302069</v>
      </c>
      <c r="BC213">
        <v>9418.0646197081442</v>
      </c>
      <c r="BD213">
        <v>8672.8706169696889</v>
      </c>
      <c r="BE213">
        <v>7904.1532726300056</v>
      </c>
      <c r="BF213">
        <v>7291.8128328197081</v>
      </c>
      <c r="BG213">
        <v>6677.3194129796093</v>
      </c>
      <c r="BH213">
        <v>6046.1314863740672</v>
      </c>
      <c r="BI213">
        <v>5514.0150447622273</v>
      </c>
      <c r="BJ213">
        <v>5002.817016171216</v>
      </c>
      <c r="BK213">
        <v>4526.5654758529654</v>
      </c>
      <c r="BL213">
        <v>4065.7206949655224</v>
      </c>
      <c r="BM213">
        <v>3692.3507026141128</v>
      </c>
      <c r="BN213">
        <v>3406.3253213918015</v>
      </c>
    </row>
    <row r="214" spans="1:66" x14ac:dyDescent="0.25">
      <c r="A214" t="s">
        <v>236</v>
      </c>
      <c r="B214" t="s">
        <v>538</v>
      </c>
      <c r="C214" t="s">
        <v>526</v>
      </c>
      <c r="D214" t="s">
        <v>522</v>
      </c>
      <c r="E214" t="s">
        <v>521</v>
      </c>
      <c r="F214">
        <v>15640.940843035291</v>
      </c>
      <c r="G214">
        <v>16150.546759988883</v>
      </c>
      <c r="H214">
        <v>17648.388786263939</v>
      </c>
      <c r="I214">
        <v>16725.370693795405</v>
      </c>
      <c r="J214">
        <v>16380.548324839787</v>
      </c>
      <c r="K214">
        <v>15499.119986501893</v>
      </c>
      <c r="L214">
        <v>16964.973485962018</v>
      </c>
      <c r="M214">
        <v>18776.307489236842</v>
      </c>
      <c r="N214">
        <v>16990.87642543549</v>
      </c>
      <c r="O214">
        <v>18068.06638576484</v>
      </c>
      <c r="P214">
        <v>18247.587022073894</v>
      </c>
      <c r="Q214">
        <v>20209.470689366266</v>
      </c>
      <c r="R214">
        <v>19699.848793804682</v>
      </c>
      <c r="S214">
        <v>20589.961823411428</v>
      </c>
      <c r="T214">
        <v>19932.694122895617</v>
      </c>
      <c r="U214">
        <v>21455.132172136808</v>
      </c>
      <c r="V214">
        <v>21734.471668911941</v>
      </c>
      <c r="W214">
        <v>20224.013693454704</v>
      </c>
      <c r="X214">
        <v>21356.548009904149</v>
      </c>
      <c r="Y214">
        <v>18870.840564758502</v>
      </c>
      <c r="Z214">
        <v>18772.299934571802</v>
      </c>
      <c r="AA214">
        <v>18114.081314169005</v>
      </c>
      <c r="AB214">
        <v>19820.47191931152</v>
      </c>
      <c r="AC214">
        <v>18884.997469550366</v>
      </c>
      <c r="AD214">
        <v>18698.599087495157</v>
      </c>
      <c r="AE214">
        <v>18478.836391393874</v>
      </c>
      <c r="AF214">
        <v>16973.70962476591</v>
      </c>
      <c r="AG214">
        <v>17531.475135032353</v>
      </c>
      <c r="AH214">
        <v>17282.73541087965</v>
      </c>
      <c r="AI214">
        <v>19152.571947895391</v>
      </c>
      <c r="AJ214">
        <v>18178.313197265285</v>
      </c>
      <c r="AK214">
        <v>18428.036155451478</v>
      </c>
      <c r="AL214">
        <v>17226.053425989041</v>
      </c>
      <c r="AM214">
        <v>16685.351607208053</v>
      </c>
      <c r="AN214">
        <v>15996.049584363986</v>
      </c>
      <c r="AO214">
        <v>15827.438442222121</v>
      </c>
      <c r="AP214">
        <v>15995.035627612902</v>
      </c>
      <c r="AQ214">
        <v>16152.979260418751</v>
      </c>
      <c r="AR214">
        <v>16314.914357097439</v>
      </c>
      <c r="AS214">
        <v>16468.209136514557</v>
      </c>
      <c r="AT214">
        <v>15852.253703115917</v>
      </c>
      <c r="AU214">
        <v>16044.311438365306</v>
      </c>
      <c r="AV214">
        <v>16250.763031663089</v>
      </c>
      <c r="AW214">
        <v>16482.406582783497</v>
      </c>
      <c r="AX214">
        <v>16760.774406474065</v>
      </c>
      <c r="AY214">
        <v>17065.213534933711</v>
      </c>
      <c r="AZ214">
        <v>17409.94379000027</v>
      </c>
      <c r="BA214">
        <v>17833.559253108706</v>
      </c>
      <c r="BB214">
        <v>18305.633249448965</v>
      </c>
      <c r="BC214">
        <v>18903.70716382009</v>
      </c>
      <c r="BD214">
        <v>13163.60803156676</v>
      </c>
      <c r="BE214">
        <v>12957.632339695516</v>
      </c>
      <c r="BF214">
        <v>12727.459657417983</v>
      </c>
      <c r="BG214">
        <v>12488.317758992431</v>
      </c>
      <c r="BH214">
        <v>12245.542349691237</v>
      </c>
      <c r="BI214">
        <v>11998.826132660792</v>
      </c>
      <c r="BJ214">
        <v>11741.116294523375</v>
      </c>
      <c r="BK214">
        <v>11473.854766052478</v>
      </c>
      <c r="BL214">
        <v>11210.161663155364</v>
      </c>
      <c r="BM214">
        <v>10952.576424074839</v>
      </c>
      <c r="BN214">
        <v>10705.778450890568</v>
      </c>
    </row>
    <row r="215" spans="1:66" x14ac:dyDescent="0.25">
      <c r="A215" t="s">
        <v>236</v>
      </c>
      <c r="B215" t="s">
        <v>538</v>
      </c>
      <c r="C215" t="s">
        <v>526</v>
      </c>
      <c r="D215" t="s">
        <v>523</v>
      </c>
      <c r="E215" t="s">
        <v>521</v>
      </c>
      <c r="F215">
        <v>3429.1023206090149</v>
      </c>
      <c r="G215">
        <v>3582.0933132143959</v>
      </c>
      <c r="H215">
        <v>3230.4006797977117</v>
      </c>
      <c r="I215">
        <v>3072.4080540294026</v>
      </c>
      <c r="J215">
        <v>2943.5832063652938</v>
      </c>
      <c r="K215">
        <v>3036.6428253355557</v>
      </c>
      <c r="L215">
        <v>3231.1178764295346</v>
      </c>
      <c r="M215">
        <v>3121.0509253025539</v>
      </c>
      <c r="N215">
        <v>3108.4252054479571</v>
      </c>
      <c r="O215">
        <v>3287.2502963250704</v>
      </c>
      <c r="P215">
        <v>3324.3535917273935</v>
      </c>
      <c r="Q215">
        <v>3441.9326499549325</v>
      </c>
      <c r="R215">
        <v>3562.3255597822995</v>
      </c>
      <c r="S215">
        <v>3798.3629146741546</v>
      </c>
      <c r="T215">
        <v>3833.9993752516589</v>
      </c>
      <c r="U215">
        <v>3949.7863117346769</v>
      </c>
      <c r="V215">
        <v>4067.1636114352182</v>
      </c>
      <c r="W215">
        <v>4324.6641433976283</v>
      </c>
      <c r="X215">
        <v>4207.5754142911601</v>
      </c>
      <c r="Y215">
        <v>4156.3376144420381</v>
      </c>
      <c r="Z215">
        <v>4471.2064224286651</v>
      </c>
      <c r="AA215">
        <v>4511.1732699008671</v>
      </c>
      <c r="AB215">
        <v>4584.743425822363</v>
      </c>
      <c r="AC215">
        <v>4716.1203271304976</v>
      </c>
      <c r="AD215">
        <v>4887.0741014170871</v>
      </c>
      <c r="AE215">
        <v>5014.426570819578</v>
      </c>
      <c r="AF215">
        <v>4761.4486978313562</v>
      </c>
      <c r="AG215">
        <v>4803.9943473754338</v>
      </c>
      <c r="AH215">
        <v>4679.6792337008401</v>
      </c>
      <c r="AI215">
        <v>4713.1761267541115</v>
      </c>
      <c r="AJ215">
        <v>4482.2708369643005</v>
      </c>
      <c r="AK215">
        <v>4684.6924221093332</v>
      </c>
      <c r="AL215">
        <v>4615.5306846943822</v>
      </c>
      <c r="AM215">
        <v>4588.727847242033</v>
      </c>
      <c r="AN215">
        <v>4623.752442902125</v>
      </c>
      <c r="AO215">
        <v>4592.0634674295152</v>
      </c>
      <c r="AP215">
        <v>4580.4770052583672</v>
      </c>
      <c r="AQ215">
        <v>4535.3377714394283</v>
      </c>
      <c r="AR215">
        <v>4495.7610058824666</v>
      </c>
      <c r="AS215">
        <v>4476.1275115818262</v>
      </c>
      <c r="AT215">
        <v>4270.9573441217153</v>
      </c>
      <c r="AU215">
        <v>4232.6105111448096</v>
      </c>
      <c r="AV215">
        <v>4196.4764030809392</v>
      </c>
      <c r="AW215">
        <v>4150.3808267369714</v>
      </c>
      <c r="AX215">
        <v>4111.4345097357145</v>
      </c>
      <c r="AY215">
        <v>4103.1405482243972</v>
      </c>
      <c r="AZ215">
        <v>4069.1491611389574</v>
      </c>
      <c r="BA215">
        <v>4047.5584375355465</v>
      </c>
      <c r="BB215">
        <v>4027.8926112094932</v>
      </c>
      <c r="BC215">
        <v>4010.2621895527132</v>
      </c>
      <c r="BD215">
        <v>3951.3474180119802</v>
      </c>
      <c r="BE215">
        <v>3939.3700154175694</v>
      </c>
      <c r="BF215">
        <v>3929.987203370235</v>
      </c>
      <c r="BG215">
        <v>3925.4703960942343</v>
      </c>
      <c r="BH215">
        <v>3923.6671818240088</v>
      </c>
      <c r="BI215">
        <v>3924.3271067347137</v>
      </c>
      <c r="BJ215">
        <v>3928.1084086359547</v>
      </c>
      <c r="BK215">
        <v>3935.1092702728533</v>
      </c>
      <c r="BL215">
        <v>3944.0437613978966</v>
      </c>
      <c r="BM215">
        <v>3954.0820346638839</v>
      </c>
      <c r="BN215">
        <v>3966.9340482703715</v>
      </c>
    </row>
    <row r="216" spans="1:66" x14ac:dyDescent="0.25">
      <c r="A216" t="s">
        <v>236</v>
      </c>
      <c r="B216" t="s">
        <v>538</v>
      </c>
      <c r="C216" t="s">
        <v>526</v>
      </c>
      <c r="D216" t="s">
        <v>524</v>
      </c>
      <c r="E216" t="s">
        <v>521</v>
      </c>
      <c r="F216">
        <v>1816.6596733237263</v>
      </c>
      <c r="G216">
        <v>1893.7218802684215</v>
      </c>
      <c r="H216">
        <v>1971.3222733100288</v>
      </c>
      <c r="I216">
        <v>2049.4503492491226</v>
      </c>
      <c r="J216">
        <v>1947.5325263313807</v>
      </c>
      <c r="K216">
        <v>2023.8252549837712</v>
      </c>
      <c r="L216">
        <v>2102.1656796823004</v>
      </c>
      <c r="M216">
        <v>2125.7547716447093</v>
      </c>
      <c r="N216">
        <v>2086.8629737313777</v>
      </c>
      <c r="O216">
        <v>2084.0346339247499</v>
      </c>
      <c r="P216">
        <v>2103.6901401299438</v>
      </c>
      <c r="Q216">
        <v>2134.2537068539705</v>
      </c>
      <c r="R216">
        <v>2173.5947283527944</v>
      </c>
      <c r="S216">
        <v>2101.4028129686244</v>
      </c>
      <c r="T216">
        <v>2124.9026062551302</v>
      </c>
      <c r="U216">
        <v>2134.5667014321762</v>
      </c>
      <c r="V216">
        <v>1957.2003317893241</v>
      </c>
      <c r="W216">
        <v>1922.5694677164029</v>
      </c>
      <c r="X216">
        <v>1846.56179242198</v>
      </c>
      <c r="Y216">
        <v>1723.3205496528278</v>
      </c>
      <c r="Z216">
        <v>1665.7456629024559</v>
      </c>
      <c r="AA216">
        <v>1519.6605558608351</v>
      </c>
      <c r="AB216">
        <v>1410.5413176396301</v>
      </c>
      <c r="AC216">
        <v>1359.9084848190901</v>
      </c>
      <c r="AD216">
        <v>1314.1708670740722</v>
      </c>
      <c r="AE216">
        <v>1275.9271345153275</v>
      </c>
      <c r="AF216">
        <v>1246.0586846922251</v>
      </c>
      <c r="AG216">
        <v>1214.8602401561525</v>
      </c>
      <c r="AH216">
        <v>1156.3598029499428</v>
      </c>
      <c r="AI216">
        <v>1114.3950725962225</v>
      </c>
      <c r="AJ216">
        <v>1075.3643344180375</v>
      </c>
      <c r="AK216">
        <v>1058.4109684228663</v>
      </c>
      <c r="AL216">
        <v>1037.4549522386469</v>
      </c>
      <c r="AM216">
        <v>1013.2758510517407</v>
      </c>
      <c r="AN216">
        <v>991.73087463912941</v>
      </c>
      <c r="AO216">
        <v>970.67437720296823</v>
      </c>
      <c r="AP216">
        <v>949.70765952526119</v>
      </c>
      <c r="AQ216">
        <v>929.27304214105857</v>
      </c>
      <c r="AR216">
        <v>909.44593862552381</v>
      </c>
      <c r="AS216">
        <v>890.20077278003203</v>
      </c>
      <c r="AT216">
        <v>871.34442152989345</v>
      </c>
      <c r="AU216">
        <v>855.13096617355052</v>
      </c>
      <c r="AV216">
        <v>841.41236337917815</v>
      </c>
      <c r="AW216">
        <v>829.19970030628019</v>
      </c>
      <c r="AX216">
        <v>817.9153093405406</v>
      </c>
      <c r="AY216">
        <v>807.46470836703054</v>
      </c>
      <c r="AZ216">
        <v>797.42620395036988</v>
      </c>
      <c r="BA216">
        <v>787.78538634656923</v>
      </c>
      <c r="BB216">
        <v>778.52302611877394</v>
      </c>
      <c r="BC216">
        <v>769.52124022599696</v>
      </c>
      <c r="BD216">
        <v>760.91723140991348</v>
      </c>
      <c r="BE216">
        <v>752.88875096146035</v>
      </c>
      <c r="BF216">
        <v>744.94510574082778</v>
      </c>
      <c r="BG216">
        <v>737.09867059669966</v>
      </c>
      <c r="BH216">
        <v>729.27900666319317</v>
      </c>
      <c r="BI216">
        <v>721.61410586977718</v>
      </c>
      <c r="BJ216">
        <v>713.93666109206413</v>
      </c>
      <c r="BK216">
        <v>706.12882410345969</v>
      </c>
      <c r="BL216">
        <v>698.26931167350097</v>
      </c>
      <c r="BM216">
        <v>690.39560248839609</v>
      </c>
      <c r="BN216">
        <v>682.52326736644579</v>
      </c>
    </row>
    <row r="217" spans="1:66" x14ac:dyDescent="0.25">
      <c r="A217" t="s">
        <v>236</v>
      </c>
      <c r="B217" t="s">
        <v>538</v>
      </c>
      <c r="C217" t="s">
        <v>526</v>
      </c>
      <c r="D217" t="s">
        <v>525</v>
      </c>
      <c r="E217" t="s">
        <v>521</v>
      </c>
      <c r="F217">
        <v>29012.897398845394</v>
      </c>
      <c r="G217">
        <v>29733.023075344903</v>
      </c>
      <c r="H217">
        <v>31320.108193971439</v>
      </c>
      <c r="I217">
        <v>30769.917679558341</v>
      </c>
      <c r="J217">
        <v>30855.464305886358</v>
      </c>
      <c r="K217">
        <v>30807.15278760434</v>
      </c>
      <c r="L217">
        <v>32676.98144102552</v>
      </c>
      <c r="M217">
        <v>34628.447074801872</v>
      </c>
      <c r="N217">
        <v>32996.622945367468</v>
      </c>
      <c r="O217">
        <v>34535.956774742503</v>
      </c>
      <c r="P217">
        <v>35323.941097221861</v>
      </c>
      <c r="Q217">
        <v>37491.528269252616</v>
      </c>
      <c r="R217">
        <v>37597.790313188299</v>
      </c>
      <c r="S217">
        <v>39187.525100695137</v>
      </c>
      <c r="T217">
        <v>38883.963267331026</v>
      </c>
      <c r="U217">
        <v>40602.92604799055</v>
      </c>
      <c r="V217">
        <v>40941.03411633549</v>
      </c>
      <c r="W217">
        <v>39756.054114169223</v>
      </c>
      <c r="X217">
        <v>40704.644922956213</v>
      </c>
      <c r="Y217">
        <v>37851.584943027628</v>
      </c>
      <c r="Z217">
        <v>38258.189555380639</v>
      </c>
      <c r="AA217">
        <v>37476.742760931345</v>
      </c>
      <c r="AB217">
        <v>38822.24438135275</v>
      </c>
      <c r="AC217">
        <v>38042.386442328796</v>
      </c>
      <c r="AD217">
        <v>38239.490669053106</v>
      </c>
      <c r="AE217">
        <v>38574.2154058343</v>
      </c>
      <c r="AF217">
        <v>36887.73781690115</v>
      </c>
      <c r="AG217">
        <v>38354.032701478282</v>
      </c>
      <c r="AH217">
        <v>38244.89921952338</v>
      </c>
      <c r="AI217">
        <v>39634.847827478443</v>
      </c>
      <c r="AJ217">
        <v>36911.614290734949</v>
      </c>
      <c r="AK217">
        <v>38563.334611558996</v>
      </c>
      <c r="AL217">
        <v>38014.570442304888</v>
      </c>
      <c r="AM217">
        <v>37595.931246785687</v>
      </c>
      <c r="AN217">
        <v>36881.470207628074</v>
      </c>
      <c r="AO217">
        <v>36603.149013165952</v>
      </c>
      <c r="AP217">
        <v>36672.963886968399</v>
      </c>
      <c r="AQ217">
        <v>36672.558394745858</v>
      </c>
      <c r="AR217">
        <v>36610.605694854916</v>
      </c>
      <c r="AS217">
        <v>36524.061031180092</v>
      </c>
      <c r="AT217">
        <v>35439.516420730019</v>
      </c>
      <c r="AU217">
        <v>35268.706505779104</v>
      </c>
      <c r="AV217">
        <v>35059.204421205133</v>
      </c>
      <c r="AW217">
        <v>34800.108795371598</v>
      </c>
      <c r="AX217">
        <v>34491.391749761424</v>
      </c>
      <c r="AY217">
        <v>34223.301741710937</v>
      </c>
      <c r="AZ217">
        <v>33843.070032625372</v>
      </c>
      <c r="BA217">
        <v>33499.925137034312</v>
      </c>
      <c r="BB217">
        <v>33316.863192079298</v>
      </c>
      <c r="BC217">
        <v>33101.555213306943</v>
      </c>
      <c r="BD217">
        <v>26548.743297958343</v>
      </c>
      <c r="BE217">
        <v>25554.044378704555</v>
      </c>
      <c r="BF217">
        <v>24694.20479934875</v>
      </c>
      <c r="BG217">
        <v>23828.206238662977</v>
      </c>
      <c r="BH217">
        <v>22944.620024552507</v>
      </c>
      <c r="BI217">
        <v>22158.782390027507</v>
      </c>
      <c r="BJ217">
        <v>21385.97838042261</v>
      </c>
      <c r="BK217">
        <v>20641.658336281758</v>
      </c>
      <c r="BL217">
        <v>19918.195431192285</v>
      </c>
      <c r="BM217">
        <v>19289.40476384123</v>
      </c>
      <c r="BN217">
        <v>18761.561087919188</v>
      </c>
    </row>
    <row r="218" spans="1:66" x14ac:dyDescent="0.25">
      <c r="A218" t="s">
        <v>237</v>
      </c>
      <c r="B218" t="s">
        <v>540</v>
      </c>
      <c r="C218" t="s">
        <v>528</v>
      </c>
      <c r="D218" t="s">
        <v>518</v>
      </c>
      <c r="E218" t="s">
        <v>519</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11.416538041464802</v>
      </c>
      <c r="AA218">
        <v>8.7327708333333316</v>
      </c>
      <c r="AB218">
        <v>2.2770791666666668</v>
      </c>
      <c r="AC218">
        <v>1.3566666666666667</v>
      </c>
      <c r="AD218">
        <v>1.9666666666666663</v>
      </c>
      <c r="AE218">
        <v>4.4622309027777769</v>
      </c>
      <c r="AF218">
        <v>7.7698003472222208</v>
      </c>
      <c r="AG218">
        <v>11.941235920833332</v>
      </c>
      <c r="AH218">
        <v>18.817684762500001</v>
      </c>
      <c r="AI218">
        <v>24.5</v>
      </c>
      <c r="AJ218">
        <v>30</v>
      </c>
      <c r="AK218">
        <v>46.305643178011259</v>
      </c>
      <c r="AL218">
        <v>69.696559398715706</v>
      </c>
      <c r="AM218">
        <v>100</v>
      </c>
      <c r="AN218">
        <v>103</v>
      </c>
      <c r="AO218">
        <v>106.09</v>
      </c>
      <c r="AP218">
        <v>109.2727</v>
      </c>
      <c r="AQ218">
        <v>112.550881</v>
      </c>
      <c r="AR218">
        <v>115.92740743</v>
      </c>
      <c r="AS218">
        <v>119.4052296529</v>
      </c>
      <c r="AT218">
        <v>122.987386542487</v>
      </c>
      <c r="AU218">
        <v>126.67700813876162</v>
      </c>
      <c r="AV218">
        <v>130.47731838292447</v>
      </c>
      <c r="AW218">
        <v>134.39163793441222</v>
      </c>
      <c r="AX218">
        <v>138.4233870724446</v>
      </c>
      <c r="AY218">
        <v>142.57608868461793</v>
      </c>
      <c r="AZ218">
        <v>146.85337134515646</v>
      </c>
      <c r="BA218">
        <v>151.25897248551115</v>
      </c>
      <c r="BB218">
        <v>155.79674166007649</v>
      </c>
      <c r="BC218">
        <v>160.47064390987879</v>
      </c>
      <c r="BD218">
        <v>165.28476322717515</v>
      </c>
      <c r="BE218">
        <v>170.24330612399041</v>
      </c>
      <c r="BF218">
        <v>175.35060530771011</v>
      </c>
      <c r="BG218">
        <v>180.61112346694142</v>
      </c>
      <c r="BH218">
        <v>186.02945717094966</v>
      </c>
      <c r="BI218">
        <v>191.61034088607815</v>
      </c>
      <c r="BJ218">
        <v>197.35865111266051</v>
      </c>
      <c r="BK218">
        <v>203.27941064604033</v>
      </c>
      <c r="BL218">
        <v>209.37779296542155</v>
      </c>
      <c r="BM218">
        <v>215.6591267543842</v>
      </c>
      <c r="BN218">
        <v>222.12890055701573</v>
      </c>
    </row>
    <row r="219" spans="1:66" x14ac:dyDescent="0.25">
      <c r="A219" t="s">
        <v>237</v>
      </c>
      <c r="B219" t="s">
        <v>540</v>
      </c>
      <c r="C219" t="s">
        <v>528</v>
      </c>
      <c r="D219" t="s">
        <v>520</v>
      </c>
      <c r="E219" t="s">
        <v>521</v>
      </c>
      <c r="F219">
        <v>8126.1945618773643</v>
      </c>
      <c r="G219">
        <v>8106.661121873205</v>
      </c>
      <c r="H219">
        <v>8469.9964545997555</v>
      </c>
      <c r="I219">
        <v>8922.6885824844103</v>
      </c>
      <c r="J219">
        <v>9583.8002483498967</v>
      </c>
      <c r="K219">
        <v>10247.564720783123</v>
      </c>
      <c r="L219">
        <v>10378.724398951666</v>
      </c>
      <c r="M219">
        <v>10605.333888617772</v>
      </c>
      <c r="N219">
        <v>10810.458340752642</v>
      </c>
      <c r="O219">
        <v>11096.605458727845</v>
      </c>
      <c r="P219">
        <v>11648.310343290637</v>
      </c>
      <c r="Q219">
        <v>11705.871223077451</v>
      </c>
      <c r="R219">
        <v>12162.021231248526</v>
      </c>
      <c r="S219">
        <v>12697.797549640931</v>
      </c>
      <c r="T219">
        <v>12992.367162928625</v>
      </c>
      <c r="U219">
        <v>13063.440862686894</v>
      </c>
      <c r="V219">
        <v>13182.198504199005</v>
      </c>
      <c r="W219">
        <v>13284.806809600492</v>
      </c>
      <c r="X219">
        <v>13293.959706338926</v>
      </c>
      <c r="Y219">
        <v>13101.086214174264</v>
      </c>
      <c r="Z219">
        <v>13348.937535477718</v>
      </c>
      <c r="AA219">
        <v>13331.827621000642</v>
      </c>
      <c r="AB219">
        <v>13006.487718579234</v>
      </c>
      <c r="AC219">
        <v>13081.360160828839</v>
      </c>
      <c r="AD219">
        <v>13339.646613066796</v>
      </c>
      <c r="AE219">
        <v>13805.025309105527</v>
      </c>
      <c r="AF219">
        <v>13906.520809611657</v>
      </c>
      <c r="AG219">
        <v>14803.702978914342</v>
      </c>
      <c r="AH219">
        <v>15126.124771992951</v>
      </c>
      <c r="AI219">
        <v>14654.704680232724</v>
      </c>
      <c r="AJ219">
        <v>13175.66592208733</v>
      </c>
      <c r="AK219">
        <v>14389.135549876884</v>
      </c>
      <c r="AL219">
        <v>15130.679844183413</v>
      </c>
      <c r="AM219">
        <v>15208.431917459684</v>
      </c>
      <c r="AN219">
        <v>14986.384108672686</v>
      </c>
      <c r="AO219">
        <v>14705.258007867773</v>
      </c>
      <c r="AP219">
        <v>14236.469441235831</v>
      </c>
      <c r="AQ219">
        <v>13679.281013941791</v>
      </c>
      <c r="AR219">
        <v>12949.795665369693</v>
      </c>
      <c r="AS219">
        <v>12157.678383218135</v>
      </c>
      <c r="AT219">
        <v>11347.882754621567</v>
      </c>
      <c r="AU219">
        <v>10495.640238947588</v>
      </c>
      <c r="AV219">
        <v>9661.6436565770218</v>
      </c>
      <c r="AW219">
        <v>8832.9559702071911</v>
      </c>
      <c r="AX219">
        <v>8069.363154144995</v>
      </c>
      <c r="AY219">
        <v>7315.6791431789916</v>
      </c>
      <c r="AZ219">
        <v>6615.9094963385187</v>
      </c>
      <c r="BA219">
        <v>5948.3977686677663</v>
      </c>
      <c r="BB219">
        <v>5343.6238311173202</v>
      </c>
      <c r="BC219">
        <v>4766.2392837152092</v>
      </c>
      <c r="BD219">
        <v>4234.1472580737791</v>
      </c>
      <c r="BE219">
        <v>3814.3268813213122</v>
      </c>
      <c r="BF219">
        <v>3379.7604488563597</v>
      </c>
      <c r="BG219">
        <v>2995.2433710508658</v>
      </c>
      <c r="BH219">
        <v>2610.0502672406424</v>
      </c>
      <c r="BI219">
        <v>2262.4157213964299</v>
      </c>
      <c r="BJ219">
        <v>1955.053332272988</v>
      </c>
      <c r="BK219">
        <v>1686.0529687844626</v>
      </c>
      <c r="BL219">
        <v>1450.5573135379814</v>
      </c>
      <c r="BM219">
        <v>1236.6520215628057</v>
      </c>
      <c r="BN219">
        <v>1048.433792476299</v>
      </c>
    </row>
    <row r="220" spans="1:66" x14ac:dyDescent="0.25">
      <c r="A220" t="s">
        <v>237</v>
      </c>
      <c r="B220" t="s">
        <v>540</v>
      </c>
      <c r="C220" t="s">
        <v>528</v>
      </c>
      <c r="D220" t="s">
        <v>522</v>
      </c>
      <c r="E220" t="s">
        <v>521</v>
      </c>
      <c r="F220">
        <v>15640.940843035291</v>
      </c>
      <c r="G220">
        <v>16150.546759988883</v>
      </c>
      <c r="H220">
        <v>17648.388786263939</v>
      </c>
      <c r="I220">
        <v>16725.370693795405</v>
      </c>
      <c r="J220">
        <v>16380.548324839787</v>
      </c>
      <c r="K220">
        <v>15499.119986501893</v>
      </c>
      <c r="L220">
        <v>16964.973485962018</v>
      </c>
      <c r="M220">
        <v>18776.307489236842</v>
      </c>
      <c r="N220">
        <v>16990.87642543549</v>
      </c>
      <c r="O220">
        <v>18068.06638576484</v>
      </c>
      <c r="P220">
        <v>18247.587022073894</v>
      </c>
      <c r="Q220">
        <v>20209.470689366266</v>
      </c>
      <c r="R220">
        <v>19699.848793804682</v>
      </c>
      <c r="S220">
        <v>20589.961823411428</v>
      </c>
      <c r="T220">
        <v>19932.694122895617</v>
      </c>
      <c r="U220">
        <v>21455.132172136808</v>
      </c>
      <c r="V220">
        <v>21734.471668911941</v>
      </c>
      <c r="W220">
        <v>20224.013693454704</v>
      </c>
      <c r="X220">
        <v>21356.548009904149</v>
      </c>
      <c r="Y220">
        <v>18870.840564758502</v>
      </c>
      <c r="Z220">
        <v>18772.299934571802</v>
      </c>
      <c r="AA220">
        <v>18114.081314169005</v>
      </c>
      <c r="AB220">
        <v>19820.47191931152</v>
      </c>
      <c r="AC220">
        <v>18884.997469550366</v>
      </c>
      <c r="AD220">
        <v>18698.599087495157</v>
      </c>
      <c r="AE220">
        <v>18478.836391393874</v>
      </c>
      <c r="AF220">
        <v>16973.70962476591</v>
      </c>
      <c r="AG220">
        <v>17531.475135032353</v>
      </c>
      <c r="AH220">
        <v>17282.73541087965</v>
      </c>
      <c r="AI220">
        <v>19152.571947895391</v>
      </c>
      <c r="AJ220">
        <v>18178.313197265285</v>
      </c>
      <c r="AK220">
        <v>18109.047848699509</v>
      </c>
      <c r="AL220">
        <v>16801.732077791843</v>
      </c>
      <c r="AM220">
        <v>15912.097899384502</v>
      </c>
      <c r="AN220">
        <v>14834.617980304489</v>
      </c>
      <c r="AO220">
        <v>13952.881011311332</v>
      </c>
      <c r="AP220">
        <v>13606.342647195452</v>
      </c>
      <c r="AQ220">
        <v>13261.822169168223</v>
      </c>
      <c r="AR220">
        <v>12991.079134242129</v>
      </c>
      <c r="AS220">
        <v>12791.175720333638</v>
      </c>
      <c r="AT220">
        <v>11838.10262149297</v>
      </c>
      <c r="AU220">
        <v>11581.628882395442</v>
      </c>
      <c r="AV220">
        <v>11277.721627231429</v>
      </c>
      <c r="AW220">
        <v>10993.315276451838</v>
      </c>
      <c r="AX220">
        <v>10681.73264936023</v>
      </c>
      <c r="AY220">
        <v>10266.423688346078</v>
      </c>
      <c r="AZ220">
        <v>9801.7096196395669</v>
      </c>
      <c r="BA220">
        <v>9322.9313846001442</v>
      </c>
      <c r="BB220">
        <v>8829.0599036849235</v>
      </c>
      <c r="BC220">
        <v>8312.0262767247805</v>
      </c>
      <c r="BD220">
        <v>6898.0850686703407</v>
      </c>
      <c r="BE220">
        <v>6411.4715390877454</v>
      </c>
      <c r="BF220">
        <v>5939.7604237136466</v>
      </c>
      <c r="BG220">
        <v>5607.3528175153406</v>
      </c>
      <c r="BH220">
        <v>5274.790988430399</v>
      </c>
      <c r="BI220">
        <v>4845.6675320144768</v>
      </c>
      <c r="BJ220">
        <v>4500.4930349413844</v>
      </c>
      <c r="BK220">
        <v>4148.3079901649189</v>
      </c>
      <c r="BL220">
        <v>3885.2724885375073</v>
      </c>
      <c r="BM220">
        <v>3647.0444576371378</v>
      </c>
      <c r="BN220">
        <v>3418.0336780814937</v>
      </c>
    </row>
    <row r="221" spans="1:66" x14ac:dyDescent="0.25">
      <c r="A221" t="s">
        <v>237</v>
      </c>
      <c r="B221" t="s">
        <v>540</v>
      </c>
      <c r="C221" t="s">
        <v>528</v>
      </c>
      <c r="D221" t="s">
        <v>523</v>
      </c>
      <c r="E221" t="s">
        <v>521</v>
      </c>
      <c r="F221">
        <v>3429.1023206090149</v>
      </c>
      <c r="G221">
        <v>3582.0933132143959</v>
      </c>
      <c r="H221">
        <v>3230.4006797977117</v>
      </c>
      <c r="I221">
        <v>3072.4080540294026</v>
      </c>
      <c r="J221">
        <v>2943.5832063652938</v>
      </c>
      <c r="K221">
        <v>3036.6428253355557</v>
      </c>
      <c r="L221">
        <v>3231.1178764295346</v>
      </c>
      <c r="M221">
        <v>3121.0509253025539</v>
      </c>
      <c r="N221">
        <v>3108.4252054479571</v>
      </c>
      <c r="O221">
        <v>3287.2502963250704</v>
      </c>
      <c r="P221">
        <v>3324.3535917273935</v>
      </c>
      <c r="Q221">
        <v>3441.9326499549325</v>
      </c>
      <c r="R221">
        <v>3562.3255597822995</v>
      </c>
      <c r="S221">
        <v>3798.3629146741546</v>
      </c>
      <c r="T221">
        <v>3833.9993752516589</v>
      </c>
      <c r="U221">
        <v>3949.7863117346769</v>
      </c>
      <c r="V221">
        <v>4067.1636114352182</v>
      </c>
      <c r="W221">
        <v>4324.6641433976283</v>
      </c>
      <c r="X221">
        <v>4207.5754142911601</v>
      </c>
      <c r="Y221">
        <v>4156.3376144420381</v>
      </c>
      <c r="Z221">
        <v>4471.2064224286651</v>
      </c>
      <c r="AA221">
        <v>4511.1732699008671</v>
      </c>
      <c r="AB221">
        <v>4584.743425822363</v>
      </c>
      <c r="AC221">
        <v>4716.1203271304976</v>
      </c>
      <c r="AD221">
        <v>4887.0741014170871</v>
      </c>
      <c r="AE221">
        <v>5014.426570819578</v>
      </c>
      <c r="AF221">
        <v>4761.4486978313562</v>
      </c>
      <c r="AG221">
        <v>4803.9943473754338</v>
      </c>
      <c r="AH221">
        <v>4679.6792337008401</v>
      </c>
      <c r="AI221">
        <v>4713.1761267541115</v>
      </c>
      <c r="AJ221">
        <v>4482.2708369643005</v>
      </c>
      <c r="AK221">
        <v>4684.6924221093332</v>
      </c>
      <c r="AL221">
        <v>4615.0969488544042</v>
      </c>
      <c r="AM221">
        <v>4464.7251801706134</v>
      </c>
      <c r="AN221">
        <v>4498.556684997272</v>
      </c>
      <c r="AO221">
        <v>4457.6642470078723</v>
      </c>
      <c r="AP221">
        <v>4435.7265731000116</v>
      </c>
      <c r="AQ221">
        <v>4383.8597322980931</v>
      </c>
      <c r="AR221">
        <v>4340.2303182720307</v>
      </c>
      <c r="AS221">
        <v>4310.0526562841196</v>
      </c>
      <c r="AT221">
        <v>4056.7660980085575</v>
      </c>
      <c r="AU221">
        <v>4023.5935046231211</v>
      </c>
      <c r="AV221">
        <v>3992.9033957464435</v>
      </c>
      <c r="AW221">
        <v>3955.3802301421929</v>
      </c>
      <c r="AX221">
        <v>3924.0909550976148</v>
      </c>
      <c r="AY221">
        <v>3926.2745471173826</v>
      </c>
      <c r="AZ221">
        <v>3891.1608326447263</v>
      </c>
      <c r="BA221">
        <v>3873.9888830179452</v>
      </c>
      <c r="BB221">
        <v>3858.373266848927</v>
      </c>
      <c r="BC221">
        <v>3844.4091009507952</v>
      </c>
      <c r="BD221">
        <v>2082.8904944049937</v>
      </c>
      <c r="BE221">
        <v>2074.2747610761471</v>
      </c>
      <c r="BF221">
        <v>2067.6923306378599</v>
      </c>
      <c r="BG221">
        <v>2063.9102744517522</v>
      </c>
      <c r="BH221">
        <v>2062.1576472951297</v>
      </c>
      <c r="BI221">
        <v>2062.4562759033447</v>
      </c>
      <c r="BJ221">
        <v>2065.5126294903484</v>
      </c>
      <c r="BK221">
        <v>2071.3982177832313</v>
      </c>
      <c r="BL221">
        <v>2079.0342680102763</v>
      </c>
      <c r="BM221">
        <v>2087.714659807822</v>
      </c>
      <c r="BN221">
        <v>2098.8843917757004</v>
      </c>
    </row>
    <row r="222" spans="1:66" x14ac:dyDescent="0.25">
      <c r="A222" t="s">
        <v>237</v>
      </c>
      <c r="B222" t="s">
        <v>540</v>
      </c>
      <c r="C222" t="s">
        <v>528</v>
      </c>
      <c r="D222" t="s">
        <v>524</v>
      </c>
      <c r="E222" t="s">
        <v>521</v>
      </c>
      <c r="F222">
        <v>1816.6596733237263</v>
      </c>
      <c r="G222">
        <v>1893.7218802684215</v>
      </c>
      <c r="H222">
        <v>1971.3222733100288</v>
      </c>
      <c r="I222">
        <v>2049.4503492491226</v>
      </c>
      <c r="J222">
        <v>1947.5325263313807</v>
      </c>
      <c r="K222">
        <v>2023.8252549837712</v>
      </c>
      <c r="L222">
        <v>2102.1656796823004</v>
      </c>
      <c r="M222">
        <v>2125.7547716447093</v>
      </c>
      <c r="N222">
        <v>2086.8629737313777</v>
      </c>
      <c r="O222">
        <v>2084.0346339247499</v>
      </c>
      <c r="P222">
        <v>2103.6901401299438</v>
      </c>
      <c r="Q222">
        <v>2134.2537068539705</v>
      </c>
      <c r="R222">
        <v>2173.5947283527944</v>
      </c>
      <c r="S222">
        <v>2101.4028129686244</v>
      </c>
      <c r="T222">
        <v>2124.9026062551302</v>
      </c>
      <c r="U222">
        <v>2134.5667014321762</v>
      </c>
      <c r="V222">
        <v>1957.2003317893241</v>
      </c>
      <c r="W222">
        <v>1922.5694677164029</v>
      </c>
      <c r="X222">
        <v>1846.56179242198</v>
      </c>
      <c r="Y222">
        <v>1723.3205496528278</v>
      </c>
      <c r="Z222">
        <v>1665.7456629024559</v>
      </c>
      <c r="AA222">
        <v>1519.6605558608351</v>
      </c>
      <c r="AB222">
        <v>1410.5413176396301</v>
      </c>
      <c r="AC222">
        <v>1359.9084848190901</v>
      </c>
      <c r="AD222">
        <v>1314.1708670740722</v>
      </c>
      <c r="AE222">
        <v>1275.9271345153275</v>
      </c>
      <c r="AF222">
        <v>1246.0586846922251</v>
      </c>
      <c r="AG222">
        <v>1214.8602401561525</v>
      </c>
      <c r="AH222">
        <v>1156.3598029499428</v>
      </c>
      <c r="AI222">
        <v>1114.3950725962225</v>
      </c>
      <c r="AJ222">
        <v>1075.3643344180375</v>
      </c>
      <c r="AK222">
        <v>1058.4109684228663</v>
      </c>
      <c r="AL222">
        <v>1022.6056717073851</v>
      </c>
      <c r="AM222">
        <v>958.96266417380684</v>
      </c>
      <c r="AN222">
        <v>894.95985110602771</v>
      </c>
      <c r="AO222">
        <v>830.20804974995497</v>
      </c>
      <c r="AP222">
        <v>765.42495046274541</v>
      </c>
      <c r="AQ222">
        <v>716.23973187093122</v>
      </c>
      <c r="AR222">
        <v>667.27873913813312</v>
      </c>
      <c r="AS222">
        <v>618.86959775125081</v>
      </c>
      <c r="AT222">
        <v>571.15627646632288</v>
      </c>
      <c r="AU222">
        <v>525.26064809363731</v>
      </c>
      <c r="AV222">
        <v>485.33325267568455</v>
      </c>
      <c r="AW222">
        <v>449.07190344986702</v>
      </c>
      <c r="AX222">
        <v>415.30904749836435</v>
      </c>
      <c r="AY222">
        <v>383.52992028193478</v>
      </c>
      <c r="AZ222">
        <v>353.34421878533993</v>
      </c>
      <c r="BA222">
        <v>324.61648253631211</v>
      </c>
      <c r="BB222">
        <v>297.26120538261853</v>
      </c>
      <c r="BC222">
        <v>271.19781668143264</v>
      </c>
      <c r="BD222">
        <v>246.42006305403967</v>
      </c>
      <c r="BE222">
        <v>228.76061473390612</v>
      </c>
      <c r="BF222">
        <v>212.01972979719091</v>
      </c>
      <c r="BG222">
        <v>196.15349208681764</v>
      </c>
      <c r="BH222">
        <v>181.1092278255239</v>
      </c>
      <c r="BI222">
        <v>166.86775312894875</v>
      </c>
      <c r="BJ222">
        <v>153.37057082021238</v>
      </c>
      <c r="BK222">
        <v>140.57595541124473</v>
      </c>
      <c r="BL222">
        <v>128.46805420261808</v>
      </c>
      <c r="BM222">
        <v>117.02624189815158</v>
      </c>
      <c r="BN222">
        <v>106.22845651837657</v>
      </c>
    </row>
    <row r="223" spans="1:66" x14ac:dyDescent="0.25">
      <c r="A223" t="s">
        <v>237</v>
      </c>
      <c r="B223" t="s">
        <v>540</v>
      </c>
      <c r="C223" t="s">
        <v>528</v>
      </c>
      <c r="D223" t="s">
        <v>525</v>
      </c>
      <c r="E223" t="s">
        <v>521</v>
      </c>
      <c r="F223">
        <v>29012.897398845394</v>
      </c>
      <c r="G223">
        <v>29733.023075344903</v>
      </c>
      <c r="H223">
        <v>31320.108193971439</v>
      </c>
      <c r="I223">
        <v>30769.917679558341</v>
      </c>
      <c r="J223">
        <v>30855.464305886358</v>
      </c>
      <c r="K223">
        <v>30807.15278760434</v>
      </c>
      <c r="L223">
        <v>32676.98144102552</v>
      </c>
      <c r="M223">
        <v>34628.447074801872</v>
      </c>
      <c r="N223">
        <v>32996.622945367468</v>
      </c>
      <c r="O223">
        <v>34535.956774742503</v>
      </c>
      <c r="P223">
        <v>35323.941097221861</v>
      </c>
      <c r="Q223">
        <v>37491.528269252616</v>
      </c>
      <c r="R223">
        <v>37597.790313188299</v>
      </c>
      <c r="S223">
        <v>39187.525100695137</v>
      </c>
      <c r="T223">
        <v>38883.963267331026</v>
      </c>
      <c r="U223">
        <v>40602.92604799055</v>
      </c>
      <c r="V223">
        <v>40941.03411633549</v>
      </c>
      <c r="W223">
        <v>39756.054114169223</v>
      </c>
      <c r="X223">
        <v>40704.644922956213</v>
      </c>
      <c r="Y223">
        <v>37851.584943027628</v>
      </c>
      <c r="Z223">
        <v>38258.189555380639</v>
      </c>
      <c r="AA223">
        <v>37476.742760931345</v>
      </c>
      <c r="AB223">
        <v>38822.24438135275</v>
      </c>
      <c r="AC223">
        <v>38042.386442328796</v>
      </c>
      <c r="AD223">
        <v>38239.490669053106</v>
      </c>
      <c r="AE223">
        <v>38574.2154058343</v>
      </c>
      <c r="AF223">
        <v>36887.73781690115</v>
      </c>
      <c r="AG223">
        <v>38354.032701478282</v>
      </c>
      <c r="AH223">
        <v>38244.89921952338</v>
      </c>
      <c r="AI223">
        <v>39634.847827478443</v>
      </c>
      <c r="AJ223">
        <v>36911.614290734949</v>
      </c>
      <c r="AK223">
        <v>38241.286789108599</v>
      </c>
      <c r="AL223">
        <v>37570.114542537049</v>
      </c>
      <c r="AM223">
        <v>36544.21766118861</v>
      </c>
      <c r="AN223">
        <v>35214.518625080476</v>
      </c>
      <c r="AO223">
        <v>33946.011315936936</v>
      </c>
      <c r="AP223">
        <v>33043.963611994041</v>
      </c>
      <c r="AQ223">
        <v>32041.202647279035</v>
      </c>
      <c r="AR223">
        <v>30948.383857021985</v>
      </c>
      <c r="AS223">
        <v>29877.776357587143</v>
      </c>
      <c r="AT223">
        <v>27813.907750589413</v>
      </c>
      <c r="AU223">
        <v>26626.123274059788</v>
      </c>
      <c r="AV223">
        <v>25417.60193223058</v>
      </c>
      <c r="AW223">
        <v>24230.723380251089</v>
      </c>
      <c r="AX223">
        <v>23090.495806101204</v>
      </c>
      <c r="AY223">
        <v>21891.907298924387</v>
      </c>
      <c r="AZ223">
        <v>20662.124167408154</v>
      </c>
      <c r="BA223">
        <v>19469.934518822167</v>
      </c>
      <c r="BB223">
        <v>18328.31820703379</v>
      </c>
      <c r="BC223">
        <v>17193.872478072219</v>
      </c>
      <c r="BD223">
        <v>13461.542884203154</v>
      </c>
      <c r="BE223">
        <v>12528.833796219111</v>
      </c>
      <c r="BF223">
        <v>11599.232933005058</v>
      </c>
      <c r="BG223">
        <v>10862.659955104777</v>
      </c>
      <c r="BH223">
        <v>10128.108130791694</v>
      </c>
      <c r="BI223">
        <v>9337.4072824432005</v>
      </c>
      <c r="BJ223">
        <v>8674.4295675249323</v>
      </c>
      <c r="BK223">
        <v>8046.3351321438577</v>
      </c>
      <c r="BL223">
        <v>7543.3321242883831</v>
      </c>
      <c r="BM223">
        <v>7088.4373809059171</v>
      </c>
      <c r="BN223">
        <v>6671.5803188518694</v>
      </c>
    </row>
    <row r="224" spans="1:66" x14ac:dyDescent="0.25">
      <c r="A224" t="s">
        <v>238</v>
      </c>
      <c r="B224" t="s">
        <v>540</v>
      </c>
      <c r="C224" t="s">
        <v>529</v>
      </c>
      <c r="D224" t="s">
        <v>518</v>
      </c>
      <c r="E224" t="s">
        <v>519</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11.416538041464802</v>
      </c>
      <c r="AA224">
        <v>8.7327708333333316</v>
      </c>
      <c r="AB224">
        <v>2.2770791666666668</v>
      </c>
      <c r="AC224">
        <v>1.3566666666666667</v>
      </c>
      <c r="AD224">
        <v>1.9666666666666663</v>
      </c>
      <c r="AE224">
        <v>4.4622309027777769</v>
      </c>
      <c r="AF224">
        <v>7.7698003472222208</v>
      </c>
      <c r="AG224">
        <v>11.941235920833332</v>
      </c>
      <c r="AH224">
        <v>18.817684762500001</v>
      </c>
      <c r="AI224">
        <v>24.5</v>
      </c>
      <c r="AJ224">
        <v>30</v>
      </c>
      <c r="AK224">
        <v>46.305643178011259</v>
      </c>
      <c r="AL224">
        <v>69.696559398715706</v>
      </c>
      <c r="AM224">
        <v>150</v>
      </c>
      <c r="AN224">
        <v>154.5</v>
      </c>
      <c r="AO224">
        <v>159.13499999999999</v>
      </c>
      <c r="AP224">
        <v>163.90905000000001</v>
      </c>
      <c r="AQ224">
        <v>168.82632150000001</v>
      </c>
      <c r="AR224">
        <v>173.891111145</v>
      </c>
      <c r="AS224">
        <v>179.10784447935001</v>
      </c>
      <c r="AT224">
        <v>184.4810798137305</v>
      </c>
      <c r="AU224">
        <v>190.01551220814241</v>
      </c>
      <c r="AV224">
        <v>195.7159775743867</v>
      </c>
      <c r="AW224">
        <v>201.58745690161831</v>
      </c>
      <c r="AX224">
        <v>207.63508060866687</v>
      </c>
      <c r="AY224">
        <v>213.86413302692688</v>
      </c>
      <c r="AZ224">
        <v>220.28005701773469</v>
      </c>
      <c r="BA224">
        <v>226.88845872826673</v>
      </c>
      <c r="BB224">
        <v>233.69511249011472</v>
      </c>
      <c r="BC224">
        <v>240.70596586481818</v>
      </c>
      <c r="BD224">
        <v>247.92714484076274</v>
      </c>
      <c r="BE224">
        <v>255.36495918598561</v>
      </c>
      <c r="BF224">
        <v>263.02590796156517</v>
      </c>
      <c r="BG224">
        <v>270.91668520041213</v>
      </c>
      <c r="BH224">
        <v>279.0441857564245</v>
      </c>
      <c r="BI224">
        <v>287.41551132911724</v>
      </c>
      <c r="BJ224">
        <v>296.03797666899078</v>
      </c>
      <c r="BK224">
        <v>304.9191159690605</v>
      </c>
      <c r="BL224">
        <v>314.06668944813231</v>
      </c>
      <c r="BM224">
        <v>323.48869013157628</v>
      </c>
      <c r="BN224">
        <v>333.19335083552357</v>
      </c>
    </row>
    <row r="225" spans="1:66" x14ac:dyDescent="0.25">
      <c r="A225" t="s">
        <v>238</v>
      </c>
      <c r="B225" t="s">
        <v>540</v>
      </c>
      <c r="C225" t="s">
        <v>529</v>
      </c>
      <c r="D225" t="s">
        <v>520</v>
      </c>
      <c r="E225" t="s">
        <v>521</v>
      </c>
      <c r="F225">
        <v>8126.1945618773643</v>
      </c>
      <c r="G225">
        <v>8106.661121873205</v>
      </c>
      <c r="H225">
        <v>8469.9964545997555</v>
      </c>
      <c r="I225">
        <v>8922.6885824844103</v>
      </c>
      <c r="J225">
        <v>9583.8002483498967</v>
      </c>
      <c r="K225">
        <v>10247.564720783123</v>
      </c>
      <c r="L225">
        <v>10378.724398951666</v>
      </c>
      <c r="M225">
        <v>10605.333888617772</v>
      </c>
      <c r="N225">
        <v>10810.458340752642</v>
      </c>
      <c r="O225">
        <v>11096.605458727845</v>
      </c>
      <c r="P225">
        <v>11648.310343290637</v>
      </c>
      <c r="Q225">
        <v>11705.871223077451</v>
      </c>
      <c r="R225">
        <v>12162.021231248526</v>
      </c>
      <c r="S225">
        <v>12697.797549640931</v>
      </c>
      <c r="T225">
        <v>12992.367162928625</v>
      </c>
      <c r="U225">
        <v>13063.440862686894</v>
      </c>
      <c r="V225">
        <v>13182.198504199005</v>
      </c>
      <c r="W225">
        <v>13284.806809600492</v>
      </c>
      <c r="X225">
        <v>13293.959706338926</v>
      </c>
      <c r="Y225">
        <v>13101.086214174264</v>
      </c>
      <c r="Z225">
        <v>13348.937535477718</v>
      </c>
      <c r="AA225">
        <v>13331.827621000642</v>
      </c>
      <c r="AB225">
        <v>13006.487718579234</v>
      </c>
      <c r="AC225">
        <v>13081.360160828839</v>
      </c>
      <c r="AD225">
        <v>13339.646613066796</v>
      </c>
      <c r="AE225">
        <v>13805.025309105527</v>
      </c>
      <c r="AF225">
        <v>13906.520809611657</v>
      </c>
      <c r="AG225">
        <v>14803.702978914342</v>
      </c>
      <c r="AH225">
        <v>15126.124771992951</v>
      </c>
      <c r="AI225">
        <v>14654.704680232724</v>
      </c>
      <c r="AJ225">
        <v>13175.66592208733</v>
      </c>
      <c r="AK225">
        <v>14389.135549876884</v>
      </c>
      <c r="AL225">
        <v>15130.550585593086</v>
      </c>
      <c r="AM225">
        <v>15198.252260478223</v>
      </c>
      <c r="AN225">
        <v>14964.650878038608</v>
      </c>
      <c r="AO225">
        <v>14653.592262124876</v>
      </c>
      <c r="AP225">
        <v>14141.623745605364</v>
      </c>
      <c r="AQ225">
        <v>13513.647915710259</v>
      </c>
      <c r="AR225">
        <v>12700.435071216214</v>
      </c>
      <c r="AS225">
        <v>11855.3421979014</v>
      </c>
      <c r="AT225">
        <v>11009.533678023474</v>
      </c>
      <c r="AU225">
        <v>10186.914198987939</v>
      </c>
      <c r="AV225">
        <v>9355.0360357363115</v>
      </c>
      <c r="AW225">
        <v>8517.4045323388127</v>
      </c>
      <c r="AX225">
        <v>7710.9595139660241</v>
      </c>
      <c r="AY225">
        <v>6919.8319746340585</v>
      </c>
      <c r="AZ225">
        <v>6260.4579794176816</v>
      </c>
      <c r="BA225">
        <v>5633.8998819929739</v>
      </c>
      <c r="BB225">
        <v>5029.5506915140886</v>
      </c>
      <c r="BC225">
        <v>4520.3465484634116</v>
      </c>
      <c r="BD225">
        <v>3998.6452816343408</v>
      </c>
      <c r="BE225">
        <v>3563.8095685032781</v>
      </c>
      <c r="BF225">
        <v>3193.3149561709365</v>
      </c>
      <c r="BG225">
        <v>2834.6137561689147</v>
      </c>
      <c r="BH225">
        <v>2455.9952629772802</v>
      </c>
      <c r="BI225">
        <v>2111.7143821263844</v>
      </c>
      <c r="BJ225">
        <v>1816.7646667152253</v>
      </c>
      <c r="BK225">
        <v>1576.2848076059117</v>
      </c>
      <c r="BL225">
        <v>1328.619092086921</v>
      </c>
      <c r="BM225">
        <v>1150.9063483361717</v>
      </c>
      <c r="BN225">
        <v>974.85528232208424</v>
      </c>
    </row>
    <row r="226" spans="1:66" x14ac:dyDescent="0.25">
      <c r="A226" t="s">
        <v>238</v>
      </c>
      <c r="B226" t="s">
        <v>540</v>
      </c>
      <c r="C226" t="s">
        <v>529</v>
      </c>
      <c r="D226" t="s">
        <v>522</v>
      </c>
      <c r="E226" t="s">
        <v>521</v>
      </c>
      <c r="F226">
        <v>15640.940843035291</v>
      </c>
      <c r="G226">
        <v>16150.546759988883</v>
      </c>
      <c r="H226">
        <v>17648.388786263939</v>
      </c>
      <c r="I226">
        <v>16725.370693795405</v>
      </c>
      <c r="J226">
        <v>16380.548324839787</v>
      </c>
      <c r="K226">
        <v>15499.119986501893</v>
      </c>
      <c r="L226">
        <v>16964.973485962018</v>
      </c>
      <c r="M226">
        <v>18776.307489236842</v>
      </c>
      <c r="N226">
        <v>16990.87642543549</v>
      </c>
      <c r="O226">
        <v>18068.06638576484</v>
      </c>
      <c r="P226">
        <v>18247.587022073894</v>
      </c>
      <c r="Q226">
        <v>20209.470689366266</v>
      </c>
      <c r="R226">
        <v>19699.848793804682</v>
      </c>
      <c r="S226">
        <v>20589.961823411428</v>
      </c>
      <c r="T226">
        <v>19932.694122895617</v>
      </c>
      <c r="U226">
        <v>21455.132172136808</v>
      </c>
      <c r="V226">
        <v>21734.471668911941</v>
      </c>
      <c r="W226">
        <v>20224.013693454704</v>
      </c>
      <c r="X226">
        <v>21356.548009904149</v>
      </c>
      <c r="Y226">
        <v>18870.840564758502</v>
      </c>
      <c r="Z226">
        <v>18772.299934571802</v>
      </c>
      <c r="AA226">
        <v>18114.081314169005</v>
      </c>
      <c r="AB226">
        <v>19820.47191931152</v>
      </c>
      <c r="AC226">
        <v>18884.997469550366</v>
      </c>
      <c r="AD226">
        <v>18698.599087495157</v>
      </c>
      <c r="AE226">
        <v>18478.836391393874</v>
      </c>
      <c r="AF226">
        <v>16973.70962476591</v>
      </c>
      <c r="AG226">
        <v>17531.475135032353</v>
      </c>
      <c r="AH226">
        <v>17282.73541087965</v>
      </c>
      <c r="AI226">
        <v>19152.571947895391</v>
      </c>
      <c r="AJ226">
        <v>18178.313197265285</v>
      </c>
      <c r="AK226">
        <v>18109.047848699509</v>
      </c>
      <c r="AL226">
        <v>16751.862103062951</v>
      </c>
      <c r="AM226">
        <v>15792.983580513965</v>
      </c>
      <c r="AN226">
        <v>14400.163218985068</v>
      </c>
      <c r="AO226">
        <v>13343.609304382686</v>
      </c>
      <c r="AP226">
        <v>12870.206231204984</v>
      </c>
      <c r="AQ226">
        <v>12307.589249285471</v>
      </c>
      <c r="AR226">
        <v>11840.099477697791</v>
      </c>
      <c r="AS226">
        <v>11510.969891489149</v>
      </c>
      <c r="AT226">
        <v>10433.244461116983</v>
      </c>
      <c r="AU226">
        <v>10102.898522004169</v>
      </c>
      <c r="AV226">
        <v>9692.8953491972406</v>
      </c>
      <c r="AW226">
        <v>9295.8564359350312</v>
      </c>
      <c r="AX226">
        <v>8918.5611721484165</v>
      </c>
      <c r="AY226">
        <v>8543.9731390673769</v>
      </c>
      <c r="AZ226">
        <v>8157.7710176537048</v>
      </c>
      <c r="BA226">
        <v>7765.0466283348323</v>
      </c>
      <c r="BB226">
        <v>7350.9444929489791</v>
      </c>
      <c r="BC226">
        <v>6937.9706926257804</v>
      </c>
      <c r="BD226">
        <v>5690.4436974823411</v>
      </c>
      <c r="BE226">
        <v>5369.5354612147476</v>
      </c>
      <c r="BF226">
        <v>5007.4356503534564</v>
      </c>
      <c r="BG226">
        <v>4771.6094855691226</v>
      </c>
      <c r="BH226">
        <v>4461.1841969357401</v>
      </c>
      <c r="BI226">
        <v>4051.4997552111504</v>
      </c>
      <c r="BJ226">
        <v>3698.4761263576656</v>
      </c>
      <c r="BK226">
        <v>3298.2746370968648</v>
      </c>
      <c r="BL226">
        <v>2839.8668059501192</v>
      </c>
      <c r="BM226">
        <v>2653.6814826438876</v>
      </c>
      <c r="BN226">
        <v>2459.534853854143</v>
      </c>
    </row>
    <row r="227" spans="1:66" x14ac:dyDescent="0.25">
      <c r="A227" t="s">
        <v>238</v>
      </c>
      <c r="B227" t="s">
        <v>540</v>
      </c>
      <c r="C227" t="s">
        <v>529</v>
      </c>
      <c r="D227" t="s">
        <v>523</v>
      </c>
      <c r="E227" t="s">
        <v>521</v>
      </c>
      <c r="F227">
        <v>3429.1023206090149</v>
      </c>
      <c r="G227">
        <v>3582.0933132143959</v>
      </c>
      <c r="H227">
        <v>3230.4006797977117</v>
      </c>
      <c r="I227">
        <v>3072.4080540294026</v>
      </c>
      <c r="J227">
        <v>2943.5832063652938</v>
      </c>
      <c r="K227">
        <v>3036.6428253355557</v>
      </c>
      <c r="L227">
        <v>3231.1178764295346</v>
      </c>
      <c r="M227">
        <v>3121.0509253025539</v>
      </c>
      <c r="N227">
        <v>3108.4252054479571</v>
      </c>
      <c r="O227">
        <v>3287.2502963250704</v>
      </c>
      <c r="P227">
        <v>3324.3535917273935</v>
      </c>
      <c r="Q227">
        <v>3441.9326499549325</v>
      </c>
      <c r="R227">
        <v>3562.3255597822995</v>
      </c>
      <c r="S227">
        <v>3798.3629146741546</v>
      </c>
      <c r="T227">
        <v>3833.9993752516589</v>
      </c>
      <c r="U227">
        <v>3949.7863117346769</v>
      </c>
      <c r="V227">
        <v>4067.1636114352182</v>
      </c>
      <c r="W227">
        <v>4324.6641433976283</v>
      </c>
      <c r="X227">
        <v>4207.5754142911601</v>
      </c>
      <c r="Y227">
        <v>4156.3376144420381</v>
      </c>
      <c r="Z227">
        <v>4471.2064224286651</v>
      </c>
      <c r="AA227">
        <v>4511.1732699008671</v>
      </c>
      <c r="AB227">
        <v>4584.743425822363</v>
      </c>
      <c r="AC227">
        <v>4716.1203271304976</v>
      </c>
      <c r="AD227">
        <v>4887.0741014170871</v>
      </c>
      <c r="AE227">
        <v>5014.426570819578</v>
      </c>
      <c r="AF227">
        <v>4761.4486978313562</v>
      </c>
      <c r="AG227">
        <v>4803.9943473754338</v>
      </c>
      <c r="AH227">
        <v>4679.6792337008401</v>
      </c>
      <c r="AI227">
        <v>4713.1761267541115</v>
      </c>
      <c r="AJ227">
        <v>4482.2708369643005</v>
      </c>
      <c r="AK227">
        <v>4684.6924221093332</v>
      </c>
      <c r="AL227">
        <v>4615.0969488544042</v>
      </c>
      <c r="AM227">
        <v>4464.7251801706125</v>
      </c>
      <c r="AN227">
        <v>4498.5566849972711</v>
      </c>
      <c r="AO227">
        <v>4457.6642470078723</v>
      </c>
      <c r="AP227">
        <v>4435.7265731000116</v>
      </c>
      <c r="AQ227">
        <v>4383.8597322980931</v>
      </c>
      <c r="AR227">
        <v>4340.2303182720298</v>
      </c>
      <c r="AS227">
        <v>4310.0526562841196</v>
      </c>
      <c r="AT227">
        <v>4056.7660980085575</v>
      </c>
      <c r="AU227">
        <v>4023.5935046231207</v>
      </c>
      <c r="AV227">
        <v>3992.9033957464444</v>
      </c>
      <c r="AW227">
        <v>3955.3802301421929</v>
      </c>
      <c r="AX227">
        <v>3924.0909550976153</v>
      </c>
      <c r="AY227">
        <v>3926.2745471173826</v>
      </c>
      <c r="AZ227">
        <v>3891.1608326447263</v>
      </c>
      <c r="BA227">
        <v>3873.9888830179452</v>
      </c>
      <c r="BB227">
        <v>3858.373266848927</v>
      </c>
      <c r="BC227">
        <v>3844.4091009507952</v>
      </c>
      <c r="BD227">
        <v>2082.8904944049937</v>
      </c>
      <c r="BE227">
        <v>2074.2747610761476</v>
      </c>
      <c r="BF227">
        <v>2067.6923306378594</v>
      </c>
      <c r="BG227">
        <v>2063.9102744517522</v>
      </c>
      <c r="BH227">
        <v>2062.1576472951301</v>
      </c>
      <c r="BI227">
        <v>2062.4562759033447</v>
      </c>
      <c r="BJ227">
        <v>2065.5126294903484</v>
      </c>
      <c r="BK227">
        <v>2071.3982177832308</v>
      </c>
      <c r="BL227">
        <v>2079.0342680102763</v>
      </c>
      <c r="BM227">
        <v>2087.7146598078216</v>
      </c>
      <c r="BN227">
        <v>2098.8843917757004</v>
      </c>
    </row>
    <row r="228" spans="1:66" x14ac:dyDescent="0.25">
      <c r="A228" t="s">
        <v>238</v>
      </c>
      <c r="B228" t="s">
        <v>540</v>
      </c>
      <c r="C228" t="s">
        <v>529</v>
      </c>
      <c r="D228" t="s">
        <v>524</v>
      </c>
      <c r="E228" t="s">
        <v>521</v>
      </c>
      <c r="F228">
        <v>1816.6596733237263</v>
      </c>
      <c r="G228">
        <v>1893.7218802684215</v>
      </c>
      <c r="H228">
        <v>1971.3222733100288</v>
      </c>
      <c r="I228">
        <v>2049.4503492491226</v>
      </c>
      <c r="J228">
        <v>1947.5325263313807</v>
      </c>
      <c r="K228">
        <v>2023.8252549837712</v>
      </c>
      <c r="L228">
        <v>2102.1656796823004</v>
      </c>
      <c r="M228">
        <v>2125.7547716447093</v>
      </c>
      <c r="N228">
        <v>2086.8629737313777</v>
      </c>
      <c r="O228">
        <v>2084.0346339247499</v>
      </c>
      <c r="P228">
        <v>2103.6901401299438</v>
      </c>
      <c r="Q228">
        <v>2134.2537068539705</v>
      </c>
      <c r="R228">
        <v>2173.5947283527944</v>
      </c>
      <c r="S228">
        <v>2101.4028129686244</v>
      </c>
      <c r="T228">
        <v>2124.9026062551302</v>
      </c>
      <c r="U228">
        <v>2134.5667014321762</v>
      </c>
      <c r="V228">
        <v>1957.2003317893241</v>
      </c>
      <c r="W228">
        <v>1922.5694677164029</v>
      </c>
      <c r="X228">
        <v>1846.56179242198</v>
      </c>
      <c r="Y228">
        <v>1723.3205496528278</v>
      </c>
      <c r="Z228">
        <v>1665.7456629024559</v>
      </c>
      <c r="AA228">
        <v>1519.6605558608351</v>
      </c>
      <c r="AB228">
        <v>1410.5413176396301</v>
      </c>
      <c r="AC228">
        <v>1359.9084848190901</v>
      </c>
      <c r="AD228">
        <v>1314.1708670740722</v>
      </c>
      <c r="AE228">
        <v>1275.9271345153275</v>
      </c>
      <c r="AF228">
        <v>1246.0586846922251</v>
      </c>
      <c r="AG228">
        <v>1214.8602401561525</v>
      </c>
      <c r="AH228">
        <v>1156.3598029499428</v>
      </c>
      <c r="AI228">
        <v>1114.3950725962225</v>
      </c>
      <c r="AJ228">
        <v>1075.3643344180375</v>
      </c>
      <c r="AK228">
        <v>1058.4109684228663</v>
      </c>
      <c r="AL228">
        <v>1022.6056717073851</v>
      </c>
      <c r="AM228">
        <v>958.96266417380684</v>
      </c>
      <c r="AN228">
        <v>894.95985110602771</v>
      </c>
      <c r="AO228">
        <v>830.20804974995497</v>
      </c>
      <c r="AP228">
        <v>765.42495046274541</v>
      </c>
      <c r="AQ228">
        <v>716.23973187093122</v>
      </c>
      <c r="AR228">
        <v>667.27873913813312</v>
      </c>
      <c r="AS228">
        <v>618.86959775125081</v>
      </c>
      <c r="AT228">
        <v>571.15627646632288</v>
      </c>
      <c r="AU228">
        <v>525.26064809363731</v>
      </c>
      <c r="AV228">
        <v>485.33325267568455</v>
      </c>
      <c r="AW228">
        <v>449.07190344986702</v>
      </c>
      <c r="AX228">
        <v>415.30904749836435</v>
      </c>
      <c r="AY228">
        <v>383.52992028193478</v>
      </c>
      <c r="AZ228">
        <v>353.34421878533993</v>
      </c>
      <c r="BA228">
        <v>324.61648253631211</v>
      </c>
      <c r="BB228">
        <v>297.26120538261853</v>
      </c>
      <c r="BC228">
        <v>271.19781668143264</v>
      </c>
      <c r="BD228">
        <v>246.42006305403967</v>
      </c>
      <c r="BE228">
        <v>228.76061473390612</v>
      </c>
      <c r="BF228">
        <v>212.01972979719091</v>
      </c>
      <c r="BG228">
        <v>196.15349208681764</v>
      </c>
      <c r="BH228">
        <v>181.1092278255239</v>
      </c>
      <c r="BI228">
        <v>166.86775312894875</v>
      </c>
      <c r="BJ228">
        <v>153.37057082021238</v>
      </c>
      <c r="BK228">
        <v>140.57595541124473</v>
      </c>
      <c r="BL228">
        <v>128.46805420261808</v>
      </c>
      <c r="BM228">
        <v>117.02624189815158</v>
      </c>
      <c r="BN228">
        <v>106.22845651837657</v>
      </c>
    </row>
    <row r="229" spans="1:66" x14ac:dyDescent="0.25">
      <c r="A229" t="s">
        <v>238</v>
      </c>
      <c r="B229" t="s">
        <v>540</v>
      </c>
      <c r="C229" t="s">
        <v>529</v>
      </c>
      <c r="D229" t="s">
        <v>525</v>
      </c>
      <c r="E229" t="s">
        <v>521</v>
      </c>
      <c r="F229">
        <v>29012.897398845394</v>
      </c>
      <c r="G229">
        <v>29733.023075344903</v>
      </c>
      <c r="H229">
        <v>31320.108193971439</v>
      </c>
      <c r="I229">
        <v>30769.917679558341</v>
      </c>
      <c r="J229">
        <v>30855.464305886358</v>
      </c>
      <c r="K229">
        <v>30807.15278760434</v>
      </c>
      <c r="L229">
        <v>32676.98144102552</v>
      </c>
      <c r="M229">
        <v>34628.447074801872</v>
      </c>
      <c r="N229">
        <v>32996.622945367468</v>
      </c>
      <c r="O229">
        <v>34535.956774742503</v>
      </c>
      <c r="P229">
        <v>35323.941097221861</v>
      </c>
      <c r="Q229">
        <v>37491.528269252616</v>
      </c>
      <c r="R229">
        <v>37597.790313188299</v>
      </c>
      <c r="S229">
        <v>39187.525100695137</v>
      </c>
      <c r="T229">
        <v>38883.963267331026</v>
      </c>
      <c r="U229">
        <v>40602.92604799055</v>
      </c>
      <c r="V229">
        <v>40941.03411633549</v>
      </c>
      <c r="W229">
        <v>39756.054114169223</v>
      </c>
      <c r="X229">
        <v>40704.644922956213</v>
      </c>
      <c r="Y229">
        <v>37851.584943027628</v>
      </c>
      <c r="Z229">
        <v>38258.189555380639</v>
      </c>
      <c r="AA229">
        <v>37476.742760931345</v>
      </c>
      <c r="AB229">
        <v>38822.24438135275</v>
      </c>
      <c r="AC229">
        <v>38042.386442328796</v>
      </c>
      <c r="AD229">
        <v>38239.490669053106</v>
      </c>
      <c r="AE229">
        <v>38574.2154058343</v>
      </c>
      <c r="AF229">
        <v>36887.73781690115</v>
      </c>
      <c r="AG229">
        <v>38354.032701478282</v>
      </c>
      <c r="AH229">
        <v>38244.89921952338</v>
      </c>
      <c r="AI229">
        <v>39634.847827478443</v>
      </c>
      <c r="AJ229">
        <v>36911.614290734949</v>
      </c>
      <c r="AK229">
        <v>38241.286789108599</v>
      </c>
      <c r="AL229">
        <v>37520.115309217828</v>
      </c>
      <c r="AM229">
        <v>36414.923685336609</v>
      </c>
      <c r="AN229">
        <v>34758.330633126978</v>
      </c>
      <c r="AO229">
        <v>33285.073863265388</v>
      </c>
      <c r="AP229">
        <v>32212.981500373102</v>
      </c>
      <c r="AQ229">
        <v>30921.336629164751</v>
      </c>
      <c r="AR229">
        <v>29548.043606324169</v>
      </c>
      <c r="AS229">
        <v>28295.23434342592</v>
      </c>
      <c r="AT229">
        <v>26070.700513615335</v>
      </c>
      <c r="AU229">
        <v>24838.666873708866</v>
      </c>
      <c r="AV229">
        <v>23526.168033355683</v>
      </c>
      <c r="AW229">
        <v>22217.713101865906</v>
      </c>
      <c r="AX229">
        <v>20968.920688710419</v>
      </c>
      <c r="AY229">
        <v>19773.609581100751</v>
      </c>
      <c r="AZ229">
        <v>18662.734048501454</v>
      </c>
      <c r="BA229">
        <v>17597.551875882062</v>
      </c>
      <c r="BB229">
        <v>16536.129656694611</v>
      </c>
      <c r="BC229">
        <v>15573.924158721422</v>
      </c>
      <c r="BD229">
        <v>12018.399536575715</v>
      </c>
      <c r="BE229">
        <v>11236.38040552808</v>
      </c>
      <c r="BF229">
        <v>10480.462666959444</v>
      </c>
      <c r="BG229">
        <v>9866.2870082766076</v>
      </c>
      <c r="BH229">
        <v>9160.4463350336737</v>
      </c>
      <c r="BI229">
        <v>8392.5381663698281</v>
      </c>
      <c r="BJ229">
        <v>7734.1239933834522</v>
      </c>
      <c r="BK229">
        <v>7086.533617897252</v>
      </c>
      <c r="BL229">
        <v>6375.9882202499339</v>
      </c>
      <c r="BM229">
        <v>6009.3287326860327</v>
      </c>
      <c r="BN229">
        <v>5639.502984470304</v>
      </c>
    </row>
    <row r="230" spans="1:66" x14ac:dyDescent="0.25">
      <c r="A230" t="s">
        <v>239</v>
      </c>
      <c r="B230" t="s">
        <v>540</v>
      </c>
      <c r="C230" t="s">
        <v>530</v>
      </c>
      <c r="D230" t="s">
        <v>518</v>
      </c>
      <c r="E230" t="s">
        <v>519</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11.416538041464802</v>
      </c>
      <c r="AA230">
        <v>8.7327708333333316</v>
      </c>
      <c r="AB230">
        <v>2.2770791666666668</v>
      </c>
      <c r="AC230">
        <v>1.3566666666666667</v>
      </c>
      <c r="AD230">
        <v>1.9666666666666663</v>
      </c>
      <c r="AE230">
        <v>4.4622309027777769</v>
      </c>
      <c r="AF230">
        <v>7.7698003472222208</v>
      </c>
      <c r="AG230">
        <v>11.941235920833332</v>
      </c>
      <c r="AH230">
        <v>18.817684762500001</v>
      </c>
      <c r="AI230">
        <v>24.5</v>
      </c>
      <c r="AJ230">
        <v>30</v>
      </c>
      <c r="AK230">
        <v>46.305643178011259</v>
      </c>
      <c r="AL230">
        <v>69.696559398715706</v>
      </c>
      <c r="AM230">
        <v>200</v>
      </c>
      <c r="AN230">
        <v>206</v>
      </c>
      <c r="AO230">
        <v>212.18</v>
      </c>
      <c r="AP230">
        <v>218.5454</v>
      </c>
      <c r="AQ230">
        <v>225.10176200000001</v>
      </c>
      <c r="AR230">
        <v>231.85481486</v>
      </c>
      <c r="AS230">
        <v>238.81045930580001</v>
      </c>
      <c r="AT230">
        <v>245.974773084974</v>
      </c>
      <c r="AU230">
        <v>253.35401627752324</v>
      </c>
      <c r="AV230">
        <v>260.95463676584893</v>
      </c>
      <c r="AW230">
        <v>268.78327586882443</v>
      </c>
      <c r="AX230">
        <v>276.8467741448892</v>
      </c>
      <c r="AY230">
        <v>285.15217736923586</v>
      </c>
      <c r="AZ230">
        <v>293.70674269031292</v>
      </c>
      <c r="BA230">
        <v>302.5179449710223</v>
      </c>
      <c r="BB230">
        <v>311.59348332015298</v>
      </c>
      <c r="BC230">
        <v>320.94128781975758</v>
      </c>
      <c r="BD230">
        <v>330.5695264543503</v>
      </c>
      <c r="BE230">
        <v>340.48661224798082</v>
      </c>
      <c r="BF230">
        <v>350.70121061542022</v>
      </c>
      <c r="BG230">
        <v>361.22224693388284</v>
      </c>
      <c r="BH230">
        <v>372.05891434189931</v>
      </c>
      <c r="BI230">
        <v>383.2206817721563</v>
      </c>
      <c r="BJ230">
        <v>394.71730222532102</v>
      </c>
      <c r="BK230">
        <v>406.55882129208067</v>
      </c>
      <c r="BL230">
        <v>418.7555859308431</v>
      </c>
      <c r="BM230">
        <v>431.31825350876841</v>
      </c>
      <c r="BN230">
        <v>444.25780111403145</v>
      </c>
    </row>
    <row r="231" spans="1:66" x14ac:dyDescent="0.25">
      <c r="A231" t="s">
        <v>239</v>
      </c>
      <c r="B231" t="s">
        <v>540</v>
      </c>
      <c r="C231" t="s">
        <v>530</v>
      </c>
      <c r="D231" t="s">
        <v>520</v>
      </c>
      <c r="E231" t="s">
        <v>521</v>
      </c>
      <c r="F231">
        <v>8126.1945618773643</v>
      </c>
      <c r="G231">
        <v>8106.661121873205</v>
      </c>
      <c r="H231">
        <v>8469.9964545997555</v>
      </c>
      <c r="I231">
        <v>8922.6885824844103</v>
      </c>
      <c r="J231">
        <v>9583.8002483498967</v>
      </c>
      <c r="K231">
        <v>10247.564720783123</v>
      </c>
      <c r="L231">
        <v>10378.724398951666</v>
      </c>
      <c r="M231">
        <v>10605.333888617772</v>
      </c>
      <c r="N231">
        <v>10810.458340752642</v>
      </c>
      <c r="O231">
        <v>11096.605458727845</v>
      </c>
      <c r="P231">
        <v>11648.310343290637</v>
      </c>
      <c r="Q231">
        <v>11705.871223077451</v>
      </c>
      <c r="R231">
        <v>12162.021231248526</v>
      </c>
      <c r="S231">
        <v>12697.797549640931</v>
      </c>
      <c r="T231">
        <v>12992.367162928625</v>
      </c>
      <c r="U231">
        <v>13063.440862686894</v>
      </c>
      <c r="V231">
        <v>13182.198504199005</v>
      </c>
      <c r="W231">
        <v>13284.806809600492</v>
      </c>
      <c r="X231">
        <v>13293.959706338926</v>
      </c>
      <c r="Y231">
        <v>13101.086214174264</v>
      </c>
      <c r="Z231">
        <v>13348.937535477718</v>
      </c>
      <c r="AA231">
        <v>13331.827621000642</v>
      </c>
      <c r="AB231">
        <v>13006.487718579234</v>
      </c>
      <c r="AC231">
        <v>13081.360160828839</v>
      </c>
      <c r="AD231">
        <v>13339.646613066796</v>
      </c>
      <c r="AE231">
        <v>13805.025309105527</v>
      </c>
      <c r="AF231">
        <v>13906.520809611657</v>
      </c>
      <c r="AG231">
        <v>14803.702978914342</v>
      </c>
      <c r="AH231">
        <v>15126.124771992951</v>
      </c>
      <c r="AI231">
        <v>14654.704680232724</v>
      </c>
      <c r="AJ231">
        <v>13175.66592208733</v>
      </c>
      <c r="AK231">
        <v>14389.135549876884</v>
      </c>
      <c r="AL231">
        <v>15130.369328370387</v>
      </c>
      <c r="AM231">
        <v>15189.962744133347</v>
      </c>
      <c r="AN231">
        <v>14939.195723214842</v>
      </c>
      <c r="AO231">
        <v>14595.445830394661</v>
      </c>
      <c r="AP231">
        <v>14026.525269831573</v>
      </c>
      <c r="AQ231">
        <v>13316.383140064752</v>
      </c>
      <c r="AR231">
        <v>12469.893077243329</v>
      </c>
      <c r="AS231">
        <v>11600.158312153691</v>
      </c>
      <c r="AT231">
        <v>10740.476275114543</v>
      </c>
      <c r="AU231">
        <v>9922.853579588329</v>
      </c>
      <c r="AV231">
        <v>9085.8824451937107</v>
      </c>
      <c r="AW231">
        <v>8255.4594261806978</v>
      </c>
      <c r="AX231">
        <v>7476.5440458837675</v>
      </c>
      <c r="AY231">
        <v>6690.4960209036244</v>
      </c>
      <c r="AZ231">
        <v>5990.329012668074</v>
      </c>
      <c r="BA231">
        <v>5386.6153363408903</v>
      </c>
      <c r="BB231">
        <v>4826.5448593580822</v>
      </c>
      <c r="BC231">
        <v>4292.3152803832481</v>
      </c>
      <c r="BD231">
        <v>3801.3936025034654</v>
      </c>
      <c r="BE231">
        <v>3408.8885564346369</v>
      </c>
      <c r="BF231">
        <v>3016.6079296212347</v>
      </c>
      <c r="BG231">
        <v>2677.5383582060163</v>
      </c>
      <c r="BH231">
        <v>2309.5280495994075</v>
      </c>
      <c r="BI231">
        <v>1974.884851588251</v>
      </c>
      <c r="BJ231">
        <v>1736.1391908166195</v>
      </c>
      <c r="BK231">
        <v>1468.445764252059</v>
      </c>
      <c r="BL231">
        <v>1232.75874804965</v>
      </c>
      <c r="BM231">
        <v>1077.7325248127509</v>
      </c>
      <c r="BN231">
        <v>918.99357426198731</v>
      </c>
    </row>
    <row r="232" spans="1:66" x14ac:dyDescent="0.25">
      <c r="A232" t="s">
        <v>239</v>
      </c>
      <c r="B232" t="s">
        <v>540</v>
      </c>
      <c r="C232" t="s">
        <v>530</v>
      </c>
      <c r="D232" t="s">
        <v>522</v>
      </c>
      <c r="E232" t="s">
        <v>521</v>
      </c>
      <c r="F232">
        <v>15640.940843035291</v>
      </c>
      <c r="G232">
        <v>16150.546759988883</v>
      </c>
      <c r="H232">
        <v>17648.388786263939</v>
      </c>
      <c r="I232">
        <v>16725.370693795405</v>
      </c>
      <c r="J232">
        <v>16380.548324839787</v>
      </c>
      <c r="K232">
        <v>15499.119986501893</v>
      </c>
      <c r="L232">
        <v>16964.973485962018</v>
      </c>
      <c r="M232">
        <v>18776.307489236842</v>
      </c>
      <c r="N232">
        <v>16990.87642543549</v>
      </c>
      <c r="O232">
        <v>18068.06638576484</v>
      </c>
      <c r="P232">
        <v>18247.587022073894</v>
      </c>
      <c r="Q232">
        <v>20209.470689366266</v>
      </c>
      <c r="R232">
        <v>19699.848793804682</v>
      </c>
      <c r="S232">
        <v>20589.961823411428</v>
      </c>
      <c r="T232">
        <v>19932.694122895617</v>
      </c>
      <c r="U232">
        <v>21455.132172136808</v>
      </c>
      <c r="V232">
        <v>21734.471668911941</v>
      </c>
      <c r="W232">
        <v>20224.013693454704</v>
      </c>
      <c r="X232">
        <v>21356.548009904149</v>
      </c>
      <c r="Y232">
        <v>18870.840564758502</v>
      </c>
      <c r="Z232">
        <v>18772.299934571802</v>
      </c>
      <c r="AA232">
        <v>18114.081314169005</v>
      </c>
      <c r="AB232">
        <v>19820.47191931152</v>
      </c>
      <c r="AC232">
        <v>18884.997469550366</v>
      </c>
      <c r="AD232">
        <v>18698.599087495157</v>
      </c>
      <c r="AE232">
        <v>18478.836391393874</v>
      </c>
      <c r="AF232">
        <v>16973.70962476591</v>
      </c>
      <c r="AG232">
        <v>17531.475135032353</v>
      </c>
      <c r="AH232">
        <v>17282.73541087965</v>
      </c>
      <c r="AI232">
        <v>19152.571947895391</v>
      </c>
      <c r="AJ232">
        <v>18178.313197265285</v>
      </c>
      <c r="AK232">
        <v>18109.047848699509</v>
      </c>
      <c r="AL232">
        <v>16717.532684904803</v>
      </c>
      <c r="AM232">
        <v>16000.061824054146</v>
      </c>
      <c r="AN232">
        <v>13762.576156059791</v>
      </c>
      <c r="AO232">
        <v>12711.845072400529</v>
      </c>
      <c r="AP232">
        <v>12066.656236692841</v>
      </c>
      <c r="AQ232">
        <v>11443.973654522497</v>
      </c>
      <c r="AR232">
        <v>10946.997246963007</v>
      </c>
      <c r="AS232">
        <v>10571.051242070842</v>
      </c>
      <c r="AT232">
        <v>9277.5477326099171</v>
      </c>
      <c r="AU232">
        <v>8945.6701692793795</v>
      </c>
      <c r="AV232">
        <v>8477.9289271146936</v>
      </c>
      <c r="AW232">
        <v>8099.0277985231678</v>
      </c>
      <c r="AX232">
        <v>7753.2834580277668</v>
      </c>
      <c r="AY232">
        <v>7417.8630692552624</v>
      </c>
      <c r="AZ232">
        <v>7108.3271625810285</v>
      </c>
      <c r="BA232">
        <v>6774.3684843354113</v>
      </c>
      <c r="BB232">
        <v>6401.6160410599687</v>
      </c>
      <c r="BC232">
        <v>6034.7905313432329</v>
      </c>
      <c r="BD232">
        <v>4665.5219396548036</v>
      </c>
      <c r="BE232">
        <v>4359.2695690039673</v>
      </c>
      <c r="BF232">
        <v>3847.4425550297688</v>
      </c>
      <c r="BG232">
        <v>3617.4406210712514</v>
      </c>
      <c r="BH232">
        <v>3310.1814538702301</v>
      </c>
      <c r="BI232">
        <v>3090.3284914868691</v>
      </c>
      <c r="BJ232">
        <v>2693.9637903545081</v>
      </c>
      <c r="BK232">
        <v>2499.7147657228293</v>
      </c>
      <c r="BL232">
        <v>2318.9513164624782</v>
      </c>
      <c r="BM232">
        <v>2118.0130168874375</v>
      </c>
      <c r="BN232">
        <v>1953.1486646307294</v>
      </c>
    </row>
    <row r="233" spans="1:66" x14ac:dyDescent="0.25">
      <c r="A233" t="s">
        <v>239</v>
      </c>
      <c r="B233" t="s">
        <v>540</v>
      </c>
      <c r="C233" t="s">
        <v>530</v>
      </c>
      <c r="D233" t="s">
        <v>523</v>
      </c>
      <c r="E233" t="s">
        <v>521</v>
      </c>
      <c r="F233">
        <v>3429.1023206090149</v>
      </c>
      <c r="G233">
        <v>3582.0933132143959</v>
      </c>
      <c r="H233">
        <v>3230.4006797977117</v>
      </c>
      <c r="I233">
        <v>3072.4080540294026</v>
      </c>
      <c r="J233">
        <v>2943.5832063652938</v>
      </c>
      <c r="K233">
        <v>3036.6428253355557</v>
      </c>
      <c r="L233">
        <v>3231.1178764295346</v>
      </c>
      <c r="M233">
        <v>3121.0509253025539</v>
      </c>
      <c r="N233">
        <v>3108.4252054479571</v>
      </c>
      <c r="O233">
        <v>3287.2502963250704</v>
      </c>
      <c r="P233">
        <v>3324.3535917273935</v>
      </c>
      <c r="Q233">
        <v>3441.9326499549325</v>
      </c>
      <c r="R233">
        <v>3562.3255597822995</v>
      </c>
      <c r="S233">
        <v>3798.3629146741546</v>
      </c>
      <c r="T233">
        <v>3833.9993752516589</v>
      </c>
      <c r="U233">
        <v>3949.7863117346769</v>
      </c>
      <c r="V233">
        <v>4067.1636114352182</v>
      </c>
      <c r="W233">
        <v>4324.6641433976283</v>
      </c>
      <c r="X233">
        <v>4207.5754142911601</v>
      </c>
      <c r="Y233">
        <v>4156.3376144420381</v>
      </c>
      <c r="Z233">
        <v>4471.2064224286651</v>
      </c>
      <c r="AA233">
        <v>4511.1732699008671</v>
      </c>
      <c r="AB233">
        <v>4584.743425822363</v>
      </c>
      <c r="AC233">
        <v>4716.1203271304976</v>
      </c>
      <c r="AD233">
        <v>4887.0741014170871</v>
      </c>
      <c r="AE233">
        <v>5014.426570819578</v>
      </c>
      <c r="AF233">
        <v>4761.4486978313562</v>
      </c>
      <c r="AG233">
        <v>4803.9943473754338</v>
      </c>
      <c r="AH233">
        <v>4679.6792337008401</v>
      </c>
      <c r="AI233">
        <v>4713.1761267541115</v>
      </c>
      <c r="AJ233">
        <v>4482.2708369643005</v>
      </c>
      <c r="AK233">
        <v>4684.6924221093332</v>
      </c>
      <c r="AL233">
        <v>4615.0969488544042</v>
      </c>
      <c r="AM233">
        <v>4464.7251801706125</v>
      </c>
      <c r="AN233">
        <v>4498.556684997272</v>
      </c>
      <c r="AO233">
        <v>4457.6642470078714</v>
      </c>
      <c r="AP233">
        <v>4435.7265731000125</v>
      </c>
      <c r="AQ233">
        <v>4383.8597322980931</v>
      </c>
      <c r="AR233">
        <v>4340.2303182720298</v>
      </c>
      <c r="AS233">
        <v>4310.0526562841205</v>
      </c>
      <c r="AT233">
        <v>4056.7660980085579</v>
      </c>
      <c r="AU233">
        <v>4023.5935046231211</v>
      </c>
      <c r="AV233">
        <v>3992.9033957464439</v>
      </c>
      <c r="AW233">
        <v>3955.3802301421929</v>
      </c>
      <c r="AX233">
        <v>3924.0909550976148</v>
      </c>
      <c r="AY233">
        <v>3926.2745471173835</v>
      </c>
      <c r="AZ233">
        <v>3891.1608326447267</v>
      </c>
      <c r="BA233">
        <v>3873.9888830179457</v>
      </c>
      <c r="BB233">
        <v>3858.373266848927</v>
      </c>
      <c r="BC233">
        <v>3844.4091009507952</v>
      </c>
      <c r="BD233">
        <v>2082.8904944049937</v>
      </c>
      <c r="BE233">
        <v>2074.2747610761471</v>
      </c>
      <c r="BF233">
        <v>2067.6923306378599</v>
      </c>
      <c r="BG233">
        <v>2063.9102744517518</v>
      </c>
      <c r="BH233">
        <v>2062.1576472951301</v>
      </c>
      <c r="BI233">
        <v>2062.4562759033447</v>
      </c>
      <c r="BJ233">
        <v>2065.5126294903484</v>
      </c>
      <c r="BK233">
        <v>2071.3982177832308</v>
      </c>
      <c r="BL233">
        <v>2079.0342680102763</v>
      </c>
      <c r="BM233">
        <v>2087.7146598078216</v>
      </c>
      <c r="BN233">
        <v>2098.8843917757004</v>
      </c>
    </row>
    <row r="234" spans="1:66" x14ac:dyDescent="0.25">
      <c r="A234" t="s">
        <v>239</v>
      </c>
      <c r="B234" t="s">
        <v>540</v>
      </c>
      <c r="C234" t="s">
        <v>530</v>
      </c>
      <c r="D234" t="s">
        <v>524</v>
      </c>
      <c r="E234" t="s">
        <v>521</v>
      </c>
      <c r="F234">
        <v>1816.6596733237263</v>
      </c>
      <c r="G234">
        <v>1893.7218802684215</v>
      </c>
      <c r="H234">
        <v>1971.3222733100288</v>
      </c>
      <c r="I234">
        <v>2049.4503492491226</v>
      </c>
      <c r="J234">
        <v>1947.5325263313807</v>
      </c>
      <c r="K234">
        <v>2023.8252549837712</v>
      </c>
      <c r="L234">
        <v>2102.1656796823004</v>
      </c>
      <c r="M234">
        <v>2125.7547716447093</v>
      </c>
      <c r="N234">
        <v>2086.8629737313777</v>
      </c>
      <c r="O234">
        <v>2084.0346339247499</v>
      </c>
      <c r="P234">
        <v>2103.6901401299438</v>
      </c>
      <c r="Q234">
        <v>2134.2537068539705</v>
      </c>
      <c r="R234">
        <v>2173.5947283527944</v>
      </c>
      <c r="S234">
        <v>2101.4028129686244</v>
      </c>
      <c r="T234">
        <v>2124.9026062551302</v>
      </c>
      <c r="U234">
        <v>2134.5667014321762</v>
      </c>
      <c r="V234">
        <v>1957.2003317893241</v>
      </c>
      <c r="W234">
        <v>1922.5694677164029</v>
      </c>
      <c r="X234">
        <v>1846.56179242198</v>
      </c>
      <c r="Y234">
        <v>1723.3205496528278</v>
      </c>
      <c r="Z234">
        <v>1665.7456629024559</v>
      </c>
      <c r="AA234">
        <v>1519.6605558608351</v>
      </c>
      <c r="AB234">
        <v>1410.5413176396301</v>
      </c>
      <c r="AC234">
        <v>1359.9084848190901</v>
      </c>
      <c r="AD234">
        <v>1314.1708670740722</v>
      </c>
      <c r="AE234">
        <v>1275.9271345153275</v>
      </c>
      <c r="AF234">
        <v>1246.0586846922251</v>
      </c>
      <c r="AG234">
        <v>1214.8602401561525</v>
      </c>
      <c r="AH234">
        <v>1156.3598029499428</v>
      </c>
      <c r="AI234">
        <v>1114.3950725962225</v>
      </c>
      <c r="AJ234">
        <v>1075.3643344180375</v>
      </c>
      <c r="AK234">
        <v>1058.4109684228663</v>
      </c>
      <c r="AL234">
        <v>1022.6056717073851</v>
      </c>
      <c r="AM234">
        <v>958.96266417380684</v>
      </c>
      <c r="AN234">
        <v>894.95985110602771</v>
      </c>
      <c r="AO234">
        <v>830.20804974995497</v>
      </c>
      <c r="AP234">
        <v>765.42495046274541</v>
      </c>
      <c r="AQ234">
        <v>716.23973187093122</v>
      </c>
      <c r="AR234">
        <v>667.27873913813312</v>
      </c>
      <c r="AS234">
        <v>618.86959775125081</v>
      </c>
      <c r="AT234">
        <v>571.15627646632288</v>
      </c>
      <c r="AU234">
        <v>525.26064809363731</v>
      </c>
      <c r="AV234">
        <v>485.33325267568455</v>
      </c>
      <c r="AW234">
        <v>449.07190344986702</v>
      </c>
      <c r="AX234">
        <v>415.30904749836435</v>
      </c>
      <c r="AY234">
        <v>383.52992028193478</v>
      </c>
      <c r="AZ234">
        <v>353.34421878533993</v>
      </c>
      <c r="BA234">
        <v>324.61648253631211</v>
      </c>
      <c r="BB234">
        <v>297.26120538261853</v>
      </c>
      <c r="BC234">
        <v>271.19781668143264</v>
      </c>
      <c r="BD234">
        <v>246.42006305403967</v>
      </c>
      <c r="BE234">
        <v>228.76061473390612</v>
      </c>
      <c r="BF234">
        <v>212.01972979719091</v>
      </c>
      <c r="BG234">
        <v>196.15349208681764</v>
      </c>
      <c r="BH234">
        <v>181.1092278255239</v>
      </c>
      <c r="BI234">
        <v>166.86775312894875</v>
      </c>
      <c r="BJ234">
        <v>153.37057082021238</v>
      </c>
      <c r="BK234">
        <v>140.57595541124473</v>
      </c>
      <c r="BL234">
        <v>128.46805420261808</v>
      </c>
      <c r="BM234">
        <v>117.02624189815158</v>
      </c>
      <c r="BN234">
        <v>106.22845651837657</v>
      </c>
    </row>
    <row r="235" spans="1:66" x14ac:dyDescent="0.25">
      <c r="A235" t="s">
        <v>239</v>
      </c>
      <c r="B235" t="s">
        <v>540</v>
      </c>
      <c r="C235" t="s">
        <v>530</v>
      </c>
      <c r="D235" t="s">
        <v>525</v>
      </c>
      <c r="E235" t="s">
        <v>521</v>
      </c>
      <c r="F235">
        <v>29012.897398845394</v>
      </c>
      <c r="G235">
        <v>29733.023075344903</v>
      </c>
      <c r="H235">
        <v>31320.108193971439</v>
      </c>
      <c r="I235">
        <v>30769.917679558341</v>
      </c>
      <c r="J235">
        <v>30855.464305886358</v>
      </c>
      <c r="K235">
        <v>30807.15278760434</v>
      </c>
      <c r="L235">
        <v>32676.98144102552</v>
      </c>
      <c r="M235">
        <v>34628.447074801872</v>
      </c>
      <c r="N235">
        <v>32996.622945367468</v>
      </c>
      <c r="O235">
        <v>34535.956774742503</v>
      </c>
      <c r="P235">
        <v>35323.941097221861</v>
      </c>
      <c r="Q235">
        <v>37491.528269252616</v>
      </c>
      <c r="R235">
        <v>37597.790313188299</v>
      </c>
      <c r="S235">
        <v>39187.525100695137</v>
      </c>
      <c r="T235">
        <v>38883.963267331026</v>
      </c>
      <c r="U235">
        <v>40602.92604799055</v>
      </c>
      <c r="V235">
        <v>40941.03411633549</v>
      </c>
      <c r="W235">
        <v>39756.054114169223</v>
      </c>
      <c r="X235">
        <v>40704.644922956213</v>
      </c>
      <c r="Y235">
        <v>37851.584943027628</v>
      </c>
      <c r="Z235">
        <v>38258.189555380639</v>
      </c>
      <c r="AA235">
        <v>37476.742760931345</v>
      </c>
      <c r="AB235">
        <v>38822.24438135275</v>
      </c>
      <c r="AC235">
        <v>38042.386442328796</v>
      </c>
      <c r="AD235">
        <v>38239.490669053106</v>
      </c>
      <c r="AE235">
        <v>38574.2154058343</v>
      </c>
      <c r="AF235">
        <v>36887.73781690115</v>
      </c>
      <c r="AG235">
        <v>38354.032701478282</v>
      </c>
      <c r="AH235">
        <v>38244.89921952338</v>
      </c>
      <c r="AI235">
        <v>39634.847827478443</v>
      </c>
      <c r="AJ235">
        <v>36911.614290734949</v>
      </c>
      <c r="AK235">
        <v>38241.286789108599</v>
      </c>
      <c r="AL235">
        <v>37485.604633836985</v>
      </c>
      <c r="AM235">
        <v>36613.712412531917</v>
      </c>
      <c r="AN235">
        <v>34095.288415377931</v>
      </c>
      <c r="AO235">
        <v>32595.163199553019</v>
      </c>
      <c r="AP235">
        <v>31294.333030087171</v>
      </c>
      <c r="AQ235">
        <v>29860.456258756272</v>
      </c>
      <c r="AR235">
        <v>28424.399381616498</v>
      </c>
      <c r="AS235">
        <v>27100.131808259906</v>
      </c>
      <c r="AT235">
        <v>24645.946382199338</v>
      </c>
      <c r="AU235">
        <v>23417.377901584467</v>
      </c>
      <c r="AV235">
        <v>22042.048020730534</v>
      </c>
      <c r="AW235">
        <v>20758.939358295924</v>
      </c>
      <c r="AX235">
        <v>19569.227506507515</v>
      </c>
      <c r="AY235">
        <v>18418.163557558204</v>
      </c>
      <c r="AZ235">
        <v>17343.161226679171</v>
      </c>
      <c r="BA235">
        <v>16359.58918623056</v>
      </c>
      <c r="BB235">
        <v>15383.795372649594</v>
      </c>
      <c r="BC235">
        <v>14442.712729358709</v>
      </c>
      <c r="BD235">
        <v>10796.226099617303</v>
      </c>
      <c r="BE235">
        <v>10071.193501248657</v>
      </c>
      <c r="BF235">
        <v>9143.7625450860542</v>
      </c>
      <c r="BG235">
        <v>8555.0427458158374</v>
      </c>
      <c r="BH235">
        <v>7862.9763785902915</v>
      </c>
      <c r="BI235">
        <v>7294.5373721074138</v>
      </c>
      <c r="BJ235">
        <v>6648.9861814816886</v>
      </c>
      <c r="BK235">
        <v>6180.134703169364</v>
      </c>
      <c r="BL235">
        <v>5759.212386725023</v>
      </c>
      <c r="BM235">
        <v>5400.4864434061619</v>
      </c>
      <c r="BN235">
        <v>5077.2550871867934</v>
      </c>
    </row>
    <row r="236" spans="1:66" x14ac:dyDescent="0.25">
      <c r="A236" t="s">
        <v>240</v>
      </c>
      <c r="B236" t="s">
        <v>540</v>
      </c>
      <c r="C236" t="s">
        <v>531</v>
      </c>
      <c r="D236" t="s">
        <v>518</v>
      </c>
      <c r="E236" t="s">
        <v>519</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11.416538041464802</v>
      </c>
      <c r="AA236">
        <v>8.7327708333333316</v>
      </c>
      <c r="AB236">
        <v>2.2770791666666668</v>
      </c>
      <c r="AC236">
        <v>1.3566666666666667</v>
      </c>
      <c r="AD236">
        <v>1.9666666666666663</v>
      </c>
      <c r="AE236">
        <v>4.4622309027777769</v>
      </c>
      <c r="AF236">
        <v>7.7698003472222208</v>
      </c>
      <c r="AG236">
        <v>11.941235920833332</v>
      </c>
      <c r="AH236">
        <v>18.817684762500001</v>
      </c>
      <c r="AI236">
        <v>24.5</v>
      </c>
      <c r="AJ236">
        <v>30</v>
      </c>
      <c r="AK236">
        <v>46.305643178011259</v>
      </c>
      <c r="AL236">
        <v>69.696559398715706</v>
      </c>
      <c r="AM236">
        <v>250</v>
      </c>
      <c r="AN236">
        <v>257.5</v>
      </c>
      <c r="AO236">
        <v>265.22500000000002</v>
      </c>
      <c r="AP236">
        <v>273.18175000000002</v>
      </c>
      <c r="AQ236">
        <v>281.37720250000001</v>
      </c>
      <c r="AR236">
        <v>289.81851857500004</v>
      </c>
      <c r="AS236">
        <v>298.51307413225004</v>
      </c>
      <c r="AT236">
        <v>307.46846635621756</v>
      </c>
      <c r="AU236">
        <v>316.69252034690408</v>
      </c>
      <c r="AV236">
        <v>326.19329595731119</v>
      </c>
      <c r="AW236">
        <v>335.97909483603053</v>
      </c>
      <c r="AX236">
        <v>346.05846768111144</v>
      </c>
      <c r="AY236">
        <v>356.44022171154478</v>
      </c>
      <c r="AZ236">
        <v>367.13342836289115</v>
      </c>
      <c r="BA236">
        <v>378.14743121377791</v>
      </c>
      <c r="BB236">
        <v>389.49185415019127</v>
      </c>
      <c r="BC236">
        <v>401.176609774697</v>
      </c>
      <c r="BD236">
        <v>413.21190806793794</v>
      </c>
      <c r="BE236">
        <v>425.6082653099761</v>
      </c>
      <c r="BF236">
        <v>438.37651326927539</v>
      </c>
      <c r="BG236">
        <v>451.52780866735367</v>
      </c>
      <c r="BH236">
        <v>465.07364292737429</v>
      </c>
      <c r="BI236">
        <v>479.02585221519553</v>
      </c>
      <c r="BJ236">
        <v>493.39662778165143</v>
      </c>
      <c r="BK236">
        <v>508.198526615101</v>
      </c>
      <c r="BL236">
        <v>523.44448241355406</v>
      </c>
      <c r="BM236">
        <v>539.14781688596065</v>
      </c>
      <c r="BN236">
        <v>555.32225139253944</v>
      </c>
    </row>
    <row r="237" spans="1:66" x14ac:dyDescent="0.25">
      <c r="A237" t="s">
        <v>240</v>
      </c>
      <c r="B237" t="s">
        <v>540</v>
      </c>
      <c r="C237" t="s">
        <v>531</v>
      </c>
      <c r="D237" t="s">
        <v>520</v>
      </c>
      <c r="E237" t="s">
        <v>521</v>
      </c>
      <c r="F237">
        <v>8126.1945618773643</v>
      </c>
      <c r="G237">
        <v>8106.661121873205</v>
      </c>
      <c r="H237">
        <v>8469.9964545997555</v>
      </c>
      <c r="I237">
        <v>8922.6885824844103</v>
      </c>
      <c r="J237">
        <v>9583.8002483498967</v>
      </c>
      <c r="K237">
        <v>10247.564720783123</v>
      </c>
      <c r="L237">
        <v>10378.724398951666</v>
      </c>
      <c r="M237">
        <v>10605.333888617772</v>
      </c>
      <c r="N237">
        <v>10810.458340752642</v>
      </c>
      <c r="O237">
        <v>11096.605458727845</v>
      </c>
      <c r="P237">
        <v>11648.310343290637</v>
      </c>
      <c r="Q237">
        <v>11705.871223077451</v>
      </c>
      <c r="R237">
        <v>12162.021231248526</v>
      </c>
      <c r="S237">
        <v>12697.797549640931</v>
      </c>
      <c r="T237">
        <v>12992.367162928625</v>
      </c>
      <c r="U237">
        <v>13063.440862686894</v>
      </c>
      <c r="V237">
        <v>13182.198504199005</v>
      </c>
      <c r="W237">
        <v>13284.806809600492</v>
      </c>
      <c r="X237">
        <v>13293.959706338926</v>
      </c>
      <c r="Y237">
        <v>13101.086214174264</v>
      </c>
      <c r="Z237">
        <v>13348.937535477718</v>
      </c>
      <c r="AA237">
        <v>13331.827621000642</v>
      </c>
      <c r="AB237">
        <v>13006.487718579234</v>
      </c>
      <c r="AC237">
        <v>13081.360160828839</v>
      </c>
      <c r="AD237">
        <v>13339.646613066796</v>
      </c>
      <c r="AE237">
        <v>13805.025309105527</v>
      </c>
      <c r="AF237">
        <v>13906.520809611657</v>
      </c>
      <c r="AG237">
        <v>14803.702978914342</v>
      </c>
      <c r="AH237">
        <v>15126.124771992951</v>
      </c>
      <c r="AI237">
        <v>14654.704680232724</v>
      </c>
      <c r="AJ237">
        <v>13175.66592208733</v>
      </c>
      <c r="AK237">
        <v>14389.135549876884</v>
      </c>
      <c r="AL237">
        <v>15130.357213501413</v>
      </c>
      <c r="AM237">
        <v>15185.040427502117</v>
      </c>
      <c r="AN237">
        <v>14922.103838486215</v>
      </c>
      <c r="AO237">
        <v>14544.478468579302</v>
      </c>
      <c r="AP237">
        <v>13919.412891667032</v>
      </c>
      <c r="AQ237">
        <v>13120.797520960121</v>
      </c>
      <c r="AR237">
        <v>12287.049870982848</v>
      </c>
      <c r="AS237">
        <v>11397.760192042097</v>
      </c>
      <c r="AT237">
        <v>10528.091798453876</v>
      </c>
      <c r="AU237">
        <v>9672.6081493357633</v>
      </c>
      <c r="AV237">
        <v>8869.4228507994485</v>
      </c>
      <c r="AW237">
        <v>8021.6850264417944</v>
      </c>
      <c r="AX237">
        <v>7293.6038426592222</v>
      </c>
      <c r="AY237">
        <v>6467.0381339145843</v>
      </c>
      <c r="AZ237">
        <v>5798.5309084971395</v>
      </c>
      <c r="BA237">
        <v>5184.4990740216881</v>
      </c>
      <c r="BB237">
        <v>4647.2472664369088</v>
      </c>
      <c r="BC237">
        <v>4104.9723872342147</v>
      </c>
      <c r="BD237">
        <v>3646.6858287522132</v>
      </c>
      <c r="BE237">
        <v>3267.0049615898247</v>
      </c>
      <c r="BF237">
        <v>2914.8978786485263</v>
      </c>
      <c r="BG237">
        <v>2544.3253834051907</v>
      </c>
      <c r="BH237">
        <v>2204.1147737017382</v>
      </c>
      <c r="BI237">
        <v>1889.7407694562853</v>
      </c>
      <c r="BJ237">
        <v>1665.8290000323045</v>
      </c>
      <c r="BK237">
        <v>1405.3379989920525</v>
      </c>
      <c r="BL237">
        <v>1194.9906869134645</v>
      </c>
      <c r="BM237">
        <v>1007.0353203826241</v>
      </c>
      <c r="BN237">
        <v>865.27367442636842</v>
      </c>
    </row>
    <row r="238" spans="1:66" x14ac:dyDescent="0.25">
      <c r="A238" t="s">
        <v>240</v>
      </c>
      <c r="B238" t="s">
        <v>540</v>
      </c>
      <c r="C238" t="s">
        <v>531</v>
      </c>
      <c r="D238" t="s">
        <v>522</v>
      </c>
      <c r="E238" t="s">
        <v>521</v>
      </c>
      <c r="F238">
        <v>15640.940843035291</v>
      </c>
      <c r="G238">
        <v>16150.546759988883</v>
      </c>
      <c r="H238">
        <v>17648.388786263939</v>
      </c>
      <c r="I238">
        <v>16725.370693795405</v>
      </c>
      <c r="J238">
        <v>16380.548324839787</v>
      </c>
      <c r="K238">
        <v>15499.119986501893</v>
      </c>
      <c r="L238">
        <v>16964.973485962018</v>
      </c>
      <c r="M238">
        <v>18776.307489236842</v>
      </c>
      <c r="N238">
        <v>16990.87642543549</v>
      </c>
      <c r="O238">
        <v>18068.06638576484</v>
      </c>
      <c r="P238">
        <v>18247.587022073894</v>
      </c>
      <c r="Q238">
        <v>20209.470689366266</v>
      </c>
      <c r="R238">
        <v>19699.848793804682</v>
      </c>
      <c r="S238">
        <v>20589.961823411428</v>
      </c>
      <c r="T238">
        <v>19932.694122895617</v>
      </c>
      <c r="U238">
        <v>21455.132172136808</v>
      </c>
      <c r="V238">
        <v>21734.471668911941</v>
      </c>
      <c r="W238">
        <v>20224.013693454704</v>
      </c>
      <c r="X238">
        <v>21356.548009904149</v>
      </c>
      <c r="Y238">
        <v>18870.840564758502</v>
      </c>
      <c r="Z238">
        <v>18772.299934571802</v>
      </c>
      <c r="AA238">
        <v>18114.081314169005</v>
      </c>
      <c r="AB238">
        <v>19820.47191931152</v>
      </c>
      <c r="AC238">
        <v>18884.997469550366</v>
      </c>
      <c r="AD238">
        <v>18698.599087495157</v>
      </c>
      <c r="AE238">
        <v>18478.836391393874</v>
      </c>
      <c r="AF238">
        <v>16973.70962476591</v>
      </c>
      <c r="AG238">
        <v>17531.475135032353</v>
      </c>
      <c r="AH238">
        <v>17282.73541087965</v>
      </c>
      <c r="AI238">
        <v>19152.571947895391</v>
      </c>
      <c r="AJ238">
        <v>18178.313197265285</v>
      </c>
      <c r="AK238">
        <v>18109.047848699509</v>
      </c>
      <c r="AL238">
        <v>16718.024409592908</v>
      </c>
      <c r="AM238">
        <v>15713.241829104309</v>
      </c>
      <c r="AN238">
        <v>13205.653234627975</v>
      </c>
      <c r="AO238">
        <v>12107.518448502546</v>
      </c>
      <c r="AP238">
        <v>11643.236483454186</v>
      </c>
      <c r="AQ238">
        <v>11102.197063415384</v>
      </c>
      <c r="AR238">
        <v>10470.964349341355</v>
      </c>
      <c r="AS238">
        <v>9990.6959596891211</v>
      </c>
      <c r="AT238">
        <v>8668.5784195223332</v>
      </c>
      <c r="AU238">
        <v>8198.5913721749366</v>
      </c>
      <c r="AV238">
        <v>7761.3995126333211</v>
      </c>
      <c r="AW238">
        <v>7356.8072780232906</v>
      </c>
      <c r="AX238">
        <v>6942.8058454521588</v>
      </c>
      <c r="AY238">
        <v>6532.1214978695698</v>
      </c>
      <c r="AZ238">
        <v>6149.9988515994301</v>
      </c>
      <c r="BA238">
        <v>5823.3442778255039</v>
      </c>
      <c r="BB238">
        <v>5554.2219665421771</v>
      </c>
      <c r="BC238">
        <v>5293.0041492297532</v>
      </c>
      <c r="BD238">
        <v>4015.6122372443183</v>
      </c>
      <c r="BE238">
        <v>3785.8222218040769</v>
      </c>
      <c r="BF238">
        <v>3545.6200099465095</v>
      </c>
      <c r="BG238">
        <v>3046.2958278623514</v>
      </c>
      <c r="BH238">
        <v>2868.6086919836971</v>
      </c>
      <c r="BI238">
        <v>2680.3300887894607</v>
      </c>
      <c r="BJ238">
        <v>2501.2313685257618</v>
      </c>
      <c r="BK238">
        <v>2324.0936214951125</v>
      </c>
      <c r="BL238">
        <v>2155.6389868575952</v>
      </c>
      <c r="BM238">
        <v>1964.0877970242402</v>
      </c>
      <c r="BN238">
        <v>1814.8728230436507</v>
      </c>
    </row>
    <row r="239" spans="1:66" x14ac:dyDescent="0.25">
      <c r="A239" t="s">
        <v>240</v>
      </c>
      <c r="B239" t="s">
        <v>540</v>
      </c>
      <c r="C239" t="s">
        <v>531</v>
      </c>
      <c r="D239" t="s">
        <v>523</v>
      </c>
      <c r="E239" t="s">
        <v>521</v>
      </c>
      <c r="F239">
        <v>3429.1023206090149</v>
      </c>
      <c r="G239">
        <v>3582.0933132143959</v>
      </c>
      <c r="H239">
        <v>3230.4006797977117</v>
      </c>
      <c r="I239">
        <v>3072.4080540294026</v>
      </c>
      <c r="J239">
        <v>2943.5832063652938</v>
      </c>
      <c r="K239">
        <v>3036.6428253355557</v>
      </c>
      <c r="L239">
        <v>3231.1178764295346</v>
      </c>
      <c r="M239">
        <v>3121.0509253025539</v>
      </c>
      <c r="N239">
        <v>3108.4252054479571</v>
      </c>
      <c r="O239">
        <v>3287.2502963250704</v>
      </c>
      <c r="P239">
        <v>3324.3535917273935</v>
      </c>
      <c r="Q239">
        <v>3441.9326499549325</v>
      </c>
      <c r="R239">
        <v>3562.3255597822995</v>
      </c>
      <c r="S239">
        <v>3798.3629146741546</v>
      </c>
      <c r="T239">
        <v>3833.9993752516589</v>
      </c>
      <c r="U239">
        <v>3949.7863117346769</v>
      </c>
      <c r="V239">
        <v>4067.1636114352182</v>
      </c>
      <c r="W239">
        <v>4324.6641433976283</v>
      </c>
      <c r="X239">
        <v>4207.5754142911601</v>
      </c>
      <c r="Y239">
        <v>4156.3376144420381</v>
      </c>
      <c r="Z239">
        <v>4471.2064224286651</v>
      </c>
      <c r="AA239">
        <v>4511.1732699008671</v>
      </c>
      <c r="AB239">
        <v>4584.743425822363</v>
      </c>
      <c r="AC239">
        <v>4716.1203271304976</v>
      </c>
      <c r="AD239">
        <v>4887.0741014170871</v>
      </c>
      <c r="AE239">
        <v>5014.426570819578</v>
      </c>
      <c r="AF239">
        <v>4761.4486978313562</v>
      </c>
      <c r="AG239">
        <v>4803.9943473754338</v>
      </c>
      <c r="AH239">
        <v>4679.6792337008401</v>
      </c>
      <c r="AI239">
        <v>4713.1761267541115</v>
      </c>
      <c r="AJ239">
        <v>4482.2708369643005</v>
      </c>
      <c r="AK239">
        <v>4684.6924221093332</v>
      </c>
      <c r="AL239">
        <v>4615.0969488544033</v>
      </c>
      <c r="AM239">
        <v>4464.7251801706125</v>
      </c>
      <c r="AN239">
        <v>4498.556684997272</v>
      </c>
      <c r="AO239">
        <v>4457.6642470078723</v>
      </c>
      <c r="AP239">
        <v>4435.7265731000125</v>
      </c>
      <c r="AQ239">
        <v>4383.8597322980941</v>
      </c>
      <c r="AR239">
        <v>4340.2303182720298</v>
      </c>
      <c r="AS239">
        <v>4310.0526562841196</v>
      </c>
      <c r="AT239">
        <v>4056.766098008557</v>
      </c>
      <c r="AU239">
        <v>4023.5935046231207</v>
      </c>
      <c r="AV239">
        <v>3992.9033957464439</v>
      </c>
      <c r="AW239">
        <v>3955.3802301421929</v>
      </c>
      <c r="AX239">
        <v>3924.0909550976148</v>
      </c>
      <c r="AY239">
        <v>3926.274547117383</v>
      </c>
      <c r="AZ239">
        <v>3891.1608326447263</v>
      </c>
      <c r="BA239">
        <v>3873.9888830179457</v>
      </c>
      <c r="BB239">
        <v>3858.373266848927</v>
      </c>
      <c r="BC239">
        <v>3844.4091009507952</v>
      </c>
      <c r="BD239">
        <v>2082.8904944049937</v>
      </c>
      <c r="BE239">
        <v>2074.2747610761476</v>
      </c>
      <c r="BF239">
        <v>2067.6923306378599</v>
      </c>
      <c r="BG239">
        <v>2063.9102744517522</v>
      </c>
      <c r="BH239">
        <v>2062.1576472951301</v>
      </c>
      <c r="BI239">
        <v>2062.4562759033447</v>
      </c>
      <c r="BJ239">
        <v>2065.5126294903484</v>
      </c>
      <c r="BK239">
        <v>2071.3982177832308</v>
      </c>
      <c r="BL239">
        <v>2079.0342680102767</v>
      </c>
      <c r="BM239">
        <v>2087.7146598078216</v>
      </c>
      <c r="BN239">
        <v>2098.8843917757004</v>
      </c>
    </row>
    <row r="240" spans="1:66" x14ac:dyDescent="0.25">
      <c r="A240" t="s">
        <v>240</v>
      </c>
      <c r="B240" t="s">
        <v>540</v>
      </c>
      <c r="C240" t="s">
        <v>531</v>
      </c>
      <c r="D240" t="s">
        <v>524</v>
      </c>
      <c r="E240" t="s">
        <v>521</v>
      </c>
      <c r="F240">
        <v>1816.6596733237263</v>
      </c>
      <c r="G240">
        <v>1893.7218802684215</v>
      </c>
      <c r="H240">
        <v>1971.3222733100288</v>
      </c>
      <c r="I240">
        <v>2049.4503492491226</v>
      </c>
      <c r="J240">
        <v>1947.5325263313807</v>
      </c>
      <c r="K240">
        <v>2023.8252549837712</v>
      </c>
      <c r="L240">
        <v>2102.1656796823004</v>
      </c>
      <c r="M240">
        <v>2125.7547716447093</v>
      </c>
      <c r="N240">
        <v>2086.8629737313777</v>
      </c>
      <c r="O240">
        <v>2084.0346339247499</v>
      </c>
      <c r="P240">
        <v>2103.6901401299438</v>
      </c>
      <c r="Q240">
        <v>2134.2537068539705</v>
      </c>
      <c r="R240">
        <v>2173.5947283527944</v>
      </c>
      <c r="S240">
        <v>2101.4028129686244</v>
      </c>
      <c r="T240">
        <v>2124.9026062551302</v>
      </c>
      <c r="U240">
        <v>2134.5667014321762</v>
      </c>
      <c r="V240">
        <v>1957.2003317893241</v>
      </c>
      <c r="W240">
        <v>1922.5694677164029</v>
      </c>
      <c r="X240">
        <v>1846.56179242198</v>
      </c>
      <c r="Y240">
        <v>1723.3205496528278</v>
      </c>
      <c r="Z240">
        <v>1665.7456629024559</v>
      </c>
      <c r="AA240">
        <v>1519.6605558608351</v>
      </c>
      <c r="AB240">
        <v>1410.5413176396301</v>
      </c>
      <c r="AC240">
        <v>1359.9084848190901</v>
      </c>
      <c r="AD240">
        <v>1314.1708670740722</v>
      </c>
      <c r="AE240">
        <v>1275.9271345153275</v>
      </c>
      <c r="AF240">
        <v>1246.0586846922251</v>
      </c>
      <c r="AG240">
        <v>1214.8602401561525</v>
      </c>
      <c r="AH240">
        <v>1156.3598029499428</v>
      </c>
      <c r="AI240">
        <v>1114.3950725962225</v>
      </c>
      <c r="AJ240">
        <v>1075.3643344180375</v>
      </c>
      <c r="AK240">
        <v>1058.4109684228663</v>
      </c>
      <c r="AL240">
        <v>1022.6056717073851</v>
      </c>
      <c r="AM240">
        <v>958.96266417380684</v>
      </c>
      <c r="AN240">
        <v>894.95985110602771</v>
      </c>
      <c r="AO240">
        <v>830.20804974995497</v>
      </c>
      <c r="AP240">
        <v>765.42495046274541</v>
      </c>
      <c r="AQ240">
        <v>716.23973187093122</v>
      </c>
      <c r="AR240">
        <v>667.27873913813312</v>
      </c>
      <c r="AS240">
        <v>618.86959775125081</v>
      </c>
      <c r="AT240">
        <v>571.15627646632288</v>
      </c>
      <c r="AU240">
        <v>525.26064809363731</v>
      </c>
      <c r="AV240">
        <v>485.33325267568455</v>
      </c>
      <c r="AW240">
        <v>449.07190344986702</v>
      </c>
      <c r="AX240">
        <v>415.30904749836435</v>
      </c>
      <c r="AY240">
        <v>383.52992028193478</v>
      </c>
      <c r="AZ240">
        <v>353.34421878533993</v>
      </c>
      <c r="BA240">
        <v>324.61648253631211</v>
      </c>
      <c r="BB240">
        <v>297.26120538261853</v>
      </c>
      <c r="BC240">
        <v>271.19781668143264</v>
      </c>
      <c r="BD240">
        <v>246.42006305403967</v>
      </c>
      <c r="BE240">
        <v>228.76061473390612</v>
      </c>
      <c r="BF240">
        <v>212.01972979719091</v>
      </c>
      <c r="BG240">
        <v>196.15349208681764</v>
      </c>
      <c r="BH240">
        <v>181.1092278255239</v>
      </c>
      <c r="BI240">
        <v>166.86775312894875</v>
      </c>
      <c r="BJ240">
        <v>153.37057082021238</v>
      </c>
      <c r="BK240">
        <v>140.57595541124473</v>
      </c>
      <c r="BL240">
        <v>128.46805420261808</v>
      </c>
      <c r="BM240">
        <v>117.02624189815158</v>
      </c>
      <c r="BN240">
        <v>106.22845651837657</v>
      </c>
    </row>
    <row r="241" spans="1:66" x14ac:dyDescent="0.25">
      <c r="A241" t="s">
        <v>240</v>
      </c>
      <c r="B241" t="s">
        <v>540</v>
      </c>
      <c r="C241" t="s">
        <v>531</v>
      </c>
      <c r="D241" t="s">
        <v>525</v>
      </c>
      <c r="E241" t="s">
        <v>521</v>
      </c>
      <c r="F241">
        <v>29012.897398845394</v>
      </c>
      <c r="G241">
        <v>29733.023075344903</v>
      </c>
      <c r="H241">
        <v>31320.108193971439</v>
      </c>
      <c r="I241">
        <v>30769.917679558341</v>
      </c>
      <c r="J241">
        <v>30855.464305886358</v>
      </c>
      <c r="K241">
        <v>30807.15278760434</v>
      </c>
      <c r="L241">
        <v>32676.98144102552</v>
      </c>
      <c r="M241">
        <v>34628.447074801872</v>
      </c>
      <c r="N241">
        <v>32996.622945367468</v>
      </c>
      <c r="O241">
        <v>34535.956774742503</v>
      </c>
      <c r="P241">
        <v>35323.941097221861</v>
      </c>
      <c r="Q241">
        <v>37491.528269252616</v>
      </c>
      <c r="R241">
        <v>37597.790313188299</v>
      </c>
      <c r="S241">
        <v>39187.525100695137</v>
      </c>
      <c r="T241">
        <v>38883.963267331026</v>
      </c>
      <c r="U241">
        <v>40602.92604799055</v>
      </c>
      <c r="V241">
        <v>40941.03411633549</v>
      </c>
      <c r="W241">
        <v>39756.054114169223</v>
      </c>
      <c r="X241">
        <v>40704.644922956213</v>
      </c>
      <c r="Y241">
        <v>37851.584943027628</v>
      </c>
      <c r="Z241">
        <v>38258.189555380639</v>
      </c>
      <c r="AA241">
        <v>37476.742760931345</v>
      </c>
      <c r="AB241">
        <v>38822.24438135275</v>
      </c>
      <c r="AC241">
        <v>38042.386442328796</v>
      </c>
      <c r="AD241">
        <v>38239.490669053106</v>
      </c>
      <c r="AE241">
        <v>38574.2154058343</v>
      </c>
      <c r="AF241">
        <v>36887.73781690115</v>
      </c>
      <c r="AG241">
        <v>38354.032701478282</v>
      </c>
      <c r="AH241">
        <v>38244.89921952338</v>
      </c>
      <c r="AI241">
        <v>39634.847827478443</v>
      </c>
      <c r="AJ241">
        <v>36911.614290734949</v>
      </c>
      <c r="AK241">
        <v>38241.286789108599</v>
      </c>
      <c r="AL241">
        <v>37486.084243656114</v>
      </c>
      <c r="AM241">
        <v>36321.97010095085</v>
      </c>
      <c r="AN241">
        <v>33521.273609217489</v>
      </c>
      <c r="AO241">
        <v>31939.869213839676</v>
      </c>
      <c r="AP241">
        <v>30763.800898683974</v>
      </c>
      <c r="AQ241">
        <v>29323.094048544528</v>
      </c>
      <c r="AR241">
        <v>27765.523277734366</v>
      </c>
      <c r="AS241">
        <v>26317.378405766587</v>
      </c>
      <c r="AT241">
        <v>23824.592592451085</v>
      </c>
      <c r="AU241">
        <v>22420.05367422746</v>
      </c>
      <c r="AV241">
        <v>21109.059011854901</v>
      </c>
      <c r="AW241">
        <v>19782.944438057144</v>
      </c>
      <c r="AX241">
        <v>18575.80969070736</v>
      </c>
      <c r="AY241">
        <v>17308.964099183471</v>
      </c>
      <c r="AZ241">
        <v>16193.034811526635</v>
      </c>
      <c r="BA241">
        <v>15206.44871740145</v>
      </c>
      <c r="BB241">
        <v>14357.103705210629</v>
      </c>
      <c r="BC241">
        <v>13513.583454096197</v>
      </c>
      <c r="BD241">
        <v>9991.608623455566</v>
      </c>
      <c r="BE241">
        <v>9355.8625592039552</v>
      </c>
      <c r="BF241">
        <v>8740.2299490300866</v>
      </c>
      <c r="BG241">
        <v>7850.6849778061123</v>
      </c>
      <c r="BH241">
        <v>7315.9903408060891</v>
      </c>
      <c r="BI241">
        <v>6799.3948872780402</v>
      </c>
      <c r="BJ241">
        <v>6385.9435688686272</v>
      </c>
      <c r="BK241">
        <v>5941.4057936816407</v>
      </c>
      <c r="BL241">
        <v>5558.1319959839548</v>
      </c>
      <c r="BM241">
        <v>5175.8640191128379</v>
      </c>
      <c r="BN241">
        <v>4885.259345764096</v>
      </c>
    </row>
    <row r="242" spans="1:66" x14ac:dyDescent="0.25">
      <c r="A242" t="s">
        <v>241</v>
      </c>
      <c r="B242" t="s">
        <v>540</v>
      </c>
      <c r="C242" t="s">
        <v>532</v>
      </c>
      <c r="D242" t="s">
        <v>518</v>
      </c>
      <c r="E242" t="s">
        <v>519</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11.416538041464802</v>
      </c>
      <c r="AA242">
        <v>8.7327708333333316</v>
      </c>
      <c r="AB242">
        <v>2.2770791666666668</v>
      </c>
      <c r="AC242">
        <v>1.3566666666666667</v>
      </c>
      <c r="AD242">
        <v>1.9666666666666663</v>
      </c>
      <c r="AE242">
        <v>4.4622309027777769</v>
      </c>
      <c r="AF242">
        <v>7.7698003472222208</v>
      </c>
      <c r="AG242">
        <v>11.941235920833332</v>
      </c>
      <c r="AH242">
        <v>18.817684762500001</v>
      </c>
      <c r="AI242">
        <v>24.5</v>
      </c>
      <c r="AJ242">
        <v>30</v>
      </c>
      <c r="AK242">
        <v>46.305643178011259</v>
      </c>
      <c r="AL242">
        <v>69.696559398715706</v>
      </c>
      <c r="AM242">
        <v>300</v>
      </c>
      <c r="AN242">
        <v>309</v>
      </c>
      <c r="AO242">
        <v>318.27</v>
      </c>
      <c r="AP242">
        <v>327.81810000000002</v>
      </c>
      <c r="AQ242">
        <v>337.65264300000001</v>
      </c>
      <c r="AR242">
        <v>347.78222228999999</v>
      </c>
      <c r="AS242">
        <v>358.21568895870001</v>
      </c>
      <c r="AT242">
        <v>368.96215962746101</v>
      </c>
      <c r="AU242">
        <v>380.03102441628482</v>
      </c>
      <c r="AV242">
        <v>391.4319551487734</v>
      </c>
      <c r="AW242">
        <v>403.17491380323662</v>
      </c>
      <c r="AX242">
        <v>415.27016121733374</v>
      </c>
      <c r="AY242">
        <v>427.72826605385376</v>
      </c>
      <c r="AZ242">
        <v>440.56011403546938</v>
      </c>
      <c r="BA242">
        <v>453.77691745653345</v>
      </c>
      <c r="BB242">
        <v>467.39022498022945</v>
      </c>
      <c r="BC242">
        <v>481.41193172963636</v>
      </c>
      <c r="BD242">
        <v>495.85428968152547</v>
      </c>
      <c r="BE242">
        <v>510.72991837197122</v>
      </c>
      <c r="BF242">
        <v>526.05181592313033</v>
      </c>
      <c r="BG242">
        <v>541.83337040082426</v>
      </c>
      <c r="BH242">
        <v>558.08837151284899</v>
      </c>
      <c r="BI242">
        <v>574.83102265823447</v>
      </c>
      <c r="BJ242">
        <v>592.07595333798156</v>
      </c>
      <c r="BK242">
        <v>609.838231938121</v>
      </c>
      <c r="BL242">
        <v>628.13337889626462</v>
      </c>
      <c r="BM242">
        <v>646.97738026315255</v>
      </c>
      <c r="BN242">
        <v>666.38670167104715</v>
      </c>
    </row>
    <row r="243" spans="1:66" x14ac:dyDescent="0.25">
      <c r="A243" t="s">
        <v>241</v>
      </c>
      <c r="B243" t="s">
        <v>540</v>
      </c>
      <c r="C243" t="s">
        <v>532</v>
      </c>
      <c r="D243" t="s">
        <v>520</v>
      </c>
      <c r="E243" t="s">
        <v>521</v>
      </c>
      <c r="F243">
        <v>8126.1945618773643</v>
      </c>
      <c r="G243">
        <v>8106.661121873205</v>
      </c>
      <c r="H243">
        <v>8469.9964545997555</v>
      </c>
      <c r="I243">
        <v>8922.6885824844103</v>
      </c>
      <c r="J243">
        <v>9583.8002483498967</v>
      </c>
      <c r="K243">
        <v>10247.564720783123</v>
      </c>
      <c r="L243">
        <v>10378.724398951666</v>
      </c>
      <c r="M243">
        <v>10605.333888617772</v>
      </c>
      <c r="N243">
        <v>10810.458340752642</v>
      </c>
      <c r="O243">
        <v>11096.605458727845</v>
      </c>
      <c r="P243">
        <v>11648.310343290637</v>
      </c>
      <c r="Q243">
        <v>11705.871223077451</v>
      </c>
      <c r="R243">
        <v>12162.021231248526</v>
      </c>
      <c r="S243">
        <v>12697.797549640931</v>
      </c>
      <c r="T243">
        <v>12992.367162928625</v>
      </c>
      <c r="U243">
        <v>13063.440862686894</v>
      </c>
      <c r="V243">
        <v>13182.198504199005</v>
      </c>
      <c r="W243">
        <v>13284.806809600492</v>
      </c>
      <c r="X243">
        <v>13293.959706338926</v>
      </c>
      <c r="Y243">
        <v>13101.086214174264</v>
      </c>
      <c r="Z243">
        <v>13348.937535477718</v>
      </c>
      <c r="AA243">
        <v>13331.827621000642</v>
      </c>
      <c r="AB243">
        <v>13006.487718579234</v>
      </c>
      <c r="AC243">
        <v>13081.360160828839</v>
      </c>
      <c r="AD243">
        <v>13339.646613066796</v>
      </c>
      <c r="AE243">
        <v>13805.025309105527</v>
      </c>
      <c r="AF243">
        <v>13906.520809611657</v>
      </c>
      <c r="AG243">
        <v>14803.702978914342</v>
      </c>
      <c r="AH243">
        <v>15126.124771992951</v>
      </c>
      <c r="AI243">
        <v>14654.704680232724</v>
      </c>
      <c r="AJ243">
        <v>13175.66592208733</v>
      </c>
      <c r="AK243">
        <v>14389.135549876884</v>
      </c>
      <c r="AL243">
        <v>15130.357213501413</v>
      </c>
      <c r="AM243">
        <v>15179.917333159665</v>
      </c>
      <c r="AN243">
        <v>14909.854063889823</v>
      </c>
      <c r="AO243">
        <v>14513.386513039266</v>
      </c>
      <c r="AP243">
        <v>13846.435467727768</v>
      </c>
      <c r="AQ243">
        <v>13022.740086465968</v>
      </c>
      <c r="AR243">
        <v>12167.160599009925</v>
      </c>
      <c r="AS243">
        <v>11296.797362228088</v>
      </c>
      <c r="AT243">
        <v>10400.825097339728</v>
      </c>
      <c r="AU243">
        <v>9541.6966941935352</v>
      </c>
      <c r="AV243">
        <v>8714.1732629386443</v>
      </c>
      <c r="AW243">
        <v>7897.8308899187477</v>
      </c>
      <c r="AX243">
        <v>7103.3090925724819</v>
      </c>
      <c r="AY243">
        <v>6304.3786748018902</v>
      </c>
      <c r="AZ243">
        <v>5706.6741695771725</v>
      </c>
      <c r="BA243">
        <v>5079.4068612376723</v>
      </c>
      <c r="BB243">
        <v>4504.3138044130355</v>
      </c>
      <c r="BC243">
        <v>4002.880474917647</v>
      </c>
      <c r="BD243">
        <v>3556.2273544047043</v>
      </c>
      <c r="BE243">
        <v>3178.7825551864557</v>
      </c>
      <c r="BF243">
        <v>2845.4100374065993</v>
      </c>
      <c r="BG243">
        <v>2475.3031427734641</v>
      </c>
      <c r="BH243">
        <v>2152.3830640403371</v>
      </c>
      <c r="BI243">
        <v>1828.7596258212609</v>
      </c>
      <c r="BJ243">
        <v>1577.5811002787418</v>
      </c>
      <c r="BK243">
        <v>1357.6082484525759</v>
      </c>
      <c r="BL243">
        <v>1154.8127995238531</v>
      </c>
      <c r="BM243">
        <v>971.93145394292947</v>
      </c>
      <c r="BN243">
        <v>807.07968278901569</v>
      </c>
    </row>
    <row r="244" spans="1:66" x14ac:dyDescent="0.25">
      <c r="A244" t="s">
        <v>241</v>
      </c>
      <c r="B244" t="s">
        <v>540</v>
      </c>
      <c r="C244" t="s">
        <v>532</v>
      </c>
      <c r="D244" t="s">
        <v>522</v>
      </c>
      <c r="E244" t="s">
        <v>521</v>
      </c>
      <c r="F244">
        <v>15640.940843035291</v>
      </c>
      <c r="G244">
        <v>16150.546759988883</v>
      </c>
      <c r="H244">
        <v>17648.388786263939</v>
      </c>
      <c r="I244">
        <v>16725.370693795405</v>
      </c>
      <c r="J244">
        <v>16380.548324839787</v>
      </c>
      <c r="K244">
        <v>15499.119986501893</v>
      </c>
      <c r="L244">
        <v>16964.973485962018</v>
      </c>
      <c r="M244">
        <v>18776.307489236842</v>
      </c>
      <c r="N244">
        <v>16990.87642543549</v>
      </c>
      <c r="O244">
        <v>18068.06638576484</v>
      </c>
      <c r="P244">
        <v>18247.587022073894</v>
      </c>
      <c r="Q244">
        <v>20209.470689366266</v>
      </c>
      <c r="R244">
        <v>19699.848793804682</v>
      </c>
      <c r="S244">
        <v>20589.961823411428</v>
      </c>
      <c r="T244">
        <v>19932.694122895617</v>
      </c>
      <c r="U244">
        <v>21455.132172136808</v>
      </c>
      <c r="V244">
        <v>21734.471668911941</v>
      </c>
      <c r="W244">
        <v>20224.013693454704</v>
      </c>
      <c r="X244">
        <v>21356.548009904149</v>
      </c>
      <c r="Y244">
        <v>18870.840564758502</v>
      </c>
      <c r="Z244">
        <v>18772.299934571802</v>
      </c>
      <c r="AA244">
        <v>18114.081314169005</v>
      </c>
      <c r="AB244">
        <v>19820.47191931152</v>
      </c>
      <c r="AC244">
        <v>18884.997469550366</v>
      </c>
      <c r="AD244">
        <v>18698.599087495157</v>
      </c>
      <c r="AE244">
        <v>18478.836391393874</v>
      </c>
      <c r="AF244">
        <v>16973.70962476591</v>
      </c>
      <c r="AG244">
        <v>17531.475135032353</v>
      </c>
      <c r="AH244">
        <v>17282.73541087965</v>
      </c>
      <c r="AI244">
        <v>19152.571947895391</v>
      </c>
      <c r="AJ244">
        <v>18178.313197265285</v>
      </c>
      <c r="AK244">
        <v>18109.047848699509</v>
      </c>
      <c r="AL244">
        <v>16718.024409592908</v>
      </c>
      <c r="AM244">
        <v>15438.82226644957</v>
      </c>
      <c r="AN244">
        <v>12761.548824120746</v>
      </c>
      <c r="AO244">
        <v>11732.051323666838</v>
      </c>
      <c r="AP244">
        <v>11092.345021933708</v>
      </c>
      <c r="AQ244">
        <v>10620.22060916687</v>
      </c>
      <c r="AR244">
        <v>9936.4226212533358</v>
      </c>
      <c r="AS244">
        <v>9336.4333257580147</v>
      </c>
      <c r="AT244">
        <v>7852.9865595618621</v>
      </c>
      <c r="AU244">
        <v>7324.8087908827438</v>
      </c>
      <c r="AV244">
        <v>6942.5853980150923</v>
      </c>
      <c r="AW244">
        <v>6614.5931321562202</v>
      </c>
      <c r="AX244">
        <v>6395.5246637537757</v>
      </c>
      <c r="AY244">
        <v>6102.550650210509</v>
      </c>
      <c r="AZ244">
        <v>5829.2563557876692</v>
      </c>
      <c r="BA244">
        <v>5565.5518613396207</v>
      </c>
      <c r="BB244">
        <v>5314.2294362166458</v>
      </c>
      <c r="BC244">
        <v>5071.5132895997667</v>
      </c>
      <c r="BD244">
        <v>3802.4687239363575</v>
      </c>
      <c r="BE244">
        <v>3586.9263502685408</v>
      </c>
      <c r="BF244">
        <v>3282.467459431361</v>
      </c>
      <c r="BG244">
        <v>2921.1166891430171</v>
      </c>
      <c r="BH244">
        <v>2729.9060987590437</v>
      </c>
      <c r="BI244">
        <v>2550.2507816514717</v>
      </c>
      <c r="BJ244">
        <v>2378.1601229960152</v>
      </c>
      <c r="BK244">
        <v>2213.0836279563059</v>
      </c>
      <c r="BL244">
        <v>2023.527648667329</v>
      </c>
      <c r="BM244">
        <v>1870.6128409322403</v>
      </c>
      <c r="BN244">
        <v>1736.9572110302961</v>
      </c>
    </row>
    <row r="245" spans="1:66" x14ac:dyDescent="0.25">
      <c r="A245" t="s">
        <v>241</v>
      </c>
      <c r="B245" t="s">
        <v>540</v>
      </c>
      <c r="C245" t="s">
        <v>532</v>
      </c>
      <c r="D245" t="s">
        <v>523</v>
      </c>
      <c r="E245" t="s">
        <v>521</v>
      </c>
      <c r="F245">
        <v>3429.1023206090149</v>
      </c>
      <c r="G245">
        <v>3582.0933132143959</v>
      </c>
      <c r="H245">
        <v>3230.4006797977117</v>
      </c>
      <c r="I245">
        <v>3072.4080540294026</v>
      </c>
      <c r="J245">
        <v>2943.5832063652938</v>
      </c>
      <c r="K245">
        <v>3036.6428253355557</v>
      </c>
      <c r="L245">
        <v>3231.1178764295346</v>
      </c>
      <c r="M245">
        <v>3121.0509253025539</v>
      </c>
      <c r="N245">
        <v>3108.4252054479571</v>
      </c>
      <c r="O245">
        <v>3287.2502963250704</v>
      </c>
      <c r="P245">
        <v>3324.3535917273935</v>
      </c>
      <c r="Q245">
        <v>3441.9326499549325</v>
      </c>
      <c r="R245">
        <v>3562.3255597822995</v>
      </c>
      <c r="S245">
        <v>3798.3629146741546</v>
      </c>
      <c r="T245">
        <v>3833.9993752516589</v>
      </c>
      <c r="U245">
        <v>3949.7863117346769</v>
      </c>
      <c r="V245">
        <v>4067.1636114352182</v>
      </c>
      <c r="W245">
        <v>4324.6641433976283</v>
      </c>
      <c r="X245">
        <v>4207.5754142911601</v>
      </c>
      <c r="Y245">
        <v>4156.3376144420381</v>
      </c>
      <c r="Z245">
        <v>4471.2064224286651</v>
      </c>
      <c r="AA245">
        <v>4511.1732699008671</v>
      </c>
      <c r="AB245">
        <v>4584.743425822363</v>
      </c>
      <c r="AC245">
        <v>4716.1203271304976</v>
      </c>
      <c r="AD245">
        <v>4887.0741014170871</v>
      </c>
      <c r="AE245">
        <v>5014.426570819578</v>
      </c>
      <c r="AF245">
        <v>4761.4486978313562</v>
      </c>
      <c r="AG245">
        <v>4803.9943473754338</v>
      </c>
      <c r="AH245">
        <v>4679.6792337008401</v>
      </c>
      <c r="AI245">
        <v>4713.1761267541115</v>
      </c>
      <c r="AJ245">
        <v>4482.2708369643005</v>
      </c>
      <c r="AK245">
        <v>4684.6924221093332</v>
      </c>
      <c r="AL245">
        <v>4615.0969488544033</v>
      </c>
      <c r="AM245">
        <v>4464.7251801706125</v>
      </c>
      <c r="AN245">
        <v>4498.556684997272</v>
      </c>
      <c r="AO245">
        <v>4457.6642470078723</v>
      </c>
      <c r="AP245">
        <v>4435.7265731000116</v>
      </c>
      <c r="AQ245">
        <v>4383.8597322980941</v>
      </c>
      <c r="AR245">
        <v>4340.2303182720298</v>
      </c>
      <c r="AS245">
        <v>4310.0526562841205</v>
      </c>
      <c r="AT245">
        <v>4056.766098008557</v>
      </c>
      <c r="AU245">
        <v>4023.5935046231211</v>
      </c>
      <c r="AV245">
        <v>3992.9033957464439</v>
      </c>
      <c r="AW245">
        <v>3955.3802301421929</v>
      </c>
      <c r="AX245">
        <v>3924.0909550976153</v>
      </c>
      <c r="AY245">
        <v>3926.274547117383</v>
      </c>
      <c r="AZ245">
        <v>3891.1608326447267</v>
      </c>
      <c r="BA245">
        <v>3873.9888830179457</v>
      </c>
      <c r="BB245">
        <v>3858.373266848927</v>
      </c>
      <c r="BC245">
        <v>3844.4091009507952</v>
      </c>
      <c r="BD245">
        <v>2082.8904944049937</v>
      </c>
      <c r="BE245">
        <v>2074.2747610761476</v>
      </c>
      <c r="BF245">
        <v>2067.6923306378599</v>
      </c>
      <c r="BG245">
        <v>2063.9102744517522</v>
      </c>
      <c r="BH245">
        <v>2062.1576472951301</v>
      </c>
      <c r="BI245">
        <v>2062.4562759033447</v>
      </c>
      <c r="BJ245">
        <v>2065.5126294903484</v>
      </c>
      <c r="BK245">
        <v>2071.3982177832308</v>
      </c>
      <c r="BL245">
        <v>2079.0342680102763</v>
      </c>
      <c r="BM245">
        <v>2087.7146598078216</v>
      </c>
      <c r="BN245">
        <v>2098.8843917757004</v>
      </c>
    </row>
    <row r="246" spans="1:66" x14ac:dyDescent="0.25">
      <c r="A246" t="s">
        <v>241</v>
      </c>
      <c r="B246" t="s">
        <v>540</v>
      </c>
      <c r="C246" t="s">
        <v>532</v>
      </c>
      <c r="D246" t="s">
        <v>524</v>
      </c>
      <c r="E246" t="s">
        <v>521</v>
      </c>
      <c r="F246">
        <v>1816.6596733237263</v>
      </c>
      <c r="G246">
        <v>1893.7218802684215</v>
      </c>
      <c r="H246">
        <v>1971.3222733100288</v>
      </c>
      <c r="I246">
        <v>2049.4503492491226</v>
      </c>
      <c r="J246">
        <v>1947.5325263313807</v>
      </c>
      <c r="K246">
        <v>2023.8252549837712</v>
      </c>
      <c r="L246">
        <v>2102.1656796823004</v>
      </c>
      <c r="M246">
        <v>2125.7547716447093</v>
      </c>
      <c r="N246">
        <v>2086.8629737313777</v>
      </c>
      <c r="O246">
        <v>2084.0346339247499</v>
      </c>
      <c r="P246">
        <v>2103.6901401299438</v>
      </c>
      <c r="Q246">
        <v>2134.2537068539705</v>
      </c>
      <c r="R246">
        <v>2173.5947283527944</v>
      </c>
      <c r="S246">
        <v>2101.4028129686244</v>
      </c>
      <c r="T246">
        <v>2124.9026062551302</v>
      </c>
      <c r="U246">
        <v>2134.5667014321762</v>
      </c>
      <c r="V246">
        <v>1957.2003317893241</v>
      </c>
      <c r="W246">
        <v>1922.5694677164029</v>
      </c>
      <c r="X246">
        <v>1846.56179242198</v>
      </c>
      <c r="Y246">
        <v>1723.3205496528278</v>
      </c>
      <c r="Z246">
        <v>1665.7456629024559</v>
      </c>
      <c r="AA246">
        <v>1519.6605558608351</v>
      </c>
      <c r="AB246">
        <v>1410.5413176396301</v>
      </c>
      <c r="AC246">
        <v>1359.9084848190901</v>
      </c>
      <c r="AD246">
        <v>1314.1708670740722</v>
      </c>
      <c r="AE246">
        <v>1275.9271345153275</v>
      </c>
      <c r="AF246">
        <v>1246.0586846922251</v>
      </c>
      <c r="AG246">
        <v>1214.8602401561525</v>
      </c>
      <c r="AH246">
        <v>1156.3598029499428</v>
      </c>
      <c r="AI246">
        <v>1114.3950725962225</v>
      </c>
      <c r="AJ246">
        <v>1075.3643344180375</v>
      </c>
      <c r="AK246">
        <v>1058.4109684228663</v>
      </c>
      <c r="AL246">
        <v>1022.6056717073851</v>
      </c>
      <c r="AM246">
        <v>958.96266417380684</v>
      </c>
      <c r="AN246">
        <v>894.95985110602771</v>
      </c>
      <c r="AO246">
        <v>830.20804974995497</v>
      </c>
      <c r="AP246">
        <v>765.42495046274541</v>
      </c>
      <c r="AQ246">
        <v>716.23973187093122</v>
      </c>
      <c r="AR246">
        <v>667.27873913813312</v>
      </c>
      <c r="AS246">
        <v>618.86959775125081</v>
      </c>
      <c r="AT246">
        <v>571.15627646632288</v>
      </c>
      <c r="AU246">
        <v>525.26064809363731</v>
      </c>
      <c r="AV246">
        <v>485.33325267568455</v>
      </c>
      <c r="AW246">
        <v>449.07190344986702</v>
      </c>
      <c r="AX246">
        <v>415.30904749836435</v>
      </c>
      <c r="AY246">
        <v>383.52992028193478</v>
      </c>
      <c r="AZ246">
        <v>353.34421878533993</v>
      </c>
      <c r="BA246">
        <v>324.61648253631211</v>
      </c>
      <c r="BB246">
        <v>297.26120538261853</v>
      </c>
      <c r="BC246">
        <v>271.19781668143264</v>
      </c>
      <c r="BD246">
        <v>246.42006305403967</v>
      </c>
      <c r="BE246">
        <v>228.76061473390612</v>
      </c>
      <c r="BF246">
        <v>212.01972979719091</v>
      </c>
      <c r="BG246">
        <v>196.15349208681764</v>
      </c>
      <c r="BH246">
        <v>181.1092278255239</v>
      </c>
      <c r="BI246">
        <v>166.86775312894875</v>
      </c>
      <c r="BJ246">
        <v>153.37057082021238</v>
      </c>
      <c r="BK246">
        <v>140.57595541124473</v>
      </c>
      <c r="BL246">
        <v>128.46805420261808</v>
      </c>
      <c r="BM246">
        <v>117.02624189815158</v>
      </c>
      <c r="BN246">
        <v>106.22845651837657</v>
      </c>
    </row>
    <row r="247" spans="1:66" x14ac:dyDescent="0.25">
      <c r="A247" t="s">
        <v>241</v>
      </c>
      <c r="B247" t="s">
        <v>540</v>
      </c>
      <c r="C247" t="s">
        <v>532</v>
      </c>
      <c r="D247" t="s">
        <v>525</v>
      </c>
      <c r="E247" t="s">
        <v>521</v>
      </c>
      <c r="F247">
        <v>29012.897398845394</v>
      </c>
      <c r="G247">
        <v>29733.023075344903</v>
      </c>
      <c r="H247">
        <v>31320.108193971439</v>
      </c>
      <c r="I247">
        <v>30769.917679558341</v>
      </c>
      <c r="J247">
        <v>30855.464305886358</v>
      </c>
      <c r="K247">
        <v>30807.15278760434</v>
      </c>
      <c r="L247">
        <v>32676.98144102552</v>
      </c>
      <c r="M247">
        <v>34628.447074801872</v>
      </c>
      <c r="N247">
        <v>32996.622945367468</v>
      </c>
      <c r="O247">
        <v>34535.956774742503</v>
      </c>
      <c r="P247">
        <v>35323.941097221861</v>
      </c>
      <c r="Q247">
        <v>37491.528269252616</v>
      </c>
      <c r="R247">
        <v>37597.790313188299</v>
      </c>
      <c r="S247">
        <v>39187.525100695137</v>
      </c>
      <c r="T247">
        <v>38883.963267331026</v>
      </c>
      <c r="U247">
        <v>40602.92604799055</v>
      </c>
      <c r="V247">
        <v>40941.03411633549</v>
      </c>
      <c r="W247">
        <v>39756.054114169223</v>
      </c>
      <c r="X247">
        <v>40704.644922956213</v>
      </c>
      <c r="Y247">
        <v>37851.584943027628</v>
      </c>
      <c r="Z247">
        <v>38258.189555380639</v>
      </c>
      <c r="AA247">
        <v>37476.742760931345</v>
      </c>
      <c r="AB247">
        <v>38822.24438135275</v>
      </c>
      <c r="AC247">
        <v>38042.386442328796</v>
      </c>
      <c r="AD247">
        <v>38239.490669053106</v>
      </c>
      <c r="AE247">
        <v>38574.2154058343</v>
      </c>
      <c r="AF247">
        <v>36887.73781690115</v>
      </c>
      <c r="AG247">
        <v>38354.032701478282</v>
      </c>
      <c r="AH247">
        <v>38244.89921952338</v>
      </c>
      <c r="AI247">
        <v>39634.847827478443</v>
      </c>
      <c r="AJ247">
        <v>36911.614290734949</v>
      </c>
      <c r="AK247">
        <v>38241.286789108599</v>
      </c>
      <c r="AL247">
        <v>37486.084243656114</v>
      </c>
      <c r="AM247">
        <v>36042.427443953653</v>
      </c>
      <c r="AN247">
        <v>33064.919424113868</v>
      </c>
      <c r="AO247">
        <v>31533.310133463932</v>
      </c>
      <c r="AP247">
        <v>30139.932013224232</v>
      </c>
      <c r="AQ247">
        <v>28743.060159801862</v>
      </c>
      <c r="AR247">
        <v>27111.092277673419</v>
      </c>
      <c r="AS247">
        <v>25562.152942021476</v>
      </c>
      <c r="AT247">
        <v>22881.734031376469</v>
      </c>
      <c r="AU247">
        <v>21415.359637793037</v>
      </c>
      <c r="AV247">
        <v>20134.995309375867</v>
      </c>
      <c r="AW247">
        <v>18916.876155667029</v>
      </c>
      <c r="AX247">
        <v>17838.233758922237</v>
      </c>
      <c r="AY247">
        <v>16716.733792411716</v>
      </c>
      <c r="AZ247">
        <v>15780.435576794909</v>
      </c>
      <c r="BA247">
        <v>14843.56408813155</v>
      </c>
      <c r="BB247">
        <v>13974.177712861227</v>
      </c>
      <c r="BC247">
        <v>13190.000682149643</v>
      </c>
      <c r="BD247">
        <v>9688.006635800095</v>
      </c>
      <c r="BE247">
        <v>9068.7442812650497</v>
      </c>
      <c r="BF247">
        <v>8407.5895572730115</v>
      </c>
      <c r="BG247">
        <v>7656.4835984550509</v>
      </c>
      <c r="BH247">
        <v>7125.5560379200351</v>
      </c>
      <c r="BI247">
        <v>6608.3344365050252</v>
      </c>
      <c r="BJ247">
        <v>6174.6244235853173</v>
      </c>
      <c r="BK247">
        <v>5782.6660496033574</v>
      </c>
      <c r="BL247">
        <v>5385.8427704040769</v>
      </c>
      <c r="BM247">
        <v>5047.2851965811433</v>
      </c>
      <c r="BN247">
        <v>4749.1497421133881</v>
      </c>
    </row>
    <row r="248" spans="1:66" x14ac:dyDescent="0.25">
      <c r="A248" t="s">
        <v>242</v>
      </c>
      <c r="B248" t="s">
        <v>540</v>
      </c>
      <c r="C248" t="s">
        <v>533</v>
      </c>
      <c r="D248" t="s">
        <v>518</v>
      </c>
      <c r="E248" t="s">
        <v>519</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11.416538041464802</v>
      </c>
      <c r="AA248">
        <v>8.7327708333333316</v>
      </c>
      <c r="AB248">
        <v>2.2770791666666668</v>
      </c>
      <c r="AC248">
        <v>1.3566666666666667</v>
      </c>
      <c r="AD248">
        <v>1.9666666666666663</v>
      </c>
      <c r="AE248">
        <v>4.4622309027777769</v>
      </c>
      <c r="AF248">
        <v>7.7698003472222208</v>
      </c>
      <c r="AG248">
        <v>11.941235920833332</v>
      </c>
      <c r="AH248">
        <v>18.817684762500001</v>
      </c>
      <c r="AI248">
        <v>24.5</v>
      </c>
      <c r="AJ248">
        <v>30</v>
      </c>
      <c r="AK248">
        <v>46.305643178011259</v>
      </c>
      <c r="AL248">
        <v>69.696559398715706</v>
      </c>
      <c r="AM248">
        <v>50</v>
      </c>
      <c r="AN248">
        <v>51.5</v>
      </c>
      <c r="AO248">
        <v>53.045000000000002</v>
      </c>
      <c r="AP248">
        <v>54.63635</v>
      </c>
      <c r="AQ248">
        <v>56.275440500000002</v>
      </c>
      <c r="AR248">
        <v>57.963703715000001</v>
      </c>
      <c r="AS248">
        <v>59.702614826450002</v>
      </c>
      <c r="AT248">
        <v>61.493693271243501</v>
      </c>
      <c r="AU248">
        <v>63.338504069380811</v>
      </c>
      <c r="AV248">
        <v>65.238659191462233</v>
      </c>
      <c r="AW248">
        <v>67.195818967206108</v>
      </c>
      <c r="AX248">
        <v>69.211693536222299</v>
      </c>
      <c r="AY248">
        <v>71.288044342308964</v>
      </c>
      <c r="AZ248">
        <v>73.42668567257823</v>
      </c>
      <c r="BA248">
        <v>75.629486242755576</v>
      </c>
      <c r="BB248">
        <v>77.898370830038246</v>
      </c>
      <c r="BC248">
        <v>80.235321954939394</v>
      </c>
      <c r="BD248">
        <v>82.642381613587574</v>
      </c>
      <c r="BE248">
        <v>85.121653061995204</v>
      </c>
      <c r="BF248">
        <v>87.675302653855056</v>
      </c>
      <c r="BG248">
        <v>90.305561733470711</v>
      </c>
      <c r="BH248">
        <v>93.014728585474828</v>
      </c>
      <c r="BI248">
        <v>95.805170443039074</v>
      </c>
      <c r="BJ248">
        <v>98.679325556330255</v>
      </c>
      <c r="BK248">
        <v>101.63970532302017</v>
      </c>
      <c r="BL248">
        <v>104.68889648271077</v>
      </c>
      <c r="BM248">
        <v>107.8295633771921</v>
      </c>
      <c r="BN248">
        <v>111.06445027850786</v>
      </c>
    </row>
    <row r="249" spans="1:66" x14ac:dyDescent="0.25">
      <c r="A249" t="s">
        <v>242</v>
      </c>
      <c r="B249" t="s">
        <v>540</v>
      </c>
      <c r="C249" t="s">
        <v>533</v>
      </c>
      <c r="D249" t="s">
        <v>520</v>
      </c>
      <c r="E249" t="s">
        <v>521</v>
      </c>
      <c r="F249">
        <v>8126.1945618773643</v>
      </c>
      <c r="G249">
        <v>8106.661121873205</v>
      </c>
      <c r="H249">
        <v>8469.9964545997555</v>
      </c>
      <c r="I249">
        <v>8922.6885824844103</v>
      </c>
      <c r="J249">
        <v>9583.8002483498967</v>
      </c>
      <c r="K249">
        <v>10247.564720783123</v>
      </c>
      <c r="L249">
        <v>10378.724398951666</v>
      </c>
      <c r="M249">
        <v>10605.333888617772</v>
      </c>
      <c r="N249">
        <v>10810.458340752642</v>
      </c>
      <c r="O249">
        <v>11096.605458727845</v>
      </c>
      <c r="P249">
        <v>11648.310343290637</v>
      </c>
      <c r="Q249">
        <v>11705.871223077451</v>
      </c>
      <c r="R249">
        <v>12162.021231248526</v>
      </c>
      <c r="S249">
        <v>12697.797549640931</v>
      </c>
      <c r="T249">
        <v>12992.367162928625</v>
      </c>
      <c r="U249">
        <v>13063.440862686894</v>
      </c>
      <c r="V249">
        <v>13182.198504199005</v>
      </c>
      <c r="W249">
        <v>13284.806809600492</v>
      </c>
      <c r="X249">
        <v>13293.959706338926</v>
      </c>
      <c r="Y249">
        <v>13101.086214174264</v>
      </c>
      <c r="Z249">
        <v>13348.937535477718</v>
      </c>
      <c r="AA249">
        <v>13331.827621000642</v>
      </c>
      <c r="AB249">
        <v>13006.487718579234</v>
      </c>
      <c r="AC249">
        <v>13081.360160828839</v>
      </c>
      <c r="AD249">
        <v>13339.646613066796</v>
      </c>
      <c r="AE249">
        <v>13805.025309105527</v>
      </c>
      <c r="AF249">
        <v>13906.520809611657</v>
      </c>
      <c r="AG249">
        <v>14803.702978914342</v>
      </c>
      <c r="AH249">
        <v>15126.124771992951</v>
      </c>
      <c r="AI249">
        <v>14654.704680232724</v>
      </c>
      <c r="AJ249">
        <v>13175.66592208733</v>
      </c>
      <c r="AK249">
        <v>14389.135549876884</v>
      </c>
      <c r="AL249">
        <v>15130.696327345002</v>
      </c>
      <c r="AM249">
        <v>15213.881419492747</v>
      </c>
      <c r="AN249">
        <v>15003.720825676184</v>
      </c>
      <c r="AO249">
        <v>14741.841763258184</v>
      </c>
      <c r="AP249">
        <v>14312.269706173998</v>
      </c>
      <c r="AQ249">
        <v>13800.532019890225</v>
      </c>
      <c r="AR249">
        <v>13152.881001450411</v>
      </c>
      <c r="AS249">
        <v>12407.39461015799</v>
      </c>
      <c r="AT249">
        <v>11630.313473650311</v>
      </c>
      <c r="AU249">
        <v>10802.830233052489</v>
      </c>
      <c r="AV249">
        <v>9982.6094168256477</v>
      </c>
      <c r="AW249">
        <v>9154.8585960440669</v>
      </c>
      <c r="AX249">
        <v>8383.0370955733306</v>
      </c>
      <c r="AY249">
        <v>7621.9784082048373</v>
      </c>
      <c r="AZ249">
        <v>6902.6986096223573</v>
      </c>
      <c r="BA249">
        <v>6240.3278694889977</v>
      </c>
      <c r="BB249">
        <v>5652.2025596573312</v>
      </c>
      <c r="BC249">
        <v>5012.8789024528087</v>
      </c>
      <c r="BD249">
        <v>4482.184830839572</v>
      </c>
      <c r="BE249">
        <v>4043.0713943062342</v>
      </c>
      <c r="BF249">
        <v>3598.5238426976935</v>
      </c>
      <c r="BG249">
        <v>3212.9217111122234</v>
      </c>
      <c r="BH249">
        <v>2809.955289321259</v>
      </c>
      <c r="BI249">
        <v>2435.0345864552646</v>
      </c>
      <c r="BJ249">
        <v>2115.1985972837274</v>
      </c>
      <c r="BK249">
        <v>1813.5204463308055</v>
      </c>
      <c r="BL249">
        <v>1552.5047901007194</v>
      </c>
      <c r="BM249">
        <v>1328.3444628444336</v>
      </c>
      <c r="BN249">
        <v>1162.4469772712703</v>
      </c>
    </row>
    <row r="250" spans="1:66" x14ac:dyDescent="0.25">
      <c r="A250" t="s">
        <v>242</v>
      </c>
      <c r="B250" t="s">
        <v>540</v>
      </c>
      <c r="C250" t="s">
        <v>533</v>
      </c>
      <c r="D250" t="s">
        <v>522</v>
      </c>
      <c r="E250" t="s">
        <v>521</v>
      </c>
      <c r="F250">
        <v>15640.940843035291</v>
      </c>
      <c r="G250">
        <v>16150.546759988883</v>
      </c>
      <c r="H250">
        <v>17648.388786263939</v>
      </c>
      <c r="I250">
        <v>16725.370693795405</v>
      </c>
      <c r="J250">
        <v>16380.548324839787</v>
      </c>
      <c r="K250">
        <v>15499.119986501893</v>
      </c>
      <c r="L250">
        <v>16964.973485962018</v>
      </c>
      <c r="M250">
        <v>18776.307489236842</v>
      </c>
      <c r="N250">
        <v>16990.87642543549</v>
      </c>
      <c r="O250">
        <v>18068.06638576484</v>
      </c>
      <c r="P250">
        <v>18247.587022073894</v>
      </c>
      <c r="Q250">
        <v>20209.470689366266</v>
      </c>
      <c r="R250">
        <v>19699.848793804682</v>
      </c>
      <c r="S250">
        <v>20589.961823411428</v>
      </c>
      <c r="T250">
        <v>19932.694122895617</v>
      </c>
      <c r="U250">
        <v>21455.132172136808</v>
      </c>
      <c r="V250">
        <v>21734.471668911941</v>
      </c>
      <c r="W250">
        <v>20224.013693454704</v>
      </c>
      <c r="X250">
        <v>21356.548009904149</v>
      </c>
      <c r="Y250">
        <v>18870.840564758502</v>
      </c>
      <c r="Z250">
        <v>18772.299934571802</v>
      </c>
      <c r="AA250">
        <v>18114.081314169005</v>
      </c>
      <c r="AB250">
        <v>19820.47191931152</v>
      </c>
      <c r="AC250">
        <v>18884.997469550366</v>
      </c>
      <c r="AD250">
        <v>18698.599087495157</v>
      </c>
      <c r="AE250">
        <v>18478.836391393874</v>
      </c>
      <c r="AF250">
        <v>16973.70962476591</v>
      </c>
      <c r="AG250">
        <v>17531.475135032353</v>
      </c>
      <c r="AH250">
        <v>17282.73541087965</v>
      </c>
      <c r="AI250">
        <v>19152.571947895391</v>
      </c>
      <c r="AJ250">
        <v>18178.313197265285</v>
      </c>
      <c r="AK250">
        <v>18109.047848699509</v>
      </c>
      <c r="AL250">
        <v>16855.179272584122</v>
      </c>
      <c r="AM250">
        <v>16060.785564527652</v>
      </c>
      <c r="AN250">
        <v>15284.059924086156</v>
      </c>
      <c r="AO250">
        <v>14719.592951988314</v>
      </c>
      <c r="AP250">
        <v>14424.831292560237</v>
      </c>
      <c r="AQ250">
        <v>14154.412614750318</v>
      </c>
      <c r="AR250">
        <v>13992.718790485182</v>
      </c>
      <c r="AS250">
        <v>13974.623595979214</v>
      </c>
      <c r="AT250">
        <v>13128.098045397048</v>
      </c>
      <c r="AU250">
        <v>12970.393791202636</v>
      </c>
      <c r="AV250">
        <v>12720.399677466701</v>
      </c>
      <c r="AW250">
        <v>12570.867846793792</v>
      </c>
      <c r="AX250">
        <v>12390.973539848061</v>
      </c>
      <c r="AY250">
        <v>12159.001099360741</v>
      </c>
      <c r="AZ250">
        <v>11873.938794874728</v>
      </c>
      <c r="BA250">
        <v>11530.657741985633</v>
      </c>
      <c r="BB250">
        <v>11125.782615939961</v>
      </c>
      <c r="BC250">
        <v>10676.206904587674</v>
      </c>
      <c r="BD250">
        <v>9332.853035989061</v>
      </c>
      <c r="BE250">
        <v>8914.3098030916026</v>
      </c>
      <c r="BF250">
        <v>8297.3341779165694</v>
      </c>
      <c r="BG250">
        <v>7890.2215655743321</v>
      </c>
      <c r="BH250">
        <v>7490.2409033180948</v>
      </c>
      <c r="BI250">
        <v>7071.8830615684619</v>
      </c>
      <c r="BJ250">
        <v>6651.041646615532</v>
      </c>
      <c r="BK250">
        <v>6199.2405983214903</v>
      </c>
      <c r="BL250">
        <v>5761.9878931664061</v>
      </c>
      <c r="BM250">
        <v>5319.8922982334243</v>
      </c>
      <c r="BN250">
        <v>4914.4723140619144</v>
      </c>
    </row>
    <row r="251" spans="1:66" x14ac:dyDescent="0.25">
      <c r="A251" t="s">
        <v>242</v>
      </c>
      <c r="B251" t="s">
        <v>540</v>
      </c>
      <c r="C251" t="s">
        <v>533</v>
      </c>
      <c r="D251" t="s">
        <v>523</v>
      </c>
      <c r="E251" t="s">
        <v>521</v>
      </c>
      <c r="F251">
        <v>3429.1023206090149</v>
      </c>
      <c r="G251">
        <v>3582.0933132143959</v>
      </c>
      <c r="H251">
        <v>3230.4006797977117</v>
      </c>
      <c r="I251">
        <v>3072.4080540294026</v>
      </c>
      <c r="J251">
        <v>2943.5832063652938</v>
      </c>
      <c r="K251">
        <v>3036.6428253355557</v>
      </c>
      <c r="L251">
        <v>3231.1178764295346</v>
      </c>
      <c r="M251">
        <v>3121.0509253025539</v>
      </c>
      <c r="N251">
        <v>3108.4252054479571</v>
      </c>
      <c r="O251">
        <v>3287.2502963250704</v>
      </c>
      <c r="P251">
        <v>3324.3535917273935</v>
      </c>
      <c r="Q251">
        <v>3441.9326499549325</v>
      </c>
      <c r="R251">
        <v>3562.3255597822995</v>
      </c>
      <c r="S251">
        <v>3798.3629146741546</v>
      </c>
      <c r="T251">
        <v>3833.9993752516589</v>
      </c>
      <c r="U251">
        <v>3949.7863117346769</v>
      </c>
      <c r="V251">
        <v>4067.1636114352182</v>
      </c>
      <c r="W251">
        <v>4324.6641433976283</v>
      </c>
      <c r="X251">
        <v>4207.5754142911601</v>
      </c>
      <c r="Y251">
        <v>4156.3376144420381</v>
      </c>
      <c r="Z251">
        <v>4471.2064224286651</v>
      </c>
      <c r="AA251">
        <v>4511.1732699008671</v>
      </c>
      <c r="AB251">
        <v>4584.743425822363</v>
      </c>
      <c r="AC251">
        <v>4716.1203271304976</v>
      </c>
      <c r="AD251">
        <v>4887.0741014170871</v>
      </c>
      <c r="AE251">
        <v>5014.426570819578</v>
      </c>
      <c r="AF251">
        <v>4761.4486978313562</v>
      </c>
      <c r="AG251">
        <v>4803.9943473754338</v>
      </c>
      <c r="AH251">
        <v>4679.6792337008401</v>
      </c>
      <c r="AI251">
        <v>4713.1761267541115</v>
      </c>
      <c r="AJ251">
        <v>4482.2708369643005</v>
      </c>
      <c r="AK251">
        <v>4684.6924221093332</v>
      </c>
      <c r="AL251">
        <v>4615.0969488544033</v>
      </c>
      <c r="AM251">
        <v>4464.7251801706125</v>
      </c>
      <c r="AN251">
        <v>4498.556684997272</v>
      </c>
      <c r="AO251">
        <v>4457.6642470078723</v>
      </c>
      <c r="AP251">
        <v>4435.7265731000116</v>
      </c>
      <c r="AQ251">
        <v>4383.8597322980941</v>
      </c>
      <c r="AR251">
        <v>4340.2303182720307</v>
      </c>
      <c r="AS251">
        <v>4310.0526562841205</v>
      </c>
      <c r="AT251">
        <v>4056.7660980085579</v>
      </c>
      <c r="AU251">
        <v>4023.5935046231211</v>
      </c>
      <c r="AV251">
        <v>3992.9033957464435</v>
      </c>
      <c r="AW251">
        <v>3955.3802301421929</v>
      </c>
      <c r="AX251">
        <v>3924.0909550976148</v>
      </c>
      <c r="AY251">
        <v>3926.2745471173835</v>
      </c>
      <c r="AZ251">
        <v>3891.1608326447263</v>
      </c>
      <c r="BA251">
        <v>3873.9888830179452</v>
      </c>
      <c r="BB251">
        <v>3858.373266848927</v>
      </c>
      <c r="BC251">
        <v>3844.4091009507952</v>
      </c>
      <c r="BD251">
        <v>2082.8904944049937</v>
      </c>
      <c r="BE251">
        <v>2074.2747610761476</v>
      </c>
      <c r="BF251">
        <v>2067.6923306378594</v>
      </c>
      <c r="BG251">
        <v>2063.9102744517522</v>
      </c>
      <c r="BH251">
        <v>2062.1576472951301</v>
      </c>
      <c r="BI251">
        <v>2062.4562759033447</v>
      </c>
      <c r="BJ251">
        <v>2065.5126294903484</v>
      </c>
      <c r="BK251">
        <v>2071.3982177832308</v>
      </c>
      <c r="BL251">
        <v>2079.0342680102763</v>
      </c>
      <c r="BM251">
        <v>2087.7146598078216</v>
      </c>
      <c r="BN251">
        <v>2098.8843917757004</v>
      </c>
    </row>
    <row r="252" spans="1:66" x14ac:dyDescent="0.25">
      <c r="A252" t="s">
        <v>242</v>
      </c>
      <c r="B252" t="s">
        <v>540</v>
      </c>
      <c r="C252" t="s">
        <v>533</v>
      </c>
      <c r="D252" t="s">
        <v>524</v>
      </c>
      <c r="E252" t="s">
        <v>521</v>
      </c>
      <c r="F252">
        <v>1816.6596733237263</v>
      </c>
      <c r="G252">
        <v>1893.7218802684215</v>
      </c>
      <c r="H252">
        <v>1971.3222733100288</v>
      </c>
      <c r="I252">
        <v>2049.4503492491226</v>
      </c>
      <c r="J252">
        <v>1947.5325263313807</v>
      </c>
      <c r="K252">
        <v>2023.8252549837712</v>
      </c>
      <c r="L252">
        <v>2102.1656796823004</v>
      </c>
      <c r="M252">
        <v>2125.7547716447093</v>
      </c>
      <c r="N252">
        <v>2086.8629737313777</v>
      </c>
      <c r="O252">
        <v>2084.0346339247499</v>
      </c>
      <c r="P252">
        <v>2103.6901401299438</v>
      </c>
      <c r="Q252">
        <v>2134.2537068539705</v>
      </c>
      <c r="R252">
        <v>2173.5947283527944</v>
      </c>
      <c r="S252">
        <v>2101.4028129686244</v>
      </c>
      <c r="T252">
        <v>2124.9026062551302</v>
      </c>
      <c r="U252">
        <v>2134.5667014321762</v>
      </c>
      <c r="V252">
        <v>1957.2003317893241</v>
      </c>
      <c r="W252">
        <v>1922.5694677164029</v>
      </c>
      <c r="X252">
        <v>1846.56179242198</v>
      </c>
      <c r="Y252">
        <v>1723.3205496528278</v>
      </c>
      <c r="Z252">
        <v>1665.7456629024559</v>
      </c>
      <c r="AA252">
        <v>1519.6605558608351</v>
      </c>
      <c r="AB252">
        <v>1410.5413176396301</v>
      </c>
      <c r="AC252">
        <v>1359.9084848190901</v>
      </c>
      <c r="AD252">
        <v>1314.1708670740722</v>
      </c>
      <c r="AE252">
        <v>1275.9271345153275</v>
      </c>
      <c r="AF252">
        <v>1246.0586846922251</v>
      </c>
      <c r="AG252">
        <v>1214.8602401561525</v>
      </c>
      <c r="AH252">
        <v>1156.3598029499428</v>
      </c>
      <c r="AI252">
        <v>1114.3950725962225</v>
      </c>
      <c r="AJ252">
        <v>1075.3643344180375</v>
      </c>
      <c r="AK252">
        <v>1058.4109684228663</v>
      </c>
      <c r="AL252">
        <v>1022.6056717073851</v>
      </c>
      <c r="AM252">
        <v>958.96266417380684</v>
      </c>
      <c r="AN252">
        <v>894.95985110602771</v>
      </c>
      <c r="AO252">
        <v>830.20804974995497</v>
      </c>
      <c r="AP252">
        <v>765.42495046274541</v>
      </c>
      <c r="AQ252">
        <v>716.23973187093122</v>
      </c>
      <c r="AR252">
        <v>667.27873913813312</v>
      </c>
      <c r="AS252">
        <v>618.86959775125081</v>
      </c>
      <c r="AT252">
        <v>571.15627646632288</v>
      </c>
      <c r="AU252">
        <v>525.26064809363731</v>
      </c>
      <c r="AV252">
        <v>485.33325267568455</v>
      </c>
      <c r="AW252">
        <v>449.07190344986702</v>
      </c>
      <c r="AX252">
        <v>415.30904749836435</v>
      </c>
      <c r="AY252">
        <v>383.52992028193478</v>
      </c>
      <c r="AZ252">
        <v>353.34421878533993</v>
      </c>
      <c r="BA252">
        <v>324.61648253631211</v>
      </c>
      <c r="BB252">
        <v>297.26120538261853</v>
      </c>
      <c r="BC252">
        <v>271.19781668143264</v>
      </c>
      <c r="BD252">
        <v>246.42006305403967</v>
      </c>
      <c r="BE252">
        <v>228.76061473390612</v>
      </c>
      <c r="BF252">
        <v>212.01972979719091</v>
      </c>
      <c r="BG252">
        <v>196.15349208681764</v>
      </c>
      <c r="BH252">
        <v>181.1092278255239</v>
      </c>
      <c r="BI252">
        <v>166.86775312894875</v>
      </c>
      <c r="BJ252">
        <v>153.37057082021238</v>
      </c>
      <c r="BK252">
        <v>140.57595541124473</v>
      </c>
      <c r="BL252">
        <v>128.46805420261808</v>
      </c>
      <c r="BM252">
        <v>117.02624189815158</v>
      </c>
      <c r="BN252">
        <v>106.22845651837657</v>
      </c>
    </row>
    <row r="253" spans="1:66" x14ac:dyDescent="0.25">
      <c r="A253" t="s">
        <v>242</v>
      </c>
      <c r="B253" t="s">
        <v>540</v>
      </c>
      <c r="C253" t="s">
        <v>533</v>
      </c>
      <c r="D253" t="s">
        <v>525</v>
      </c>
      <c r="E253" t="s">
        <v>521</v>
      </c>
      <c r="F253">
        <v>29012.897398845394</v>
      </c>
      <c r="G253">
        <v>29733.023075344903</v>
      </c>
      <c r="H253">
        <v>31320.108193971439</v>
      </c>
      <c r="I253">
        <v>30769.917679558341</v>
      </c>
      <c r="J253">
        <v>30855.464305886358</v>
      </c>
      <c r="K253">
        <v>30807.15278760434</v>
      </c>
      <c r="L253">
        <v>32676.98144102552</v>
      </c>
      <c r="M253">
        <v>34628.447074801872</v>
      </c>
      <c r="N253">
        <v>32996.622945367468</v>
      </c>
      <c r="O253">
        <v>34535.956774742503</v>
      </c>
      <c r="P253">
        <v>35323.941097221861</v>
      </c>
      <c r="Q253">
        <v>37491.528269252616</v>
      </c>
      <c r="R253">
        <v>37597.790313188299</v>
      </c>
      <c r="S253">
        <v>39187.525100695137</v>
      </c>
      <c r="T253">
        <v>38883.963267331026</v>
      </c>
      <c r="U253">
        <v>40602.92604799055</v>
      </c>
      <c r="V253">
        <v>40941.03411633549</v>
      </c>
      <c r="W253">
        <v>39756.054114169223</v>
      </c>
      <c r="X253">
        <v>40704.644922956213</v>
      </c>
      <c r="Y253">
        <v>37851.584943027628</v>
      </c>
      <c r="Z253">
        <v>38258.189555380639</v>
      </c>
      <c r="AA253">
        <v>37476.742760931345</v>
      </c>
      <c r="AB253">
        <v>38822.24438135275</v>
      </c>
      <c r="AC253">
        <v>38042.386442328796</v>
      </c>
      <c r="AD253">
        <v>38239.490669053106</v>
      </c>
      <c r="AE253">
        <v>38574.2154058343</v>
      </c>
      <c r="AF253">
        <v>36887.73781690115</v>
      </c>
      <c r="AG253">
        <v>38354.032701478282</v>
      </c>
      <c r="AH253">
        <v>38244.89921952338</v>
      </c>
      <c r="AI253">
        <v>39634.847827478443</v>
      </c>
      <c r="AJ253">
        <v>36911.614290734949</v>
      </c>
      <c r="AK253">
        <v>38241.286789108599</v>
      </c>
      <c r="AL253">
        <v>37623.578220490912</v>
      </c>
      <c r="AM253">
        <v>36698.35482836482</v>
      </c>
      <c r="AN253">
        <v>35681.297285865636</v>
      </c>
      <c r="AO253">
        <v>34749.307012004327</v>
      </c>
      <c r="AP253">
        <v>33938.252522296993</v>
      </c>
      <c r="AQ253">
        <v>33055.044098809565</v>
      </c>
      <c r="AR253">
        <v>32153.108849345757</v>
      </c>
      <c r="AS253">
        <v>31310.940460172573</v>
      </c>
      <c r="AT253">
        <v>29386.333893522238</v>
      </c>
      <c r="AU253">
        <v>28322.078176971885</v>
      </c>
      <c r="AV253">
        <v>27181.245742714476</v>
      </c>
      <c r="AW253">
        <v>26130.17857642992</v>
      </c>
      <c r="AX253">
        <v>25113.410638017373</v>
      </c>
      <c r="AY253">
        <v>24090.783974964896</v>
      </c>
      <c r="AZ253">
        <v>23021.142455927155</v>
      </c>
      <c r="BA253">
        <v>21969.590977028885</v>
      </c>
      <c r="BB253">
        <v>20933.61964782884</v>
      </c>
      <c r="BC253">
        <v>19804.69272467271</v>
      </c>
      <c r="BD253">
        <v>16144.348424287666</v>
      </c>
      <c r="BE253">
        <v>15260.416573207891</v>
      </c>
      <c r="BF253">
        <v>14175.570081049314</v>
      </c>
      <c r="BG253">
        <v>13363.207043225124</v>
      </c>
      <c r="BH253">
        <v>12543.463067760007</v>
      </c>
      <c r="BI253">
        <v>11736.241677056019</v>
      </c>
      <c r="BJ253">
        <v>10985.123444209819</v>
      </c>
      <c r="BK253">
        <v>10224.735217846772</v>
      </c>
      <c r="BL253">
        <v>9521.9950054800192</v>
      </c>
      <c r="BM253">
        <v>8852.977662783831</v>
      </c>
      <c r="BN253">
        <v>8282.0321396272611</v>
      </c>
    </row>
    <row r="254" spans="1:66" x14ac:dyDescent="0.25">
      <c r="A254" t="s">
        <v>243</v>
      </c>
      <c r="B254" t="s">
        <v>540</v>
      </c>
      <c r="C254" t="s">
        <v>537</v>
      </c>
      <c r="D254" t="s">
        <v>518</v>
      </c>
      <c r="E254" t="s">
        <v>519</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11.416538041464802</v>
      </c>
      <c r="AA254">
        <v>8.7327708333333316</v>
      </c>
      <c r="AB254">
        <v>2.2770791666666668</v>
      </c>
      <c r="AC254">
        <v>1.3566666666666667</v>
      </c>
      <c r="AD254">
        <v>1.9666666666666663</v>
      </c>
      <c r="AE254">
        <v>4.4622309027777769</v>
      </c>
      <c r="AF254">
        <v>7.7698003472222208</v>
      </c>
      <c r="AG254">
        <v>11.941235920833332</v>
      </c>
      <c r="AH254">
        <v>18.817684762500001</v>
      </c>
      <c r="AI254">
        <v>24.5</v>
      </c>
      <c r="AJ254">
        <v>30</v>
      </c>
      <c r="AK254">
        <v>46.305643178011259</v>
      </c>
      <c r="AL254">
        <v>69.696559398715706</v>
      </c>
      <c r="AM254">
        <v>55</v>
      </c>
      <c r="AN254">
        <v>56.65</v>
      </c>
      <c r="AO254">
        <v>58.349499999999999</v>
      </c>
      <c r="AP254">
        <v>60.099985000000004</v>
      </c>
      <c r="AQ254">
        <v>61.902984550000006</v>
      </c>
      <c r="AR254">
        <v>63.760074086500005</v>
      </c>
      <c r="AS254">
        <v>65.672876309095003</v>
      </c>
      <c r="AT254">
        <v>67.643062598367848</v>
      </c>
      <c r="AU254">
        <v>69.672354476318887</v>
      </c>
      <c r="AV254">
        <v>71.762525110608451</v>
      </c>
      <c r="AW254">
        <v>73.915400863926706</v>
      </c>
      <c r="AX254">
        <v>76.132862889844503</v>
      </c>
      <c r="AY254">
        <v>78.416848776539837</v>
      </c>
      <c r="AZ254">
        <v>80.769354239836034</v>
      </c>
      <c r="BA254">
        <v>83.19243486703111</v>
      </c>
      <c r="BB254">
        <v>85.688207913042049</v>
      </c>
      <c r="BC254">
        <v>88.258854150433308</v>
      </c>
      <c r="BD254">
        <v>90.906619774946307</v>
      </c>
      <c r="BE254">
        <v>93.633818368194696</v>
      </c>
      <c r="BF254">
        <v>96.442832919240544</v>
      </c>
      <c r="BG254">
        <v>99.336117906817762</v>
      </c>
      <c r="BH254">
        <v>102.3162014440223</v>
      </c>
      <c r="BI254">
        <v>105.38568748734296</v>
      </c>
      <c r="BJ254">
        <v>108.54725811196326</v>
      </c>
      <c r="BK254">
        <v>111.80367585532215</v>
      </c>
      <c r="BL254">
        <v>115.15778613098182</v>
      </c>
      <c r="BM254">
        <v>118.61251971491127</v>
      </c>
      <c r="BN254">
        <v>122.17089530635862</v>
      </c>
    </row>
    <row r="255" spans="1:66" x14ac:dyDescent="0.25">
      <c r="A255" t="s">
        <v>243</v>
      </c>
      <c r="B255" t="s">
        <v>540</v>
      </c>
      <c r="C255" t="s">
        <v>537</v>
      </c>
      <c r="D255" t="s">
        <v>520</v>
      </c>
      <c r="E255" t="s">
        <v>521</v>
      </c>
      <c r="F255">
        <v>8126.1945618773643</v>
      </c>
      <c r="G255">
        <v>8106.661121873205</v>
      </c>
      <c r="H255">
        <v>8469.9964545997555</v>
      </c>
      <c r="I255">
        <v>8922.6885824844103</v>
      </c>
      <c r="J255">
        <v>9583.8002483498967</v>
      </c>
      <c r="K255">
        <v>10247.564720783123</v>
      </c>
      <c r="L255">
        <v>10378.724398951666</v>
      </c>
      <c r="M255">
        <v>10605.333888617772</v>
      </c>
      <c r="N255">
        <v>10810.458340752642</v>
      </c>
      <c r="O255">
        <v>11096.605458727845</v>
      </c>
      <c r="P255">
        <v>11648.310343290637</v>
      </c>
      <c r="Q255">
        <v>11705.871223077451</v>
      </c>
      <c r="R255">
        <v>12162.021231248526</v>
      </c>
      <c r="S255">
        <v>12697.797549640931</v>
      </c>
      <c r="T255">
        <v>12992.367162928625</v>
      </c>
      <c r="U255">
        <v>13063.440862686894</v>
      </c>
      <c r="V255">
        <v>13182.198504199005</v>
      </c>
      <c r="W255">
        <v>13284.806809600492</v>
      </c>
      <c r="X255">
        <v>13293.959706338926</v>
      </c>
      <c r="Y255">
        <v>13101.086214174264</v>
      </c>
      <c r="Z255">
        <v>13348.937535477718</v>
      </c>
      <c r="AA255">
        <v>13331.827621000642</v>
      </c>
      <c r="AB255">
        <v>13006.487718579234</v>
      </c>
      <c r="AC255">
        <v>13081.360160828839</v>
      </c>
      <c r="AD255">
        <v>13339.646613066796</v>
      </c>
      <c r="AE255">
        <v>13805.025309105527</v>
      </c>
      <c r="AF255">
        <v>13906.520809611657</v>
      </c>
      <c r="AG255">
        <v>14803.702978914342</v>
      </c>
      <c r="AH255">
        <v>15126.124771992951</v>
      </c>
      <c r="AI255">
        <v>14654.704680232724</v>
      </c>
      <c r="AJ255">
        <v>13175.66592208733</v>
      </c>
      <c r="AK255">
        <v>14389.135549876884</v>
      </c>
      <c r="AL255">
        <v>15130.696327345002</v>
      </c>
      <c r="AM255">
        <v>15213.302632140516</v>
      </c>
      <c r="AN255">
        <v>15002.104288691802</v>
      </c>
      <c r="AO255">
        <v>14738.41523048722</v>
      </c>
      <c r="AP255">
        <v>14306.278722065956</v>
      </c>
      <c r="AQ255">
        <v>13790.606098964239</v>
      </c>
      <c r="AR255">
        <v>13136.907028606654</v>
      </c>
      <c r="AS255">
        <v>12388.745766912398</v>
      </c>
      <c r="AT255">
        <v>11607.650699375905</v>
      </c>
      <c r="AU255">
        <v>10778.110719140563</v>
      </c>
      <c r="AV255">
        <v>9957.2881436941152</v>
      </c>
      <c r="AW255">
        <v>9130.3733346057052</v>
      </c>
      <c r="AX255">
        <v>8357.7903362158941</v>
      </c>
      <c r="AY255">
        <v>7596.6101144177946</v>
      </c>
      <c r="AZ255">
        <v>6876.6912726913024</v>
      </c>
      <c r="BA255">
        <v>6236.2287654833281</v>
      </c>
      <c r="BB255">
        <v>5626.7611322447556</v>
      </c>
      <c r="BC255">
        <v>4988.4226776301612</v>
      </c>
      <c r="BD255">
        <v>4477.1379934115521</v>
      </c>
      <c r="BE255">
        <v>4020.190033889352</v>
      </c>
      <c r="BF255">
        <v>3579.0481419064777</v>
      </c>
      <c r="BG255">
        <v>3205.4911454922308</v>
      </c>
      <c r="BH255">
        <v>2791.5408913756337</v>
      </c>
      <c r="BI255">
        <v>2418.0867164307406</v>
      </c>
      <c r="BJ255">
        <v>2119.6177766735045</v>
      </c>
      <c r="BK255">
        <v>1799.9635172147921</v>
      </c>
      <c r="BL255">
        <v>1540.5980782783788</v>
      </c>
      <c r="BM255">
        <v>1317.6152680901093</v>
      </c>
      <c r="BN255">
        <v>1150.1676327936791</v>
      </c>
    </row>
    <row r="256" spans="1:66" x14ac:dyDescent="0.25">
      <c r="A256" t="s">
        <v>243</v>
      </c>
      <c r="B256" t="s">
        <v>540</v>
      </c>
      <c r="C256" t="s">
        <v>537</v>
      </c>
      <c r="D256" t="s">
        <v>522</v>
      </c>
      <c r="E256" t="s">
        <v>521</v>
      </c>
      <c r="F256">
        <v>15640.940843035291</v>
      </c>
      <c r="G256">
        <v>16150.546759988883</v>
      </c>
      <c r="H256">
        <v>17648.388786263939</v>
      </c>
      <c r="I256">
        <v>16725.370693795405</v>
      </c>
      <c r="J256">
        <v>16380.548324839787</v>
      </c>
      <c r="K256">
        <v>15499.119986501893</v>
      </c>
      <c r="L256">
        <v>16964.973485962018</v>
      </c>
      <c r="M256">
        <v>18776.307489236842</v>
      </c>
      <c r="N256">
        <v>16990.87642543549</v>
      </c>
      <c r="O256">
        <v>18068.06638576484</v>
      </c>
      <c r="P256">
        <v>18247.587022073894</v>
      </c>
      <c r="Q256">
        <v>20209.470689366266</v>
      </c>
      <c r="R256">
        <v>19699.848793804682</v>
      </c>
      <c r="S256">
        <v>20589.961823411428</v>
      </c>
      <c r="T256">
        <v>19932.694122895617</v>
      </c>
      <c r="U256">
        <v>21455.132172136808</v>
      </c>
      <c r="V256">
        <v>21734.471668911941</v>
      </c>
      <c r="W256">
        <v>20224.013693454704</v>
      </c>
      <c r="X256">
        <v>21356.548009904149</v>
      </c>
      <c r="Y256">
        <v>18870.840564758502</v>
      </c>
      <c r="Z256">
        <v>18772.299934571802</v>
      </c>
      <c r="AA256">
        <v>18114.081314169005</v>
      </c>
      <c r="AB256">
        <v>19820.47191931152</v>
      </c>
      <c r="AC256">
        <v>18884.997469550366</v>
      </c>
      <c r="AD256">
        <v>18698.599087495157</v>
      </c>
      <c r="AE256">
        <v>18478.836391393874</v>
      </c>
      <c r="AF256">
        <v>16973.70962476591</v>
      </c>
      <c r="AG256">
        <v>17531.475135032353</v>
      </c>
      <c r="AH256">
        <v>17282.73541087965</v>
      </c>
      <c r="AI256">
        <v>19152.571947895391</v>
      </c>
      <c r="AJ256">
        <v>18178.313197265285</v>
      </c>
      <c r="AK256">
        <v>18109.047848699509</v>
      </c>
      <c r="AL256">
        <v>16845.971048250321</v>
      </c>
      <c r="AM256">
        <v>16030.85569023841</v>
      </c>
      <c r="AN256">
        <v>15247.528228496751</v>
      </c>
      <c r="AO256">
        <v>14596.901029269326</v>
      </c>
      <c r="AP256">
        <v>14314.011444304395</v>
      </c>
      <c r="AQ256">
        <v>14045.274984567623</v>
      </c>
      <c r="AR256">
        <v>13846.361708960729</v>
      </c>
      <c r="AS256">
        <v>13834.905953250001</v>
      </c>
      <c r="AT256">
        <v>12985.661135254169</v>
      </c>
      <c r="AU256">
        <v>12821.807945680388</v>
      </c>
      <c r="AV256">
        <v>12565.816050376905</v>
      </c>
      <c r="AW256">
        <v>12409.216006590605</v>
      </c>
      <c r="AX256">
        <v>12222.342085127724</v>
      </c>
      <c r="AY256">
        <v>11978.884064618629</v>
      </c>
      <c r="AZ256">
        <v>11674.249729018324</v>
      </c>
      <c r="BA256">
        <v>11317.624931456987</v>
      </c>
      <c r="BB256">
        <v>10889.607563311023</v>
      </c>
      <c r="BC256">
        <v>10442.18610497119</v>
      </c>
      <c r="BD256">
        <v>9104.6553916740977</v>
      </c>
      <c r="BE256">
        <v>8678.3746143620483</v>
      </c>
      <c r="BF256">
        <v>8087.5904230664955</v>
      </c>
      <c r="BG256">
        <v>7684.5569370338408</v>
      </c>
      <c r="BH256">
        <v>7255.946016758362</v>
      </c>
      <c r="BI256">
        <v>6817.171756386876</v>
      </c>
      <c r="BJ256">
        <v>6381.6788703828024</v>
      </c>
      <c r="BK256">
        <v>5910.6159644147365</v>
      </c>
      <c r="BL256">
        <v>5398.8143161985081</v>
      </c>
      <c r="BM256">
        <v>4873.4571834426597</v>
      </c>
      <c r="BN256">
        <v>4413.2640680627665</v>
      </c>
    </row>
    <row r="257" spans="1:66" x14ac:dyDescent="0.25">
      <c r="A257" t="s">
        <v>243</v>
      </c>
      <c r="B257" t="s">
        <v>540</v>
      </c>
      <c r="C257" t="s">
        <v>537</v>
      </c>
      <c r="D257" t="s">
        <v>523</v>
      </c>
      <c r="E257" t="s">
        <v>521</v>
      </c>
      <c r="F257">
        <v>3429.1023206090149</v>
      </c>
      <c r="G257">
        <v>3582.0933132143959</v>
      </c>
      <c r="H257">
        <v>3230.4006797977117</v>
      </c>
      <c r="I257">
        <v>3072.4080540294026</v>
      </c>
      <c r="J257">
        <v>2943.5832063652938</v>
      </c>
      <c r="K257">
        <v>3036.6428253355557</v>
      </c>
      <c r="L257">
        <v>3231.1178764295346</v>
      </c>
      <c r="M257">
        <v>3121.0509253025539</v>
      </c>
      <c r="N257">
        <v>3108.4252054479571</v>
      </c>
      <c r="O257">
        <v>3287.2502963250704</v>
      </c>
      <c r="P257">
        <v>3324.3535917273935</v>
      </c>
      <c r="Q257">
        <v>3441.9326499549325</v>
      </c>
      <c r="R257">
        <v>3562.3255597822995</v>
      </c>
      <c r="S257">
        <v>3798.3629146741546</v>
      </c>
      <c r="T257">
        <v>3833.9993752516589</v>
      </c>
      <c r="U257">
        <v>3949.7863117346769</v>
      </c>
      <c r="V257">
        <v>4067.1636114352182</v>
      </c>
      <c r="W257">
        <v>4324.6641433976283</v>
      </c>
      <c r="X257">
        <v>4207.5754142911601</v>
      </c>
      <c r="Y257">
        <v>4156.3376144420381</v>
      </c>
      <c r="Z257">
        <v>4471.2064224286651</v>
      </c>
      <c r="AA257">
        <v>4511.1732699008671</v>
      </c>
      <c r="AB257">
        <v>4584.743425822363</v>
      </c>
      <c r="AC257">
        <v>4716.1203271304976</v>
      </c>
      <c r="AD257">
        <v>4887.0741014170871</v>
      </c>
      <c r="AE257">
        <v>5014.426570819578</v>
      </c>
      <c r="AF257">
        <v>4761.4486978313562</v>
      </c>
      <c r="AG257">
        <v>4803.9943473754338</v>
      </c>
      <c r="AH257">
        <v>4679.6792337008401</v>
      </c>
      <c r="AI257">
        <v>4713.1761267541115</v>
      </c>
      <c r="AJ257">
        <v>4482.2708369643005</v>
      </c>
      <c r="AK257">
        <v>4684.6924221093332</v>
      </c>
      <c r="AL257">
        <v>4615.0969488544042</v>
      </c>
      <c r="AM257">
        <v>4464.7251801706125</v>
      </c>
      <c r="AN257">
        <v>4498.556684997272</v>
      </c>
      <c r="AO257">
        <v>4457.6642470078723</v>
      </c>
      <c r="AP257">
        <v>4435.7265731000116</v>
      </c>
      <c r="AQ257">
        <v>4383.8597322980941</v>
      </c>
      <c r="AR257">
        <v>4340.2303182720307</v>
      </c>
      <c r="AS257">
        <v>4310.0526562841196</v>
      </c>
      <c r="AT257">
        <v>4056.766098008557</v>
      </c>
      <c r="AU257">
        <v>4023.5935046231207</v>
      </c>
      <c r="AV257">
        <v>3992.9033957464444</v>
      </c>
      <c r="AW257">
        <v>3955.3802301421924</v>
      </c>
      <c r="AX257">
        <v>3924.0909550976148</v>
      </c>
      <c r="AY257">
        <v>3926.2745471173835</v>
      </c>
      <c r="AZ257">
        <v>3891.1608326447263</v>
      </c>
      <c r="BA257">
        <v>3873.9888830179452</v>
      </c>
      <c r="BB257">
        <v>3858.373266848927</v>
      </c>
      <c r="BC257">
        <v>3844.4091009507952</v>
      </c>
      <c r="BD257">
        <v>2082.8904944049937</v>
      </c>
      <c r="BE257">
        <v>2074.2747610761476</v>
      </c>
      <c r="BF257">
        <v>2067.6923306378599</v>
      </c>
      <c r="BG257">
        <v>2063.9102744517522</v>
      </c>
      <c r="BH257">
        <v>2062.1576472951301</v>
      </c>
      <c r="BI257">
        <v>2062.4562759033447</v>
      </c>
      <c r="BJ257">
        <v>2065.5126294903484</v>
      </c>
      <c r="BK257">
        <v>2071.3982177832308</v>
      </c>
      <c r="BL257">
        <v>2079.0342680102767</v>
      </c>
      <c r="BM257">
        <v>2087.7146598078216</v>
      </c>
      <c r="BN257">
        <v>2098.8843917757004</v>
      </c>
    </row>
    <row r="258" spans="1:66" x14ac:dyDescent="0.25">
      <c r="A258" t="s">
        <v>243</v>
      </c>
      <c r="B258" t="s">
        <v>540</v>
      </c>
      <c r="C258" t="s">
        <v>537</v>
      </c>
      <c r="D258" t="s">
        <v>524</v>
      </c>
      <c r="E258" t="s">
        <v>521</v>
      </c>
      <c r="F258">
        <v>1816.6596733237263</v>
      </c>
      <c r="G258">
        <v>1893.7218802684215</v>
      </c>
      <c r="H258">
        <v>1971.3222733100288</v>
      </c>
      <c r="I258">
        <v>2049.4503492491226</v>
      </c>
      <c r="J258">
        <v>1947.5325263313807</v>
      </c>
      <c r="K258">
        <v>2023.8252549837712</v>
      </c>
      <c r="L258">
        <v>2102.1656796823004</v>
      </c>
      <c r="M258">
        <v>2125.7547716447093</v>
      </c>
      <c r="N258">
        <v>2086.8629737313777</v>
      </c>
      <c r="O258">
        <v>2084.0346339247499</v>
      </c>
      <c r="P258">
        <v>2103.6901401299438</v>
      </c>
      <c r="Q258">
        <v>2134.2537068539705</v>
      </c>
      <c r="R258">
        <v>2173.5947283527944</v>
      </c>
      <c r="S258">
        <v>2101.4028129686244</v>
      </c>
      <c r="T258">
        <v>2124.9026062551302</v>
      </c>
      <c r="U258">
        <v>2134.5667014321762</v>
      </c>
      <c r="V258">
        <v>1957.2003317893241</v>
      </c>
      <c r="W258">
        <v>1922.5694677164029</v>
      </c>
      <c r="X258">
        <v>1846.56179242198</v>
      </c>
      <c r="Y258">
        <v>1723.3205496528278</v>
      </c>
      <c r="Z258">
        <v>1665.7456629024559</v>
      </c>
      <c r="AA258">
        <v>1519.6605558608351</v>
      </c>
      <c r="AB258">
        <v>1410.5413176396301</v>
      </c>
      <c r="AC258">
        <v>1359.9084848190901</v>
      </c>
      <c r="AD258">
        <v>1314.1708670740722</v>
      </c>
      <c r="AE258">
        <v>1275.9271345153275</v>
      </c>
      <c r="AF258">
        <v>1246.0586846922251</v>
      </c>
      <c r="AG258">
        <v>1214.8602401561525</v>
      </c>
      <c r="AH258">
        <v>1156.3598029499428</v>
      </c>
      <c r="AI258">
        <v>1114.3950725962225</v>
      </c>
      <c r="AJ258">
        <v>1075.3643344180375</v>
      </c>
      <c r="AK258">
        <v>1058.4109684228663</v>
      </c>
      <c r="AL258">
        <v>1022.6056717073851</v>
      </c>
      <c r="AM258">
        <v>958.96266417380684</v>
      </c>
      <c r="AN258">
        <v>894.95985110602771</v>
      </c>
      <c r="AO258">
        <v>830.20804974995497</v>
      </c>
      <c r="AP258">
        <v>765.42495046274541</v>
      </c>
      <c r="AQ258">
        <v>716.23973187093122</v>
      </c>
      <c r="AR258">
        <v>667.27873913813312</v>
      </c>
      <c r="AS258">
        <v>618.86959775125081</v>
      </c>
      <c r="AT258">
        <v>571.15627646632288</v>
      </c>
      <c r="AU258">
        <v>525.26064809363731</v>
      </c>
      <c r="AV258">
        <v>485.33325267568455</v>
      </c>
      <c r="AW258">
        <v>449.07190344986702</v>
      </c>
      <c r="AX258">
        <v>415.30904749836435</v>
      </c>
      <c r="AY258">
        <v>383.52992028193478</v>
      </c>
      <c r="AZ258">
        <v>353.34421878533993</v>
      </c>
      <c r="BA258">
        <v>324.61648253631211</v>
      </c>
      <c r="BB258">
        <v>297.26120538261853</v>
      </c>
      <c r="BC258">
        <v>271.19781668143264</v>
      </c>
      <c r="BD258">
        <v>246.42006305403967</v>
      </c>
      <c r="BE258">
        <v>228.76061473390612</v>
      </c>
      <c r="BF258">
        <v>212.01972979719091</v>
      </c>
      <c r="BG258">
        <v>196.15349208681764</v>
      </c>
      <c r="BH258">
        <v>181.1092278255239</v>
      </c>
      <c r="BI258">
        <v>166.86775312894875</v>
      </c>
      <c r="BJ258">
        <v>153.37057082021238</v>
      </c>
      <c r="BK258">
        <v>140.57595541124473</v>
      </c>
      <c r="BL258">
        <v>128.46805420261808</v>
      </c>
      <c r="BM258">
        <v>117.02624189815158</v>
      </c>
      <c r="BN258">
        <v>106.22845651837657</v>
      </c>
    </row>
    <row r="259" spans="1:66" x14ac:dyDescent="0.25">
      <c r="A259" t="s">
        <v>243</v>
      </c>
      <c r="B259" t="s">
        <v>540</v>
      </c>
      <c r="C259" t="s">
        <v>537</v>
      </c>
      <c r="D259" t="s">
        <v>525</v>
      </c>
      <c r="E259" t="s">
        <v>521</v>
      </c>
      <c r="F259">
        <v>29012.897398845394</v>
      </c>
      <c r="G259">
        <v>29733.023075344903</v>
      </c>
      <c r="H259">
        <v>31320.108193971439</v>
      </c>
      <c r="I259">
        <v>30769.917679558341</v>
      </c>
      <c r="J259">
        <v>30855.464305886358</v>
      </c>
      <c r="K259">
        <v>30807.15278760434</v>
      </c>
      <c r="L259">
        <v>32676.98144102552</v>
      </c>
      <c r="M259">
        <v>34628.447074801872</v>
      </c>
      <c r="N259">
        <v>32996.622945367468</v>
      </c>
      <c r="O259">
        <v>34535.956774742503</v>
      </c>
      <c r="P259">
        <v>35323.941097221861</v>
      </c>
      <c r="Q259">
        <v>37491.528269252616</v>
      </c>
      <c r="R259">
        <v>37597.790313188299</v>
      </c>
      <c r="S259">
        <v>39187.525100695137</v>
      </c>
      <c r="T259">
        <v>38883.963267331026</v>
      </c>
      <c r="U259">
        <v>40602.92604799055</v>
      </c>
      <c r="V259">
        <v>40941.03411633549</v>
      </c>
      <c r="W259">
        <v>39756.054114169223</v>
      </c>
      <c r="X259">
        <v>40704.644922956213</v>
      </c>
      <c r="Y259">
        <v>37851.584943027628</v>
      </c>
      <c r="Z259">
        <v>38258.189555380639</v>
      </c>
      <c r="AA259">
        <v>37476.742760931345</v>
      </c>
      <c r="AB259">
        <v>38822.24438135275</v>
      </c>
      <c r="AC259">
        <v>38042.386442328796</v>
      </c>
      <c r="AD259">
        <v>38239.490669053106</v>
      </c>
      <c r="AE259">
        <v>38574.2154058343</v>
      </c>
      <c r="AF259">
        <v>36887.73781690115</v>
      </c>
      <c r="AG259">
        <v>38354.032701478282</v>
      </c>
      <c r="AH259">
        <v>38244.89921952338</v>
      </c>
      <c r="AI259">
        <v>39634.847827478443</v>
      </c>
      <c r="AJ259">
        <v>36911.614290734949</v>
      </c>
      <c r="AK259">
        <v>38241.286789108599</v>
      </c>
      <c r="AL259">
        <v>37614.369996157118</v>
      </c>
      <c r="AM259">
        <v>36667.84616672335</v>
      </c>
      <c r="AN259">
        <v>35643.149053291854</v>
      </c>
      <c r="AO259">
        <v>34623.188556514375</v>
      </c>
      <c r="AP259">
        <v>33821.441689933104</v>
      </c>
      <c r="AQ259">
        <v>32935.980547700885</v>
      </c>
      <c r="AR259">
        <v>31990.777794977548</v>
      </c>
      <c r="AS259">
        <v>31152.57397419777</v>
      </c>
      <c r="AT259">
        <v>29221.234209104954</v>
      </c>
      <c r="AU259">
        <v>28148.772817537709</v>
      </c>
      <c r="AV259">
        <v>27001.340842493151</v>
      </c>
      <c r="AW259">
        <v>25944.04147478837</v>
      </c>
      <c r="AX259">
        <v>24919.532423939596</v>
      </c>
      <c r="AY259">
        <v>23885.298646435742</v>
      </c>
      <c r="AZ259">
        <v>22795.446053139694</v>
      </c>
      <c r="BA259">
        <v>21752.45906249457</v>
      </c>
      <c r="BB259">
        <v>20672.003167787327</v>
      </c>
      <c r="BC259">
        <v>19546.215700233577</v>
      </c>
      <c r="BD259">
        <v>15911.103942544683</v>
      </c>
      <c r="BE259">
        <v>15001.600024061454</v>
      </c>
      <c r="BF259">
        <v>13946.350625408024</v>
      </c>
      <c r="BG259">
        <v>13150.11184906464</v>
      </c>
      <c r="BH259">
        <v>12290.753783254651</v>
      </c>
      <c r="BI259">
        <v>11464.582501849911</v>
      </c>
      <c r="BJ259">
        <v>10720.17984736687</v>
      </c>
      <c r="BK259">
        <v>9922.5536548240034</v>
      </c>
      <c r="BL259">
        <v>9146.9147166897819</v>
      </c>
      <c r="BM259">
        <v>8395.8133532387419</v>
      </c>
      <c r="BN259">
        <v>7768.5445491505225</v>
      </c>
    </row>
    <row r="260" spans="1:66" x14ac:dyDescent="0.25">
      <c r="A260" t="s">
        <v>244</v>
      </c>
      <c r="B260" t="s">
        <v>540</v>
      </c>
      <c r="C260" t="s">
        <v>534</v>
      </c>
      <c r="D260" t="s">
        <v>518</v>
      </c>
      <c r="E260" t="s">
        <v>519</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11.416538041464802</v>
      </c>
      <c r="AA260">
        <v>8.7327708333333316</v>
      </c>
      <c r="AB260">
        <v>2.2770791666666668</v>
      </c>
      <c r="AC260">
        <v>1.3566666666666667</v>
      </c>
      <c r="AD260">
        <v>1.9666666666666663</v>
      </c>
      <c r="AE260">
        <v>4.4622309027777769</v>
      </c>
      <c r="AF260">
        <v>7.7698003472222208</v>
      </c>
      <c r="AG260">
        <v>11.941235920833332</v>
      </c>
      <c r="AH260">
        <v>18.817684762500001</v>
      </c>
      <c r="AI260">
        <v>24.5</v>
      </c>
      <c r="AJ260">
        <v>30</v>
      </c>
      <c r="AK260">
        <v>46.305643178011259</v>
      </c>
      <c r="AL260">
        <v>69.696559398715706</v>
      </c>
      <c r="AM260">
        <v>78.978951484932111</v>
      </c>
      <c r="AN260">
        <v>88.261343571148515</v>
      </c>
      <c r="AO260">
        <v>97.54373565736492</v>
      </c>
      <c r="AP260">
        <v>106.82612774358132</v>
      </c>
      <c r="AQ260">
        <v>116.10851982979773</v>
      </c>
      <c r="AR260">
        <v>125.39091191601413</v>
      </c>
      <c r="AS260">
        <v>134.67330400223054</v>
      </c>
      <c r="AT260">
        <v>143.95569608844693</v>
      </c>
      <c r="AU260">
        <v>148.27436697110033</v>
      </c>
      <c r="AV260">
        <v>152.72259798023336</v>
      </c>
      <c r="AW260">
        <v>157.30427591964036</v>
      </c>
      <c r="AX260">
        <v>162.02340419722958</v>
      </c>
      <c r="AY260">
        <v>166.88410632314648</v>
      </c>
      <c r="AZ260">
        <v>171.89062951284089</v>
      </c>
      <c r="BA260">
        <v>177.04734839822612</v>
      </c>
      <c r="BB260">
        <v>182.35876885017291</v>
      </c>
      <c r="BC260">
        <v>187.8295319156781</v>
      </c>
      <c r="BD260">
        <v>193.46441787314845</v>
      </c>
      <c r="BE260">
        <v>199.2683504093429</v>
      </c>
      <c r="BF260">
        <v>205.24640092162321</v>
      </c>
      <c r="BG260">
        <v>211.40379294927192</v>
      </c>
      <c r="BH260">
        <v>217.74590673775009</v>
      </c>
      <c r="BI260">
        <v>224.27828393988258</v>
      </c>
      <c r="BJ260">
        <v>231.00663245807908</v>
      </c>
      <c r="BK260">
        <v>237.93683143182147</v>
      </c>
      <c r="BL260">
        <v>245.07493637477612</v>
      </c>
      <c r="BM260">
        <v>252.42718446601941</v>
      </c>
      <c r="BN260">
        <v>260</v>
      </c>
    </row>
    <row r="261" spans="1:66" x14ac:dyDescent="0.25">
      <c r="A261" t="s">
        <v>244</v>
      </c>
      <c r="B261" t="s">
        <v>540</v>
      </c>
      <c r="C261" t="s">
        <v>534</v>
      </c>
      <c r="D261" t="s">
        <v>520</v>
      </c>
      <c r="E261" t="s">
        <v>521</v>
      </c>
      <c r="F261">
        <v>8126.1945618773643</v>
      </c>
      <c r="G261">
        <v>8106.661121873205</v>
      </c>
      <c r="H261">
        <v>8469.9964545997555</v>
      </c>
      <c r="I261">
        <v>8922.6885824844103</v>
      </c>
      <c r="J261">
        <v>9583.8002483498967</v>
      </c>
      <c r="K261">
        <v>10247.564720783123</v>
      </c>
      <c r="L261">
        <v>10378.724398951666</v>
      </c>
      <c r="M261">
        <v>10605.333888617772</v>
      </c>
      <c r="N261">
        <v>10810.458340752642</v>
      </c>
      <c r="O261">
        <v>11096.605458727845</v>
      </c>
      <c r="P261">
        <v>11648.310343290637</v>
      </c>
      <c r="Q261">
        <v>11705.871223077451</v>
      </c>
      <c r="R261">
        <v>12162.021231248526</v>
      </c>
      <c r="S261">
        <v>12697.797549640931</v>
      </c>
      <c r="T261">
        <v>12992.367162928625</v>
      </c>
      <c r="U261">
        <v>13063.440862686894</v>
      </c>
      <c r="V261">
        <v>13182.198504199005</v>
      </c>
      <c r="W261">
        <v>13284.806809600492</v>
      </c>
      <c r="X261">
        <v>13293.959706338926</v>
      </c>
      <c r="Y261">
        <v>13101.086214174264</v>
      </c>
      <c r="Z261">
        <v>13348.937535477718</v>
      </c>
      <c r="AA261">
        <v>13331.827621000642</v>
      </c>
      <c r="AB261">
        <v>13006.487718579234</v>
      </c>
      <c r="AC261">
        <v>13081.360160828839</v>
      </c>
      <c r="AD261">
        <v>13339.646613066796</v>
      </c>
      <c r="AE261">
        <v>13805.025309105527</v>
      </c>
      <c r="AF261">
        <v>13906.520809611657</v>
      </c>
      <c r="AG261">
        <v>14803.702978914342</v>
      </c>
      <c r="AH261">
        <v>15126.124771992951</v>
      </c>
      <c r="AI261">
        <v>14654.704680232724</v>
      </c>
      <c r="AJ261">
        <v>13175.66592208733</v>
      </c>
      <c r="AK261">
        <v>14389.135549876884</v>
      </c>
      <c r="AL261">
        <v>15130.626112329664</v>
      </c>
      <c r="AM261">
        <v>15209.291709168037</v>
      </c>
      <c r="AN261">
        <v>14987.934401413542</v>
      </c>
      <c r="AO261">
        <v>14706.748428314637</v>
      </c>
      <c r="AP261">
        <v>14234.834592071986</v>
      </c>
      <c r="AQ261">
        <v>13667.991655647225</v>
      </c>
      <c r="AR261">
        <v>12923.706306615921</v>
      </c>
      <c r="AS261">
        <v>12116.638870644136</v>
      </c>
      <c r="AT261">
        <v>11295.406575231771</v>
      </c>
      <c r="AU261">
        <v>10449.746999969859</v>
      </c>
      <c r="AV261">
        <v>9614.6707809631534</v>
      </c>
      <c r="AW261">
        <v>8783.4692782688671</v>
      </c>
      <c r="AX261">
        <v>7974.8801388844231</v>
      </c>
      <c r="AY261">
        <v>7260.9992979103263</v>
      </c>
      <c r="AZ261">
        <v>6527.4376838394801</v>
      </c>
      <c r="BA261">
        <v>5897.4800377779256</v>
      </c>
      <c r="BB261">
        <v>5289.4021288322874</v>
      </c>
      <c r="BC261">
        <v>4716.9082217454325</v>
      </c>
      <c r="BD261">
        <v>4187.7403470788458</v>
      </c>
      <c r="BE261">
        <v>3768.4054370128374</v>
      </c>
      <c r="BF261">
        <v>3337.7776137964106</v>
      </c>
      <c r="BG261">
        <v>2960.76717856096</v>
      </c>
      <c r="BH261">
        <v>2586.949015639816</v>
      </c>
      <c r="BI261">
        <v>2224.6049525281433</v>
      </c>
      <c r="BJ261">
        <v>1927.0514475614609</v>
      </c>
      <c r="BK261">
        <v>1632.9625056531768</v>
      </c>
      <c r="BL261">
        <v>1428.6386539838204</v>
      </c>
      <c r="BM261">
        <v>1215.5996782544162</v>
      </c>
      <c r="BN261">
        <v>1029.6848020888458</v>
      </c>
    </row>
    <row r="262" spans="1:66" x14ac:dyDescent="0.25">
      <c r="A262" t="s">
        <v>244</v>
      </c>
      <c r="B262" t="s">
        <v>540</v>
      </c>
      <c r="C262" t="s">
        <v>534</v>
      </c>
      <c r="D262" t="s">
        <v>522</v>
      </c>
      <c r="E262" t="s">
        <v>521</v>
      </c>
      <c r="F262">
        <v>15640.940843035291</v>
      </c>
      <c r="G262">
        <v>16150.546759988883</v>
      </c>
      <c r="H262">
        <v>17648.388786263939</v>
      </c>
      <c r="I262">
        <v>16725.370693795405</v>
      </c>
      <c r="J262">
        <v>16380.548324839787</v>
      </c>
      <c r="K262">
        <v>15499.119986501893</v>
      </c>
      <c r="L262">
        <v>16964.973485962018</v>
      </c>
      <c r="M262">
        <v>18776.307489236842</v>
      </c>
      <c r="N262">
        <v>16990.87642543549</v>
      </c>
      <c r="O262">
        <v>18068.06638576484</v>
      </c>
      <c r="P262">
        <v>18247.587022073894</v>
      </c>
      <c r="Q262">
        <v>20209.470689366266</v>
      </c>
      <c r="R262">
        <v>19699.848793804682</v>
      </c>
      <c r="S262">
        <v>20589.961823411428</v>
      </c>
      <c r="T262">
        <v>19932.694122895617</v>
      </c>
      <c r="U262">
        <v>21455.132172136808</v>
      </c>
      <c r="V262">
        <v>21734.471668911941</v>
      </c>
      <c r="W262">
        <v>20224.013693454704</v>
      </c>
      <c r="X262">
        <v>21356.548009904149</v>
      </c>
      <c r="Y262">
        <v>18870.840564758502</v>
      </c>
      <c r="Z262">
        <v>18772.299934571802</v>
      </c>
      <c r="AA262">
        <v>18114.081314169005</v>
      </c>
      <c r="AB262">
        <v>19820.47191931152</v>
      </c>
      <c r="AC262">
        <v>18884.997469550366</v>
      </c>
      <c r="AD262">
        <v>18698.599087495157</v>
      </c>
      <c r="AE262">
        <v>18478.836391393874</v>
      </c>
      <c r="AF262">
        <v>16973.70962476591</v>
      </c>
      <c r="AG262">
        <v>17531.475135032353</v>
      </c>
      <c r="AH262">
        <v>17282.73541087965</v>
      </c>
      <c r="AI262">
        <v>19152.571947895391</v>
      </c>
      <c r="AJ262">
        <v>18178.313197265285</v>
      </c>
      <c r="AK262">
        <v>18109.047848699509</v>
      </c>
      <c r="AL262">
        <v>16784.114822856674</v>
      </c>
      <c r="AM262">
        <v>15901.906449751272</v>
      </c>
      <c r="AN262">
        <v>14957.027300454791</v>
      </c>
      <c r="AO262">
        <v>14008.677230167594</v>
      </c>
      <c r="AP262">
        <v>13623.711915048765</v>
      </c>
      <c r="AQ262">
        <v>13182.742778196372</v>
      </c>
      <c r="AR262">
        <v>12876.64865948258</v>
      </c>
      <c r="AS262">
        <v>12598.99436110171</v>
      </c>
      <c r="AT262">
        <v>11519.346169958597</v>
      </c>
      <c r="AU262">
        <v>11181.314958431933</v>
      </c>
      <c r="AV262">
        <v>10847.860700536321</v>
      </c>
      <c r="AW262">
        <v>10507.345384276261</v>
      </c>
      <c r="AX262">
        <v>10062.750492421681</v>
      </c>
      <c r="AY262">
        <v>9543.6845837265373</v>
      </c>
      <c r="AZ262">
        <v>9027.4002258368746</v>
      </c>
      <c r="BA262">
        <v>8524.3433096396184</v>
      </c>
      <c r="BB262">
        <v>8053.7094278474751</v>
      </c>
      <c r="BC262">
        <v>7657.920101246712</v>
      </c>
      <c r="BD262">
        <v>6385.1761648844677</v>
      </c>
      <c r="BE262">
        <v>6049.8738018716676</v>
      </c>
      <c r="BF262">
        <v>5627.9321846275134</v>
      </c>
      <c r="BG262">
        <v>5248.3858064989136</v>
      </c>
      <c r="BH262">
        <v>4926.7152459059535</v>
      </c>
      <c r="BI262">
        <v>4580.7914895043559</v>
      </c>
      <c r="BJ262">
        <v>4240.8867644427964</v>
      </c>
      <c r="BK262">
        <v>3956.6905585072154</v>
      </c>
      <c r="BL262">
        <v>3710.9069691592508</v>
      </c>
      <c r="BM262">
        <v>3329.9604143283586</v>
      </c>
      <c r="BN262">
        <v>2984.7099747264519</v>
      </c>
    </row>
    <row r="263" spans="1:66" x14ac:dyDescent="0.25">
      <c r="A263" t="s">
        <v>244</v>
      </c>
      <c r="B263" t="s">
        <v>540</v>
      </c>
      <c r="C263" t="s">
        <v>534</v>
      </c>
      <c r="D263" t="s">
        <v>523</v>
      </c>
      <c r="E263" t="s">
        <v>521</v>
      </c>
      <c r="F263">
        <v>3429.1023206090149</v>
      </c>
      <c r="G263">
        <v>3582.0933132143959</v>
      </c>
      <c r="H263">
        <v>3230.4006797977117</v>
      </c>
      <c r="I263">
        <v>3072.4080540294026</v>
      </c>
      <c r="J263">
        <v>2943.5832063652938</v>
      </c>
      <c r="K263">
        <v>3036.6428253355557</v>
      </c>
      <c r="L263">
        <v>3231.1178764295346</v>
      </c>
      <c r="M263">
        <v>3121.0509253025539</v>
      </c>
      <c r="N263">
        <v>3108.4252054479571</v>
      </c>
      <c r="O263">
        <v>3287.2502963250704</v>
      </c>
      <c r="P263">
        <v>3324.3535917273935</v>
      </c>
      <c r="Q263">
        <v>3441.9326499549325</v>
      </c>
      <c r="R263">
        <v>3562.3255597822995</v>
      </c>
      <c r="S263">
        <v>3798.3629146741546</v>
      </c>
      <c r="T263">
        <v>3833.9993752516589</v>
      </c>
      <c r="U263">
        <v>3949.7863117346769</v>
      </c>
      <c r="V263">
        <v>4067.1636114352182</v>
      </c>
      <c r="W263">
        <v>4324.6641433976283</v>
      </c>
      <c r="X263">
        <v>4207.5754142911601</v>
      </c>
      <c r="Y263">
        <v>4156.3376144420381</v>
      </c>
      <c r="Z263">
        <v>4471.2064224286651</v>
      </c>
      <c r="AA263">
        <v>4511.1732699008671</v>
      </c>
      <c r="AB263">
        <v>4584.743425822363</v>
      </c>
      <c r="AC263">
        <v>4716.1203271304976</v>
      </c>
      <c r="AD263">
        <v>4887.0741014170871</v>
      </c>
      <c r="AE263">
        <v>5014.426570819578</v>
      </c>
      <c r="AF263">
        <v>4761.4486978313562</v>
      </c>
      <c r="AG263">
        <v>4803.9943473754338</v>
      </c>
      <c r="AH263">
        <v>4679.6792337008401</v>
      </c>
      <c r="AI263">
        <v>4713.1761267541115</v>
      </c>
      <c r="AJ263">
        <v>4482.2708369643005</v>
      </c>
      <c r="AK263">
        <v>4684.6924221093332</v>
      </c>
      <c r="AL263">
        <v>4615.0969488544042</v>
      </c>
      <c r="AM263">
        <v>4464.7251801706125</v>
      </c>
      <c r="AN263">
        <v>4498.5566849972711</v>
      </c>
      <c r="AO263">
        <v>4457.6642470078723</v>
      </c>
      <c r="AP263">
        <v>4435.7265731000125</v>
      </c>
      <c r="AQ263">
        <v>4383.8597322980941</v>
      </c>
      <c r="AR263">
        <v>4340.2303182720307</v>
      </c>
      <c r="AS263">
        <v>4310.0526562841196</v>
      </c>
      <c r="AT263">
        <v>4056.7660980085575</v>
      </c>
      <c r="AU263">
        <v>4023.5935046231211</v>
      </c>
      <c r="AV263">
        <v>3992.9033957464439</v>
      </c>
      <c r="AW263">
        <v>3955.3802301421924</v>
      </c>
      <c r="AX263">
        <v>3924.0909550976148</v>
      </c>
      <c r="AY263">
        <v>3926.274547117383</v>
      </c>
      <c r="AZ263">
        <v>3891.1608326447263</v>
      </c>
      <c r="BA263">
        <v>3873.9888830179452</v>
      </c>
      <c r="BB263">
        <v>3858.373266848927</v>
      </c>
      <c r="BC263">
        <v>3844.4091009507952</v>
      </c>
      <c r="BD263">
        <v>2082.8904944049937</v>
      </c>
      <c r="BE263">
        <v>2074.2747610761476</v>
      </c>
      <c r="BF263">
        <v>2067.6923306378594</v>
      </c>
      <c r="BG263">
        <v>2063.9102744517522</v>
      </c>
      <c r="BH263">
        <v>2062.1576472951297</v>
      </c>
      <c r="BI263">
        <v>2062.4562759033447</v>
      </c>
      <c r="BJ263">
        <v>2065.5126294903484</v>
      </c>
      <c r="BK263">
        <v>2071.3982177832308</v>
      </c>
      <c r="BL263">
        <v>2079.0342680102763</v>
      </c>
      <c r="BM263">
        <v>2087.7146598078216</v>
      </c>
      <c r="BN263">
        <v>2098.8843917757004</v>
      </c>
    </row>
    <row r="264" spans="1:66" x14ac:dyDescent="0.25">
      <c r="A264" t="s">
        <v>244</v>
      </c>
      <c r="B264" t="s">
        <v>540</v>
      </c>
      <c r="C264" t="s">
        <v>534</v>
      </c>
      <c r="D264" t="s">
        <v>524</v>
      </c>
      <c r="E264" t="s">
        <v>521</v>
      </c>
      <c r="F264">
        <v>1816.6596733237263</v>
      </c>
      <c r="G264">
        <v>1893.7218802684215</v>
      </c>
      <c r="H264">
        <v>1971.3222733100288</v>
      </c>
      <c r="I264">
        <v>2049.4503492491226</v>
      </c>
      <c r="J264">
        <v>1947.5325263313807</v>
      </c>
      <c r="K264">
        <v>2023.8252549837712</v>
      </c>
      <c r="L264">
        <v>2102.1656796823004</v>
      </c>
      <c r="M264">
        <v>2125.7547716447093</v>
      </c>
      <c r="N264">
        <v>2086.8629737313777</v>
      </c>
      <c r="O264">
        <v>2084.0346339247499</v>
      </c>
      <c r="P264">
        <v>2103.6901401299438</v>
      </c>
      <c r="Q264">
        <v>2134.2537068539705</v>
      </c>
      <c r="R264">
        <v>2173.5947283527944</v>
      </c>
      <c r="S264">
        <v>2101.4028129686244</v>
      </c>
      <c r="T264">
        <v>2124.9026062551302</v>
      </c>
      <c r="U264">
        <v>2134.5667014321762</v>
      </c>
      <c r="V264">
        <v>1957.2003317893241</v>
      </c>
      <c r="W264">
        <v>1922.5694677164029</v>
      </c>
      <c r="X264">
        <v>1846.56179242198</v>
      </c>
      <c r="Y264">
        <v>1723.3205496528278</v>
      </c>
      <c r="Z264">
        <v>1665.7456629024559</v>
      </c>
      <c r="AA264">
        <v>1519.6605558608351</v>
      </c>
      <c r="AB264">
        <v>1410.5413176396301</v>
      </c>
      <c r="AC264">
        <v>1359.9084848190901</v>
      </c>
      <c r="AD264">
        <v>1314.1708670740722</v>
      </c>
      <c r="AE264">
        <v>1275.9271345153275</v>
      </c>
      <c r="AF264">
        <v>1246.0586846922251</v>
      </c>
      <c r="AG264">
        <v>1214.8602401561525</v>
      </c>
      <c r="AH264">
        <v>1156.3598029499428</v>
      </c>
      <c r="AI264">
        <v>1114.3950725962225</v>
      </c>
      <c r="AJ264">
        <v>1075.3643344180375</v>
      </c>
      <c r="AK264">
        <v>1058.4109684228663</v>
      </c>
      <c r="AL264">
        <v>1022.6056717073851</v>
      </c>
      <c r="AM264">
        <v>958.96266417380684</v>
      </c>
      <c r="AN264">
        <v>894.95985110602771</v>
      </c>
      <c r="AO264">
        <v>830.20804974995497</v>
      </c>
      <c r="AP264">
        <v>765.42495046274541</v>
      </c>
      <c r="AQ264">
        <v>716.23973187093122</v>
      </c>
      <c r="AR264">
        <v>667.27873913813312</v>
      </c>
      <c r="AS264">
        <v>618.86959775125081</v>
      </c>
      <c r="AT264">
        <v>571.15627646632288</v>
      </c>
      <c r="AU264">
        <v>525.26064809363731</v>
      </c>
      <c r="AV264">
        <v>485.33325267568455</v>
      </c>
      <c r="AW264">
        <v>449.07190344986702</v>
      </c>
      <c r="AX264">
        <v>415.30904749836435</v>
      </c>
      <c r="AY264">
        <v>383.52992028193478</v>
      </c>
      <c r="AZ264">
        <v>353.34421878533993</v>
      </c>
      <c r="BA264">
        <v>324.61648253631211</v>
      </c>
      <c r="BB264">
        <v>297.26120538261853</v>
      </c>
      <c r="BC264">
        <v>271.19781668143264</v>
      </c>
      <c r="BD264">
        <v>246.42006305403967</v>
      </c>
      <c r="BE264">
        <v>228.76061473390612</v>
      </c>
      <c r="BF264">
        <v>212.01972979719091</v>
      </c>
      <c r="BG264">
        <v>196.15349208681764</v>
      </c>
      <c r="BH264">
        <v>181.1092278255239</v>
      </c>
      <c r="BI264">
        <v>166.86775312894875</v>
      </c>
      <c r="BJ264">
        <v>153.37057082021238</v>
      </c>
      <c r="BK264">
        <v>140.57595541124473</v>
      </c>
      <c r="BL264">
        <v>128.46805420261808</v>
      </c>
      <c r="BM264">
        <v>117.02624189815158</v>
      </c>
      <c r="BN264">
        <v>106.22845651837657</v>
      </c>
    </row>
    <row r="265" spans="1:66" x14ac:dyDescent="0.25">
      <c r="A265" t="s">
        <v>244</v>
      </c>
      <c r="B265" t="s">
        <v>540</v>
      </c>
      <c r="C265" t="s">
        <v>534</v>
      </c>
      <c r="D265" t="s">
        <v>525</v>
      </c>
      <c r="E265" t="s">
        <v>521</v>
      </c>
      <c r="F265">
        <v>29012.897398845394</v>
      </c>
      <c r="G265">
        <v>29733.023075344903</v>
      </c>
      <c r="H265">
        <v>31320.108193971439</v>
      </c>
      <c r="I265">
        <v>30769.917679558341</v>
      </c>
      <c r="J265">
        <v>30855.464305886358</v>
      </c>
      <c r="K265">
        <v>30807.15278760434</v>
      </c>
      <c r="L265">
        <v>32676.98144102552</v>
      </c>
      <c r="M265">
        <v>34628.447074801872</v>
      </c>
      <c r="N265">
        <v>32996.622945367468</v>
      </c>
      <c r="O265">
        <v>34535.956774742503</v>
      </c>
      <c r="P265">
        <v>35323.941097221861</v>
      </c>
      <c r="Q265">
        <v>37491.528269252616</v>
      </c>
      <c r="R265">
        <v>37597.790313188299</v>
      </c>
      <c r="S265">
        <v>39187.525100695137</v>
      </c>
      <c r="T265">
        <v>38883.963267331026</v>
      </c>
      <c r="U265">
        <v>40602.92604799055</v>
      </c>
      <c r="V265">
        <v>40941.03411633549</v>
      </c>
      <c r="W265">
        <v>39756.054114169223</v>
      </c>
      <c r="X265">
        <v>40704.644922956213</v>
      </c>
      <c r="Y265">
        <v>37851.584943027628</v>
      </c>
      <c r="Z265">
        <v>38258.189555380639</v>
      </c>
      <c r="AA265">
        <v>37476.742760931345</v>
      </c>
      <c r="AB265">
        <v>38822.24438135275</v>
      </c>
      <c r="AC265">
        <v>38042.386442328796</v>
      </c>
      <c r="AD265">
        <v>38239.490669053106</v>
      </c>
      <c r="AE265">
        <v>38574.2154058343</v>
      </c>
      <c r="AF265">
        <v>36887.73781690115</v>
      </c>
      <c r="AG265">
        <v>38354.032701478282</v>
      </c>
      <c r="AH265">
        <v>38244.89921952338</v>
      </c>
      <c r="AI265">
        <v>39634.847827478443</v>
      </c>
      <c r="AJ265">
        <v>36911.614290734949</v>
      </c>
      <c r="AK265">
        <v>38241.286789108599</v>
      </c>
      <c r="AL265">
        <v>37552.443555748134</v>
      </c>
      <c r="AM265">
        <v>36534.886003263731</v>
      </c>
      <c r="AN265">
        <v>35338.478237971627</v>
      </c>
      <c r="AO265">
        <v>34003.297955240057</v>
      </c>
      <c r="AP265">
        <v>33059.69803068351</v>
      </c>
      <c r="AQ265">
        <v>31950.833898012621</v>
      </c>
      <c r="AR265">
        <v>30807.864023508664</v>
      </c>
      <c r="AS265">
        <v>29644.555485781213</v>
      </c>
      <c r="AT265">
        <v>27442.675119665244</v>
      </c>
      <c r="AU265">
        <v>26179.916111118549</v>
      </c>
      <c r="AV265">
        <v>24940.768129921606</v>
      </c>
      <c r="AW265">
        <v>23695.266796137184</v>
      </c>
      <c r="AX265">
        <v>22377.030633902083</v>
      </c>
      <c r="AY265">
        <v>21114.488349036179</v>
      </c>
      <c r="AZ265">
        <v>19799.34296110642</v>
      </c>
      <c r="BA265">
        <v>18620.4287129718</v>
      </c>
      <c r="BB265">
        <v>17498.746028911311</v>
      </c>
      <c r="BC265">
        <v>16490.435240624371</v>
      </c>
      <c r="BD265">
        <v>12902.227069422348</v>
      </c>
      <c r="BE265">
        <v>12121.314614694558</v>
      </c>
      <c r="BF265">
        <v>11245.421858858976</v>
      </c>
      <c r="BG265">
        <v>10469.216751598444</v>
      </c>
      <c r="BH265">
        <v>9756.9311366664224</v>
      </c>
      <c r="BI265">
        <v>9034.7204710647929</v>
      </c>
      <c r="BJ265">
        <v>8386.8214123148191</v>
      </c>
      <c r="BK265">
        <v>7801.6272373548672</v>
      </c>
      <c r="BL265">
        <v>7347.0479453559656</v>
      </c>
      <c r="BM265">
        <v>6750.3009942887484</v>
      </c>
      <c r="BN265">
        <v>6219.5076251093742</v>
      </c>
    </row>
    <row r="266" spans="1:66" x14ac:dyDescent="0.25">
      <c r="A266" t="s">
        <v>245</v>
      </c>
      <c r="B266" t="s">
        <v>540</v>
      </c>
      <c r="C266" t="s">
        <v>526</v>
      </c>
      <c r="D266" t="s">
        <v>518</v>
      </c>
      <c r="E266" t="s">
        <v>519</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11.416538041464802</v>
      </c>
      <c r="AA266">
        <v>8.7327708333333316</v>
      </c>
      <c r="AB266">
        <v>2.2770791666666668</v>
      </c>
      <c r="AC266">
        <v>1.3566666666666667</v>
      </c>
      <c r="AD266">
        <v>1.9666666666666663</v>
      </c>
      <c r="AE266">
        <v>4.4622309027777769</v>
      </c>
      <c r="AF266">
        <v>7.7698003472222208</v>
      </c>
      <c r="AG266">
        <v>11.941235920833332</v>
      </c>
      <c r="AH266">
        <v>18.817684762500001</v>
      </c>
      <c r="AI266">
        <v>24.5</v>
      </c>
      <c r="AJ266">
        <v>30</v>
      </c>
      <c r="AK266">
        <v>46.305643178011259</v>
      </c>
      <c r="AL266">
        <v>69.696559398715706</v>
      </c>
      <c r="AM266">
        <v>0.01</v>
      </c>
      <c r="AN266">
        <v>0.01</v>
      </c>
      <c r="AO266">
        <v>0.01</v>
      </c>
      <c r="AP266">
        <v>0.01</v>
      </c>
      <c r="AQ266">
        <v>0.01</v>
      </c>
      <c r="AR266">
        <v>0.01</v>
      </c>
      <c r="AS266">
        <v>0.01</v>
      </c>
      <c r="AT266">
        <v>0.01</v>
      </c>
      <c r="AU266">
        <v>0.01</v>
      </c>
      <c r="AV266">
        <v>0.01</v>
      </c>
      <c r="AW266">
        <v>0.01</v>
      </c>
      <c r="AX266">
        <v>0.01</v>
      </c>
      <c r="AY266">
        <v>0.01</v>
      </c>
      <c r="AZ266">
        <v>0.01</v>
      </c>
      <c r="BA266">
        <v>0.01</v>
      </c>
      <c r="BB266">
        <v>0.01</v>
      </c>
      <c r="BC266">
        <v>0.01</v>
      </c>
      <c r="BD266">
        <v>0.01</v>
      </c>
      <c r="BE266">
        <v>0.01</v>
      </c>
      <c r="BF266">
        <v>0.01</v>
      </c>
      <c r="BG266">
        <v>0.01</v>
      </c>
      <c r="BH266">
        <v>0.01</v>
      </c>
      <c r="BI266">
        <v>0.01</v>
      </c>
      <c r="BJ266">
        <v>0.01</v>
      </c>
      <c r="BK266">
        <v>0.01</v>
      </c>
      <c r="BL266">
        <v>0.01</v>
      </c>
      <c r="BM266">
        <v>0.01</v>
      </c>
      <c r="BN266">
        <v>0.01</v>
      </c>
    </row>
    <row r="267" spans="1:66" x14ac:dyDescent="0.25">
      <c r="A267" t="s">
        <v>245</v>
      </c>
      <c r="B267" t="s">
        <v>540</v>
      </c>
      <c r="C267" t="s">
        <v>526</v>
      </c>
      <c r="D267" t="s">
        <v>520</v>
      </c>
      <c r="E267" t="s">
        <v>521</v>
      </c>
      <c r="F267">
        <v>8126.1945618773643</v>
      </c>
      <c r="G267">
        <v>8106.661121873205</v>
      </c>
      <c r="H267">
        <v>8469.9964545997555</v>
      </c>
      <c r="I267">
        <v>8922.6885824844103</v>
      </c>
      <c r="J267">
        <v>9583.8002483498967</v>
      </c>
      <c r="K267">
        <v>10247.564720783123</v>
      </c>
      <c r="L267">
        <v>10378.724398951666</v>
      </c>
      <c r="M267">
        <v>10605.333888617772</v>
      </c>
      <c r="N267">
        <v>10810.458340752642</v>
      </c>
      <c r="O267">
        <v>11096.605458727845</v>
      </c>
      <c r="P267">
        <v>11648.310343290637</v>
      </c>
      <c r="Q267">
        <v>11705.871223077451</v>
      </c>
      <c r="R267">
        <v>12162.021231248526</v>
      </c>
      <c r="S267">
        <v>12697.797549640931</v>
      </c>
      <c r="T267">
        <v>12992.367162928625</v>
      </c>
      <c r="U267">
        <v>13063.440862686894</v>
      </c>
      <c r="V267">
        <v>13182.198504199005</v>
      </c>
      <c r="W267">
        <v>13284.806809600492</v>
      </c>
      <c r="X267">
        <v>13293.959706338926</v>
      </c>
      <c r="Y267">
        <v>13101.086214174264</v>
      </c>
      <c r="Z267">
        <v>13348.937535477718</v>
      </c>
      <c r="AA267">
        <v>13331.827621000642</v>
      </c>
      <c r="AB267">
        <v>13006.487718579234</v>
      </c>
      <c r="AC267">
        <v>13081.360160828839</v>
      </c>
      <c r="AD267">
        <v>13339.646613066796</v>
      </c>
      <c r="AE267">
        <v>13805.025309105527</v>
      </c>
      <c r="AF267">
        <v>13906.520809611657</v>
      </c>
      <c r="AG267">
        <v>14803.702978914342</v>
      </c>
      <c r="AH267">
        <v>15126.124771992951</v>
      </c>
      <c r="AI267">
        <v>14654.704680232724</v>
      </c>
      <c r="AJ267">
        <v>13175.66592208733</v>
      </c>
      <c r="AK267">
        <v>14389.135549876884</v>
      </c>
      <c r="AL267">
        <v>15130.696327345002</v>
      </c>
      <c r="AM267">
        <v>15219.895052255753</v>
      </c>
      <c r="AN267">
        <v>15020.398215237603</v>
      </c>
      <c r="AO267">
        <v>14775.831451663475</v>
      </c>
      <c r="AP267">
        <v>14373.301179403712</v>
      </c>
      <c r="AQ267">
        <v>13898.404372566774</v>
      </c>
      <c r="AR267">
        <v>13289.30967379257</v>
      </c>
      <c r="AS267">
        <v>12572.093490459481</v>
      </c>
      <c r="AT267">
        <v>11856.567817606347</v>
      </c>
      <c r="AU267">
        <v>11042.108022967255</v>
      </c>
      <c r="AV267">
        <v>10216.570773283531</v>
      </c>
      <c r="AW267">
        <v>9415.2023914249676</v>
      </c>
      <c r="AX267">
        <v>8633.970644068635</v>
      </c>
      <c r="AY267">
        <v>7848.6418711750166</v>
      </c>
      <c r="AZ267">
        <v>7188.8482285037144</v>
      </c>
      <c r="BA267">
        <v>6501.7628144288328</v>
      </c>
      <c r="BB267">
        <v>5887.5649225988218</v>
      </c>
      <c r="BC267">
        <v>5293.8109650919378</v>
      </c>
      <c r="BD267">
        <v>4716.5728239425998</v>
      </c>
      <c r="BE267">
        <v>4240.0011988992692</v>
      </c>
      <c r="BF267">
        <v>3797.4382260151397</v>
      </c>
      <c r="BG267">
        <v>3353.42933925742</v>
      </c>
      <c r="BH267">
        <v>2957.6733158779193</v>
      </c>
      <c r="BI267">
        <v>2596.3657524607574</v>
      </c>
      <c r="BJ267">
        <v>2220.0002537715282</v>
      </c>
      <c r="BK267">
        <v>1916.4559695840194</v>
      </c>
      <c r="BL267">
        <v>1653.6766819887782</v>
      </c>
      <c r="BM267">
        <v>1417.6565040021585</v>
      </c>
      <c r="BN267">
        <v>1233.2832543339882</v>
      </c>
    </row>
    <row r="268" spans="1:66" x14ac:dyDescent="0.25">
      <c r="A268" t="s">
        <v>245</v>
      </c>
      <c r="B268" t="s">
        <v>540</v>
      </c>
      <c r="C268" t="s">
        <v>526</v>
      </c>
      <c r="D268" t="s">
        <v>522</v>
      </c>
      <c r="E268" t="s">
        <v>521</v>
      </c>
      <c r="F268">
        <v>15640.940843035291</v>
      </c>
      <c r="G268">
        <v>16150.546759988883</v>
      </c>
      <c r="H268">
        <v>17648.388786263939</v>
      </c>
      <c r="I268">
        <v>16725.370693795405</v>
      </c>
      <c r="J268">
        <v>16380.548324839787</v>
      </c>
      <c r="K268">
        <v>15499.119986501893</v>
      </c>
      <c r="L268">
        <v>16964.973485962018</v>
      </c>
      <c r="M268">
        <v>18776.307489236842</v>
      </c>
      <c r="N268">
        <v>16990.87642543549</v>
      </c>
      <c r="O268">
        <v>18068.06638576484</v>
      </c>
      <c r="P268">
        <v>18247.587022073894</v>
      </c>
      <c r="Q268">
        <v>20209.470689366266</v>
      </c>
      <c r="R268">
        <v>19699.848793804682</v>
      </c>
      <c r="S268">
        <v>20589.961823411428</v>
      </c>
      <c r="T268">
        <v>19932.694122895617</v>
      </c>
      <c r="U268">
        <v>21455.132172136808</v>
      </c>
      <c r="V268">
        <v>21734.471668911941</v>
      </c>
      <c r="W268">
        <v>20224.013693454704</v>
      </c>
      <c r="X268">
        <v>21356.548009904149</v>
      </c>
      <c r="Y268">
        <v>18870.840564758502</v>
      </c>
      <c r="Z268">
        <v>18772.299934571802</v>
      </c>
      <c r="AA268">
        <v>18114.081314169005</v>
      </c>
      <c r="AB268">
        <v>19820.47191931152</v>
      </c>
      <c r="AC268">
        <v>18884.997469550366</v>
      </c>
      <c r="AD268">
        <v>18698.599087495157</v>
      </c>
      <c r="AE268">
        <v>18478.836391393874</v>
      </c>
      <c r="AF268">
        <v>16973.70962476591</v>
      </c>
      <c r="AG268">
        <v>17531.475135032353</v>
      </c>
      <c r="AH268">
        <v>17282.73541087965</v>
      </c>
      <c r="AI268">
        <v>19152.571947895391</v>
      </c>
      <c r="AJ268">
        <v>18178.313197265285</v>
      </c>
      <c r="AK268">
        <v>18164.570580866555</v>
      </c>
      <c r="AL268">
        <v>16954.685095898571</v>
      </c>
      <c r="AM268">
        <v>16528.262625095747</v>
      </c>
      <c r="AN268">
        <v>15796.153433852787</v>
      </c>
      <c r="AO268">
        <v>15598.887544392668</v>
      </c>
      <c r="AP268">
        <v>15712.013176469054</v>
      </c>
      <c r="AQ268">
        <v>15841.645541678816</v>
      </c>
      <c r="AR268">
        <v>16056.696371083171</v>
      </c>
      <c r="AS268">
        <v>16296.736478885978</v>
      </c>
      <c r="AT268">
        <v>15767.078945308847</v>
      </c>
      <c r="AU268">
        <v>16143.826061969847</v>
      </c>
      <c r="AV268">
        <v>16564.366299988498</v>
      </c>
      <c r="AW268">
        <v>16993.350242811332</v>
      </c>
      <c r="AX268">
        <v>17439.390277559432</v>
      </c>
      <c r="AY268">
        <v>17896.368825063237</v>
      </c>
      <c r="AZ268">
        <v>12885.917932513345</v>
      </c>
      <c r="BA268">
        <v>12603.351347621014</v>
      </c>
      <c r="BB268">
        <v>12282.797895707541</v>
      </c>
      <c r="BC268">
        <v>11929.482802227683</v>
      </c>
      <c r="BD268">
        <v>10666.541237283509</v>
      </c>
      <c r="BE268">
        <v>10321.974106154386</v>
      </c>
      <c r="BF268">
        <v>9974.813750739735</v>
      </c>
      <c r="BG268">
        <v>9656.6347775931663</v>
      </c>
      <c r="BH268">
        <v>9337.4858285766604</v>
      </c>
      <c r="BI268">
        <v>9032.9440701592666</v>
      </c>
      <c r="BJ268">
        <v>8730.8865869750243</v>
      </c>
      <c r="BK268">
        <v>8437.7569711890046</v>
      </c>
      <c r="BL268">
        <v>8157.1877302254788</v>
      </c>
      <c r="BM268">
        <v>7888.063981460331</v>
      </c>
      <c r="BN268">
        <v>7642.8768335986388</v>
      </c>
    </row>
    <row r="269" spans="1:66" x14ac:dyDescent="0.25">
      <c r="A269" t="s">
        <v>245</v>
      </c>
      <c r="B269" t="s">
        <v>540</v>
      </c>
      <c r="C269" t="s">
        <v>526</v>
      </c>
      <c r="D269" t="s">
        <v>523</v>
      </c>
      <c r="E269" t="s">
        <v>521</v>
      </c>
      <c r="F269">
        <v>3429.1023206090149</v>
      </c>
      <c r="G269">
        <v>3582.0933132143959</v>
      </c>
      <c r="H269">
        <v>3230.4006797977117</v>
      </c>
      <c r="I269">
        <v>3072.4080540294026</v>
      </c>
      <c r="J269">
        <v>2943.5832063652938</v>
      </c>
      <c r="K269">
        <v>3036.6428253355557</v>
      </c>
      <c r="L269">
        <v>3231.1178764295346</v>
      </c>
      <c r="M269">
        <v>3121.0509253025539</v>
      </c>
      <c r="N269">
        <v>3108.4252054479571</v>
      </c>
      <c r="O269">
        <v>3287.2502963250704</v>
      </c>
      <c r="P269">
        <v>3324.3535917273935</v>
      </c>
      <c r="Q269">
        <v>3441.9326499549325</v>
      </c>
      <c r="R269">
        <v>3562.3255597822995</v>
      </c>
      <c r="S269">
        <v>3798.3629146741546</v>
      </c>
      <c r="T269">
        <v>3833.9993752516589</v>
      </c>
      <c r="U269">
        <v>3949.7863117346769</v>
      </c>
      <c r="V269">
        <v>4067.1636114352182</v>
      </c>
      <c r="W269">
        <v>4324.6641433976283</v>
      </c>
      <c r="X269">
        <v>4207.5754142911601</v>
      </c>
      <c r="Y269">
        <v>4156.3376144420381</v>
      </c>
      <c r="Z269">
        <v>4471.2064224286651</v>
      </c>
      <c r="AA269">
        <v>4511.1732699008671</v>
      </c>
      <c r="AB269">
        <v>4584.743425822363</v>
      </c>
      <c r="AC269">
        <v>4716.1203271304976</v>
      </c>
      <c r="AD269">
        <v>4887.0741014170871</v>
      </c>
      <c r="AE269">
        <v>5014.426570819578</v>
      </c>
      <c r="AF269">
        <v>4761.4486978313562</v>
      </c>
      <c r="AG269">
        <v>4803.9943473754338</v>
      </c>
      <c r="AH269">
        <v>4679.6792337008401</v>
      </c>
      <c r="AI269">
        <v>4713.1761267541115</v>
      </c>
      <c r="AJ269">
        <v>4482.2708369643005</v>
      </c>
      <c r="AK269">
        <v>4684.6924221093332</v>
      </c>
      <c r="AL269">
        <v>4615.0969488544042</v>
      </c>
      <c r="AM269">
        <v>4464.7251801706125</v>
      </c>
      <c r="AN269">
        <v>4498.556684997272</v>
      </c>
      <c r="AO269">
        <v>4457.6642470078723</v>
      </c>
      <c r="AP269">
        <v>4435.7265731000116</v>
      </c>
      <c r="AQ269">
        <v>4383.8597322980941</v>
      </c>
      <c r="AR269">
        <v>4340.2303182720307</v>
      </c>
      <c r="AS269">
        <v>4310.0526562841205</v>
      </c>
      <c r="AT269">
        <v>4056.7660980085575</v>
      </c>
      <c r="AU269">
        <v>4023.5935046231207</v>
      </c>
      <c r="AV269">
        <v>3992.9033957464435</v>
      </c>
      <c r="AW269">
        <v>3955.3802301421924</v>
      </c>
      <c r="AX269">
        <v>3924.0909550976148</v>
      </c>
      <c r="AY269">
        <v>3926.274547117383</v>
      </c>
      <c r="AZ269">
        <v>3891.1608326447263</v>
      </c>
      <c r="BA269">
        <v>3873.9888830179452</v>
      </c>
      <c r="BB269">
        <v>3858.3732668489274</v>
      </c>
      <c r="BC269">
        <v>3844.4091009507952</v>
      </c>
      <c r="BD269">
        <v>2082.8904944049937</v>
      </c>
      <c r="BE269">
        <v>2074.2747610761476</v>
      </c>
      <c r="BF269">
        <v>2067.6923306378599</v>
      </c>
      <c r="BG269">
        <v>2063.9102744517522</v>
      </c>
      <c r="BH269">
        <v>2062.1576472951301</v>
      </c>
      <c r="BI269">
        <v>2062.4562759033442</v>
      </c>
      <c r="BJ269">
        <v>2065.5126294903489</v>
      </c>
      <c r="BK269">
        <v>2071.3982177832304</v>
      </c>
      <c r="BL269">
        <v>2079.0342680102767</v>
      </c>
      <c r="BM269">
        <v>2087.7146598078216</v>
      </c>
      <c r="BN269">
        <v>2098.8843917757004</v>
      </c>
    </row>
    <row r="270" spans="1:66" x14ac:dyDescent="0.25">
      <c r="A270" t="s">
        <v>245</v>
      </c>
      <c r="B270" t="s">
        <v>540</v>
      </c>
      <c r="C270" t="s">
        <v>526</v>
      </c>
      <c r="D270" t="s">
        <v>524</v>
      </c>
      <c r="E270" t="s">
        <v>521</v>
      </c>
      <c r="F270">
        <v>1816.6596733237263</v>
      </c>
      <c r="G270">
        <v>1893.7218802684215</v>
      </c>
      <c r="H270">
        <v>1971.3222733100288</v>
      </c>
      <c r="I270">
        <v>2049.4503492491226</v>
      </c>
      <c r="J270">
        <v>1947.5325263313807</v>
      </c>
      <c r="K270">
        <v>2023.8252549837712</v>
      </c>
      <c r="L270">
        <v>2102.1656796823004</v>
      </c>
      <c r="M270">
        <v>2125.7547716447093</v>
      </c>
      <c r="N270">
        <v>2086.8629737313777</v>
      </c>
      <c r="O270">
        <v>2084.0346339247499</v>
      </c>
      <c r="P270">
        <v>2103.6901401299438</v>
      </c>
      <c r="Q270">
        <v>2134.2537068539705</v>
      </c>
      <c r="R270">
        <v>2173.5947283527944</v>
      </c>
      <c r="S270">
        <v>2101.4028129686244</v>
      </c>
      <c r="T270">
        <v>2124.9026062551302</v>
      </c>
      <c r="U270">
        <v>2134.5667014321762</v>
      </c>
      <c r="V270">
        <v>1957.2003317893241</v>
      </c>
      <c r="W270">
        <v>1922.5694677164029</v>
      </c>
      <c r="X270">
        <v>1846.56179242198</v>
      </c>
      <c r="Y270">
        <v>1723.3205496528278</v>
      </c>
      <c r="Z270">
        <v>1665.7456629024559</v>
      </c>
      <c r="AA270">
        <v>1519.6605558608351</v>
      </c>
      <c r="AB270">
        <v>1410.5413176396301</v>
      </c>
      <c r="AC270">
        <v>1359.9084848190901</v>
      </c>
      <c r="AD270">
        <v>1314.1708670740722</v>
      </c>
      <c r="AE270">
        <v>1275.9271345153275</v>
      </c>
      <c r="AF270">
        <v>1246.0586846922251</v>
      </c>
      <c r="AG270">
        <v>1214.8602401561525</v>
      </c>
      <c r="AH270">
        <v>1156.3598029499428</v>
      </c>
      <c r="AI270">
        <v>1114.3950725962225</v>
      </c>
      <c r="AJ270">
        <v>1075.3643344180375</v>
      </c>
      <c r="AK270">
        <v>1058.4109684228663</v>
      </c>
      <c r="AL270">
        <v>1022.6056717073851</v>
      </c>
      <c r="AM270">
        <v>958.96266417380684</v>
      </c>
      <c r="AN270">
        <v>894.95985110602771</v>
      </c>
      <c r="AO270">
        <v>830.20804974995497</v>
      </c>
      <c r="AP270">
        <v>765.42495046274541</v>
      </c>
      <c r="AQ270">
        <v>716.23973187093122</v>
      </c>
      <c r="AR270">
        <v>667.27873913813312</v>
      </c>
      <c r="AS270">
        <v>618.86959775125081</v>
      </c>
      <c r="AT270">
        <v>571.15627646632288</v>
      </c>
      <c r="AU270">
        <v>525.26064809363731</v>
      </c>
      <c r="AV270">
        <v>485.33325267568455</v>
      </c>
      <c r="AW270">
        <v>449.07190344986702</v>
      </c>
      <c r="AX270">
        <v>415.30904749836435</v>
      </c>
      <c r="AY270">
        <v>383.52992028193478</v>
      </c>
      <c r="AZ270">
        <v>353.34421878533993</v>
      </c>
      <c r="BA270">
        <v>324.61648253631211</v>
      </c>
      <c r="BB270">
        <v>297.26120538261853</v>
      </c>
      <c r="BC270">
        <v>271.19781668143264</v>
      </c>
      <c r="BD270">
        <v>246.42006305403967</v>
      </c>
      <c r="BE270">
        <v>228.76061473390612</v>
      </c>
      <c r="BF270">
        <v>212.01972979719091</v>
      </c>
      <c r="BG270">
        <v>196.15349208681764</v>
      </c>
      <c r="BH270">
        <v>181.1092278255239</v>
      </c>
      <c r="BI270">
        <v>166.86775312894875</v>
      </c>
      <c r="BJ270">
        <v>153.37057082021238</v>
      </c>
      <c r="BK270">
        <v>140.57595541124473</v>
      </c>
      <c r="BL270">
        <v>128.46805420261808</v>
      </c>
      <c r="BM270">
        <v>117.02624189815158</v>
      </c>
      <c r="BN270">
        <v>106.22845651837657</v>
      </c>
    </row>
    <row r="271" spans="1:66" x14ac:dyDescent="0.25">
      <c r="A271" t="s">
        <v>245</v>
      </c>
      <c r="B271" t="s">
        <v>540</v>
      </c>
      <c r="C271" t="s">
        <v>526</v>
      </c>
      <c r="D271" t="s">
        <v>525</v>
      </c>
      <c r="E271" t="s">
        <v>521</v>
      </c>
      <c r="F271">
        <v>29012.897398845402</v>
      </c>
      <c r="G271">
        <v>29733.023075344903</v>
      </c>
      <c r="H271">
        <v>31320.108193971439</v>
      </c>
      <c r="I271">
        <v>30769.917679558341</v>
      </c>
      <c r="J271">
        <v>30855.464305886358</v>
      </c>
      <c r="K271">
        <v>30807.15278760434</v>
      </c>
      <c r="L271">
        <v>32676.98144102552</v>
      </c>
      <c r="M271">
        <v>34628.447074801872</v>
      </c>
      <c r="N271">
        <v>32996.622945367468</v>
      </c>
      <c r="O271">
        <v>34535.956774742503</v>
      </c>
      <c r="P271">
        <v>35323.941097221861</v>
      </c>
      <c r="Q271">
        <v>37491.528269252616</v>
      </c>
      <c r="R271">
        <v>37597.790313188299</v>
      </c>
      <c r="S271">
        <v>39187.525100695137</v>
      </c>
      <c r="T271">
        <v>38883.963267331026</v>
      </c>
      <c r="U271">
        <v>40602.92604799055</v>
      </c>
      <c r="V271">
        <v>40941.03411633549</v>
      </c>
      <c r="W271">
        <v>39756.054114169223</v>
      </c>
      <c r="X271">
        <v>40704.644922956213</v>
      </c>
      <c r="Y271">
        <v>37851.584943027628</v>
      </c>
      <c r="Z271">
        <v>38258.189555380639</v>
      </c>
      <c r="AA271">
        <v>37476.742760931345</v>
      </c>
      <c r="AB271">
        <v>38822.24438135275</v>
      </c>
      <c r="AC271">
        <v>38042.386442328796</v>
      </c>
      <c r="AD271">
        <v>38239.490669053106</v>
      </c>
      <c r="AE271">
        <v>38574.2154058343</v>
      </c>
      <c r="AF271">
        <v>36887.73781690115</v>
      </c>
      <c r="AG271">
        <v>38354.032701478282</v>
      </c>
      <c r="AH271">
        <v>38244.89921952338</v>
      </c>
      <c r="AI271">
        <v>39634.847827478443</v>
      </c>
      <c r="AJ271">
        <v>36911.614290734949</v>
      </c>
      <c r="AK271">
        <v>38296.809521275645</v>
      </c>
      <c r="AL271">
        <v>37723.084043805364</v>
      </c>
      <c r="AM271">
        <v>37171.845521695919</v>
      </c>
      <c r="AN271">
        <v>36210.06818519369</v>
      </c>
      <c r="AO271">
        <v>35662.591292813973</v>
      </c>
      <c r="AP271">
        <v>35286.465879435527</v>
      </c>
      <c r="AQ271">
        <v>34840.149378414615</v>
      </c>
      <c r="AR271">
        <v>34353.515102285906</v>
      </c>
      <c r="AS271">
        <v>33797.752223380834</v>
      </c>
      <c r="AT271">
        <v>32251.569137390074</v>
      </c>
      <c r="AU271">
        <v>31734.788237653858</v>
      </c>
      <c r="AV271">
        <v>31259.173721694155</v>
      </c>
      <c r="AW271">
        <v>30813.004767828359</v>
      </c>
      <c r="AX271">
        <v>30412.760924224047</v>
      </c>
      <c r="AY271">
        <v>30054.81516363757</v>
      </c>
      <c r="AZ271">
        <v>24319.271212447125</v>
      </c>
      <c r="BA271">
        <v>23303.719527604102</v>
      </c>
      <c r="BB271">
        <v>22325.997290537911</v>
      </c>
      <c r="BC271">
        <v>21338.900684951848</v>
      </c>
      <c r="BD271">
        <v>17712.424618685141</v>
      </c>
      <c r="BE271">
        <v>16865.01068086371</v>
      </c>
      <c r="BF271">
        <v>16051.964037189926</v>
      </c>
      <c r="BG271">
        <v>15270.127883389156</v>
      </c>
      <c r="BH271">
        <v>14538.426019575232</v>
      </c>
      <c r="BI271">
        <v>13858.633851652316</v>
      </c>
      <c r="BJ271">
        <v>13169.770041057114</v>
      </c>
      <c r="BK271">
        <v>12566.187113967499</v>
      </c>
      <c r="BL271">
        <v>12018.366734427153</v>
      </c>
      <c r="BM271">
        <v>11510.461387168461</v>
      </c>
      <c r="BN271">
        <v>11081.272936226704</v>
      </c>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58a6f171-52cb-4404-b47d-af1c8daf8fd1">ECM-1896812316-55893</_dlc_DocId>
    <_dlc_DocIdUrl xmlns="58a6f171-52cb-4404-b47d-af1c8daf8fd1">
      <Url>https://ministryforenvironment.sharepoint.com/sites/ECM-Pol-ETS/_layouts/15/DocIdRedir.aspx?ID=ECM-1896812316-55893</Url>
      <Description>ECM-1896812316-55893</Description>
    </_dlc_DocIdUrl>
    <_ip_UnifiedCompliancePolicyUIAction xmlns="http://schemas.microsoft.com/sharepoint/v3" xsi:nil="true"/>
    <IconOverlay xmlns="http://schemas.microsoft.com/sharepoint/v4" xsi:nil="true"/>
    <_ip_UnifiedCompliancePolicyProperties xmlns="http://schemas.microsoft.com/sharepoint/v3" xsi:nil="true"/>
    <TaxCatchAll xmlns="58a6f171-52cb-4404-b47d-af1c8daf8fd1" xsi:nil="true"/>
    <_dlc_DocIdPersistId xmlns="58a6f171-52cb-4404-b47d-af1c8daf8fd1">false</_dlc_DocIdPersistId>
    <Year xmlns="0260602b-329e-45fc-b32d-889d2cd1ae59" xsi:nil="true"/>
    <SharedWithUsers xmlns="65e65512-4319-4e85-9548-8afb53a63346">
      <UserInfo>
        <DisplayName>Jay Forlong</DisplayName>
        <AccountId>71</AccountId>
        <AccountType/>
      </UserInfo>
    </SharedWithUsers>
    <Legacy_x0020_DocID xmlns="0260602b-329e-45fc-b32d-889d2cd1ae59" xsi:nil="true"/>
    <Legacy_x0020_Version xmlns="0260602b-329e-45fc-b32d-889d2cd1ae59" xsi:nil="true"/>
    <Sender_x0020_Date xmlns="0260602b-329e-45fc-b32d-889d2cd1ae59" xsi:nil="true"/>
    <Library xmlns="0260602b-329e-45fc-b32d-889d2cd1ae59" xsi:nil="true"/>
    <Class xmlns="0260602b-329e-45fc-b32d-889d2cd1ae59" xsi:nil="true"/>
    <Sender xmlns="0260602b-329e-45fc-b32d-889d2cd1ae59" xsi:nil="true"/>
    <Supplemental_x0020_Markings xmlns="0260602b-329e-45fc-b32d-889d2cd1ae59" xsi:nil="true"/>
    <Other_x0020_Details xmlns="0260602b-329e-45fc-b32d-889d2cd1ae59" xsi:nil="true"/>
    <Carbon_x0020_Copy xmlns="0260602b-329e-45fc-b32d-889d2cd1ae59" xsi:nil="true"/>
    <Author0 xmlns="0260602b-329e-45fc-b32d-889d2cd1ae59" xsi:nil="true"/>
    <Email_x0020_Table xmlns="0260602b-329e-45fc-b32d-889d2cd1ae59" xsi:nil="true"/>
    <MTS_x0020_ID xmlns="0260602b-329e-45fc-b32d-889d2cd1ae59" xsi:nil="true"/>
    <lcf76f155ced4ddcb4097134ff3c332f xmlns="0260602b-329e-45fc-b32d-889d2cd1ae59">
      <Terms xmlns="http://schemas.microsoft.com/office/infopath/2007/PartnerControls"/>
    </lcf76f155ced4ddcb4097134ff3c332f>
    <MTS_x0020_Type xmlns="0260602b-329e-45fc-b32d-889d2cd1ae59" xsi:nil="true"/>
    <Receiver xmlns="0260602b-329e-45fc-b32d-889d2cd1ae59" xsi:nil="true"/>
    <Receiver_x0020_Date xmlns="0260602b-329e-45fc-b32d-889d2cd1ae59" xsi:nil="true"/>
    <Status xmlns="0260602b-329e-45fc-b32d-889d2cd1ae59" xsi:nil="true"/>
    <Document_x0020_Type xmlns="0260602b-329e-45fc-b32d-889d2cd1ae59" xsi:nil="true"/>
    <MediaLengthInSeconds xmlns="0260602b-329e-45fc-b32d-889d2cd1ae59"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F01ED631E09C5F47A877DCE13B9406DB" ma:contentTypeVersion="41" ma:contentTypeDescription="Create a new document." ma:contentTypeScope="" ma:versionID="d82769cb2d4e3e9a60e4caeef330c03d">
  <xsd:schema xmlns:xsd="http://www.w3.org/2001/XMLSchema" xmlns:xs="http://www.w3.org/2001/XMLSchema" xmlns:p="http://schemas.microsoft.com/office/2006/metadata/properties" xmlns:ns1="http://schemas.microsoft.com/sharepoint/v3" xmlns:ns2="58a6f171-52cb-4404-b47d-af1c8daf8fd1" xmlns:ns3="0260602b-329e-45fc-b32d-889d2cd1ae59" xmlns:ns4="65e65512-4319-4e85-9548-8afb53a63346" xmlns:ns5="http://schemas.microsoft.com/sharepoint/v4" targetNamespace="http://schemas.microsoft.com/office/2006/metadata/properties" ma:root="true" ma:fieldsID="0833f562da169d64ad3ac52b8ead66a2" ns1:_="" ns2:_="" ns3:_="" ns4:_="" ns5:_="">
    <xsd:import namespace="http://schemas.microsoft.com/sharepoint/v3"/>
    <xsd:import namespace="58a6f171-52cb-4404-b47d-af1c8daf8fd1"/>
    <xsd:import namespace="0260602b-329e-45fc-b32d-889d2cd1ae59"/>
    <xsd:import namespace="65e65512-4319-4e85-9548-8afb53a63346"/>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Document_x0020_Type" minOccurs="0"/>
                <xsd:element ref="ns3:Sender" minOccurs="0"/>
                <xsd:element ref="ns3:Receiver" minOccurs="0"/>
                <xsd:element ref="ns3:Sender_x0020_Date" minOccurs="0"/>
                <xsd:element ref="ns3:Receiver_x0020_Date" minOccurs="0"/>
                <xsd:element ref="ns3:Carbon_x0020_Copy" minOccurs="0"/>
                <xsd:element ref="ns3:Email_x0020_Table" minOccurs="0"/>
                <xsd:element ref="ns3:MediaServiceMetadata" minOccurs="0"/>
                <xsd:element ref="ns3:MediaServiceFastMetadata" minOccurs="0"/>
                <xsd:element ref="ns3:MediaServiceAutoKeyPoints" minOccurs="0"/>
                <xsd:element ref="ns3:MediaServiceKeyPoints" minOccurs="0"/>
                <xsd:element ref="ns3:Supplemental_x0020_Markings" minOccurs="0"/>
                <xsd:element ref="ns3:MTS_x0020_Type" minOccurs="0"/>
                <xsd:element ref="ns3:MTS_x0020_ID" minOccurs="0"/>
                <xsd:element ref="ns3:Library" minOccurs="0"/>
                <xsd:element ref="ns3:Legacy_x0020_DocID" minOccurs="0"/>
                <xsd:element ref="ns3:Legacy_x0020_Version" minOccurs="0"/>
                <xsd:element ref="ns3:Class" minOccurs="0"/>
                <xsd:element ref="ns3:Author0" minOccurs="0"/>
                <xsd:element ref="ns3:Status" minOccurs="0"/>
                <xsd:element ref="ns3:Year" minOccurs="0"/>
                <xsd:element ref="ns3:Other_x0020_Details"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1:_ip_UnifiedCompliancePolicyProperties" minOccurs="0"/>
                <xsd:element ref="ns1:_ip_UnifiedCompliancePolicyUIAction" minOccurs="0"/>
                <xsd:element ref="ns4:SharedWithUsers" minOccurs="0"/>
                <xsd:element ref="ns4:SharedWithDetails" minOccurs="0"/>
                <xsd:element ref="ns3:MediaServiceOCR" minOccurs="0"/>
                <xsd:element ref="ns3:MediaLengthInSeconds" minOccurs="0"/>
                <xsd:element ref="ns5:IconOverlay"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9" nillable="true" ma:displayName="Unified Compliance Policy Properties" ma:hidden="true" ma:internalName="_ip_UnifiedCompliancePolicyProperties">
      <xsd:simpleType>
        <xsd:restriction base="dms:Note"/>
      </xsd:simpleType>
    </xsd:element>
    <xsd:element name="_ip_UnifiedCompliancePolicyUIAction" ma:index="4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8a6f171-52cb-4404-b47d-af1c8daf8fd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48" nillable="true" ma:displayName="Taxonomy Catch All Column" ma:hidden="true" ma:list="{6e916042-cea3-48f2-970e-8528f5d6a2e1}" ma:internalName="TaxCatchAll" ma:showField="CatchAllData" ma:web="65e65512-4319-4e85-9548-8afb53a6334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260602b-329e-45fc-b32d-889d2cd1ae59" elementFormDefault="qualified">
    <xsd:import namespace="http://schemas.microsoft.com/office/2006/documentManagement/types"/>
    <xsd:import namespace="http://schemas.microsoft.com/office/infopath/2007/PartnerControls"/>
    <xsd:element name="Document_x0020_Type" ma:index="11" nillable="true" ma:displayName="Document Type" ma:default="" ma:description="" ma:internalName="Document_x0020_Type">
      <xsd:simpleType>
        <xsd:restriction base="dms:Note">
          <xsd:maxLength value="255"/>
        </xsd:restriction>
      </xsd:simpleType>
    </xsd:element>
    <xsd:element name="Sender" ma:index="12" nillable="true" ma:displayName="Sender" ma:description="" ma:internalName="Sender">
      <xsd:simpleType>
        <xsd:restriction base="dms:Text">
          <xsd:maxLength value="255"/>
        </xsd:restriction>
      </xsd:simpleType>
    </xsd:element>
    <xsd:element name="Receiver" ma:index="13" nillable="true" ma:displayName="Receiver" ma:description="" ma:internalName="Receiver">
      <xsd:simpleType>
        <xsd:restriction base="dms:Text">
          <xsd:maxLength value="255"/>
        </xsd:restriction>
      </xsd:simpleType>
    </xsd:element>
    <xsd:element name="Sender_x0020_Date" ma:index="14" nillable="true" ma:displayName="Sender Date" ma:default="" ma:description="" ma:format="DateTime" ma:internalName="Sender_x0020_Date">
      <xsd:simpleType>
        <xsd:restriction base="dms:DateTime"/>
      </xsd:simpleType>
    </xsd:element>
    <xsd:element name="Receiver_x0020_Date" ma:index="15" nillable="true" ma:displayName="Receiver Date" ma:default="" ma:description="" ma:format="DateTime" ma:internalName="Receiver_x0020_Date">
      <xsd:simpleType>
        <xsd:restriction base="dms:DateTime"/>
      </xsd:simpleType>
    </xsd:element>
    <xsd:element name="Carbon_x0020_Copy" ma:index="16" nillable="true" ma:displayName="Carbon Copy" ma:description="" ma:internalName="Carbon_x0020_Copy">
      <xsd:simpleType>
        <xsd:restriction base="dms:Text">
          <xsd:maxLength value="255"/>
        </xsd:restriction>
      </xsd:simpleType>
    </xsd:element>
    <xsd:element name="Email_x0020_Table" ma:index="18" nillable="true" ma:displayName="Email Table" ma:description="" ma:internalName="Email_x0020_Table">
      <xsd:simpleType>
        <xsd:restriction base="dms:Note">
          <xsd:maxLength value="255"/>
        </xsd:restriction>
      </xsd:simpleType>
    </xsd:element>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Supplemental_x0020_Markings" ma:index="23" nillable="true" ma:displayName="Supplemental Markings" ma:description="" ma:internalName="Supplemental_x0020_Markings">
      <xsd:simpleType>
        <xsd:restriction base="dms:Note">
          <xsd:maxLength value="255"/>
        </xsd:restriction>
      </xsd:simpleType>
    </xsd:element>
    <xsd:element name="MTS_x0020_Type" ma:index="24" nillable="true" ma:displayName="MTS Type" ma:default="" ma:description="" ma:internalName="MTS_x0020_Type">
      <xsd:simpleType>
        <xsd:restriction base="dms:Note">
          <xsd:maxLength value="255"/>
        </xsd:restriction>
      </xsd:simpleType>
    </xsd:element>
    <xsd:element name="MTS_x0020_ID" ma:index="25" nillable="true" ma:displayName="MTS ID" ma:default="" ma:description="" ma:internalName="MTS_x0020_ID">
      <xsd:simpleType>
        <xsd:restriction base="dms:Text">
          <xsd:maxLength value="255"/>
        </xsd:restriction>
      </xsd:simpleType>
    </xsd:element>
    <xsd:element name="Library" ma:index="26" nillable="true" ma:displayName="Library" ma:default="" ma:description="" ma:internalName="Library">
      <xsd:simpleType>
        <xsd:restriction base="dms:Text">
          <xsd:maxLength value="255"/>
        </xsd:restriction>
      </xsd:simpleType>
    </xsd:element>
    <xsd:element name="Legacy_x0020_DocID" ma:index="27" nillable="true" ma:displayName="Legacy DocID" ma:decimals="-1" ma:default="" ma:description="" ma:internalName="Legacy_x0020_DocID">
      <xsd:simpleType>
        <xsd:restriction base="dms:Number"/>
      </xsd:simpleType>
    </xsd:element>
    <xsd:element name="Legacy_x0020_Version" ma:index="28" nillable="true" ma:displayName="Legacy Version" ma:default="" ma:description="" ma:internalName="Legacy_x0020_Version">
      <xsd:simpleType>
        <xsd:restriction base="dms:Text">
          <xsd:maxLength value="255"/>
        </xsd:restriction>
      </xsd:simpleType>
    </xsd:element>
    <xsd:element name="Class" ma:index="29" nillable="true" ma:displayName="Class" ma:default="" ma:description="" ma:internalName="Class">
      <xsd:simpleType>
        <xsd:restriction base="dms:Text">
          <xsd:maxLength value="255"/>
        </xsd:restriction>
      </xsd:simpleType>
    </xsd:element>
    <xsd:element name="Author0" ma:index="30" nillable="true" ma:displayName="Author" ma:default="" ma:description="" ma:internalName="Author0">
      <xsd:simpleType>
        <xsd:restriction base="dms:Text">
          <xsd:maxLength value="255"/>
        </xsd:restriction>
      </xsd:simpleType>
    </xsd:element>
    <xsd:element name="Status" ma:index="31" nillable="true" ma:displayName="Status" ma:default="" ma:description="" ma:internalName="Status">
      <xsd:simpleType>
        <xsd:restriction base="dms:Text">
          <xsd:maxLength value="255"/>
        </xsd:restriction>
      </xsd:simpleType>
    </xsd:element>
    <xsd:element name="Year" ma:index="32" nillable="true" ma:displayName="Year" ma:default="" ma:description="" ma:internalName="Year">
      <xsd:simpleType>
        <xsd:restriction base="dms:Text">
          <xsd:maxLength value="255"/>
        </xsd:restriction>
      </xsd:simpleType>
    </xsd:element>
    <xsd:element name="Other_x0020_Details" ma:index="33" nillable="true" ma:displayName="Other Details" ma:default="" ma:description="" ma:internalName="Other_x0020_Details">
      <xsd:simpleType>
        <xsd:restriction base="dms:Text">
          <xsd:maxLength value="255"/>
        </xsd:restriction>
      </xsd:simpleType>
    </xsd:element>
    <xsd:element name="MediaServiceDateTaken" ma:index="34" nillable="true" ma:displayName="MediaServiceDateTaken" ma:hidden="true" ma:internalName="MediaServiceDateTaken" ma:readOnly="true">
      <xsd:simpleType>
        <xsd:restriction base="dms:Text"/>
      </xsd:simpleType>
    </xsd:element>
    <xsd:element name="MediaServiceAutoTags" ma:index="35" nillable="true" ma:displayName="Tags" ma:internalName="MediaServiceAutoTags" ma:readOnly="true">
      <xsd:simpleType>
        <xsd:restriction base="dms:Text"/>
      </xsd:simpleType>
    </xsd:element>
    <xsd:element name="MediaServiceLocation" ma:index="36" nillable="true" ma:displayName="Location" ma:internalName="MediaServiceLocation" ma:readOnly="true">
      <xsd:simpleType>
        <xsd:restriction base="dms:Text"/>
      </xsd:simpleType>
    </xsd:element>
    <xsd:element name="MediaServiceGenerationTime" ma:index="37" nillable="true" ma:displayName="MediaServiceGenerationTime" ma:hidden="true" ma:internalName="MediaServiceGenerationTime" ma:readOnly="true">
      <xsd:simpleType>
        <xsd:restriction base="dms:Text"/>
      </xsd:simpleType>
    </xsd:element>
    <xsd:element name="MediaServiceEventHashCode" ma:index="38" nillable="true" ma:displayName="MediaServiceEventHashCode" ma:hidden="true" ma:internalName="MediaServiceEventHashCode" ma:readOnly="true">
      <xsd:simpleType>
        <xsd:restriction base="dms:Text"/>
      </xsd:simpleType>
    </xsd:element>
    <xsd:element name="MediaServiceOCR" ma:index="43" nillable="true" ma:displayName="Extracted Text" ma:internalName="MediaServiceOCR" ma:readOnly="true">
      <xsd:simpleType>
        <xsd:restriction base="dms:Note">
          <xsd:maxLength value="255"/>
        </xsd:restriction>
      </xsd:simpleType>
    </xsd:element>
    <xsd:element name="MediaLengthInSeconds" ma:index="44" nillable="true" ma:displayName="MediaLengthInSeconds" ma:hidden="true" ma:internalName="MediaLengthInSeconds" ma:readOnly="true">
      <xsd:simpleType>
        <xsd:restriction base="dms:Unknown"/>
      </xsd:simpleType>
    </xsd:element>
    <xsd:element name="lcf76f155ced4ddcb4097134ff3c332f" ma:index="47" nillable="true" ma:taxonomy="true" ma:internalName="lcf76f155ced4ddcb4097134ff3c332f" ma:taxonomyFieldName="MediaServiceImageTags" ma:displayName="Image Tags" ma:readOnly="false" ma:fieldId="{5cf76f15-5ced-4ddc-b409-7134ff3c332f}" ma:taxonomyMulti="true" ma:sspId="cebe92e3-83b2-4842-a6bd-e7cffea926d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49" nillable="true" ma:displayName="MediaServiceObjectDetectorVersions" ma:hidden="true" ma:indexed="true" ma:internalName="MediaServiceObjectDetectorVersions" ma:readOnly="true">
      <xsd:simpleType>
        <xsd:restriction base="dms:Text"/>
      </xsd:simpleType>
    </xsd:element>
    <xsd:element name="MediaServiceSearchProperties" ma:index="5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5e65512-4319-4e85-9548-8afb53a63346" elementFormDefault="qualified">
    <xsd:import namespace="http://schemas.microsoft.com/office/2006/documentManagement/types"/>
    <xsd:import namespace="http://schemas.microsoft.com/office/infopath/2007/PartnerControls"/>
    <xsd:element name="SharedWithUsers" ma:index="4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ma:index="17" ma:displayName="Subjec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54090B-4002-4B67-B938-3342123381CB}">
  <ds:schemaRefs>
    <ds:schemaRef ds:uri="http://schemas.microsoft.com/sharepoint/v3/contenttype/forms"/>
  </ds:schemaRefs>
</ds:datastoreItem>
</file>

<file path=customXml/itemProps2.xml><?xml version="1.0" encoding="utf-8"?>
<ds:datastoreItem xmlns:ds="http://schemas.openxmlformats.org/officeDocument/2006/customXml" ds:itemID="{2C14B438-5EA9-4C9A-85C4-A0A1C1FE8981}">
  <ds:schemaRefs>
    <ds:schemaRef ds:uri="http://schemas.microsoft.com/DataMashup"/>
  </ds:schemaRefs>
</ds:datastoreItem>
</file>

<file path=customXml/itemProps3.xml><?xml version="1.0" encoding="utf-8"?>
<ds:datastoreItem xmlns:ds="http://schemas.openxmlformats.org/officeDocument/2006/customXml" ds:itemID="{56229DC2-636B-4A0F-A40B-BF85AF7621AB}">
  <ds:schemaRefs>
    <ds:schemaRef ds:uri="http://schemas.microsoft.com/sharepoint/events"/>
  </ds:schemaRefs>
</ds:datastoreItem>
</file>

<file path=customXml/itemProps4.xml><?xml version="1.0" encoding="utf-8"?>
<ds:datastoreItem xmlns:ds="http://schemas.openxmlformats.org/officeDocument/2006/customXml" ds:itemID="{381EF91F-E221-4FF0-B651-12AC96B9139F}">
  <ds:schemaRefs>
    <ds:schemaRef ds:uri="http://purl.org/dc/dcmitype/"/>
    <ds:schemaRef ds:uri="http://schemas.microsoft.com/sharepoint/v4"/>
    <ds:schemaRef ds:uri="http://schemas.microsoft.com/office/2006/documentManagement/types"/>
    <ds:schemaRef ds:uri="http://schemas.microsoft.com/office/2006/metadata/properties"/>
    <ds:schemaRef ds:uri="http://schemas.microsoft.com/office/infopath/2007/PartnerControls"/>
    <ds:schemaRef ds:uri="http://schemas.microsoft.com/sharepoint/v3"/>
    <ds:schemaRef ds:uri="65e65512-4319-4e85-9548-8afb53a63346"/>
    <ds:schemaRef ds:uri="http://www.w3.org/XML/1998/namespace"/>
    <ds:schemaRef ds:uri="58a6f171-52cb-4404-b47d-af1c8daf8fd1"/>
    <ds:schemaRef ds:uri="http://schemas.openxmlformats.org/package/2006/metadata/core-properties"/>
    <ds:schemaRef ds:uri="0260602b-329e-45fc-b32d-889d2cd1ae59"/>
    <ds:schemaRef ds:uri="http://purl.org/dc/terms/"/>
    <ds:schemaRef ds:uri="http://purl.org/dc/elements/1.1/"/>
  </ds:schemaRefs>
</ds:datastoreItem>
</file>

<file path=customXml/itemProps5.xml><?xml version="1.0" encoding="utf-8"?>
<ds:datastoreItem xmlns:ds="http://schemas.openxmlformats.org/officeDocument/2006/customXml" ds:itemID="{4DBAD084-5150-4FE4-9A61-29B9C41973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8a6f171-52cb-4404-b47d-af1c8daf8fd1"/>
    <ds:schemaRef ds:uri="0260602b-329e-45fc-b32d-889d2cd1ae59"/>
    <ds:schemaRef ds:uri="65e65512-4319-4e85-9548-8afb53a6334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1</vt:i4>
      </vt:variant>
      <vt:variant>
        <vt:lpstr>Named Ranges</vt:lpstr>
      </vt:variant>
      <vt:variant>
        <vt:i4>1</vt:i4>
      </vt:variant>
    </vt:vector>
  </HeadingPairs>
  <TitlesOfParts>
    <vt:vector size="16" baseType="lpstr">
      <vt:lpstr>Cover sheet</vt:lpstr>
      <vt:lpstr>Dashboard</vt:lpstr>
      <vt:lpstr>Model</vt:lpstr>
      <vt:lpstr>Results</vt:lpstr>
      <vt:lpstr>Prices</vt:lpstr>
      <vt:lpstr>Industrial Allocation</vt:lpstr>
      <vt:lpstr>Govt supply</vt:lpstr>
      <vt:lpstr>Afforestation</vt:lpstr>
      <vt:lpstr>New Forest Abs</vt:lpstr>
      <vt:lpstr>Removals</vt:lpstr>
      <vt:lpstr>Manley</vt:lpstr>
      <vt:lpstr>Yield</vt:lpstr>
      <vt:lpstr>Historical</vt:lpstr>
      <vt:lpstr>Old CCC projections data</vt:lpstr>
      <vt:lpstr>S&amp;D Chart</vt:lpstr>
      <vt:lpstr>Dashboard!Print_Area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Phillip Mellor</cp:lastModifiedBy>
  <cp:revision/>
  <dcterms:created xsi:type="dcterms:W3CDTF">2022-07-19T02:23:00Z</dcterms:created>
  <dcterms:modified xsi:type="dcterms:W3CDTF">2025-11-07T04:04:29Z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0x010100F01ED631E09C5F47A877DCE13B9406DB</vt:lpwstr>
  </property>
  <property fmtid="{D5CDD505-2E9C-101B-9397-08002B2CF9AE}" pid="3" name="_dlc_DocIdItemGuid">
    <vt:lpwstr>d4ef496c-8705-4f4b-840a-a758b37f1779</vt:lpwstr>
  </property>
  <property fmtid="{D5CDD505-2E9C-101B-9397-08002B2CF9AE}" pid="4" name="MSIP_Label_52dda6cc-d61d-4fd2-bf18-9b3017d931cc_Enabled">
    <vt:lpwstr>true</vt:lpwstr>
  </property>
  <property fmtid="{D5CDD505-2E9C-101B-9397-08002B2CF9AE}" pid="5" name="MSIP_Label_52dda6cc-d61d-4fd2-bf18-9b3017d931cc_SetDate">
    <vt:lpwstr>2022-10-04T00:18:58Z</vt:lpwstr>
  </property>
  <property fmtid="{D5CDD505-2E9C-101B-9397-08002B2CF9AE}" pid="6" name="MSIP_Label_52dda6cc-d61d-4fd2-bf18-9b3017d931cc_Method">
    <vt:lpwstr>Privileged</vt:lpwstr>
  </property>
  <property fmtid="{D5CDD505-2E9C-101B-9397-08002B2CF9AE}" pid="7" name="MSIP_Label_52dda6cc-d61d-4fd2-bf18-9b3017d931cc_Name">
    <vt:lpwstr>[UNCLASSIFIED]</vt:lpwstr>
  </property>
  <property fmtid="{D5CDD505-2E9C-101B-9397-08002B2CF9AE}" pid="8" name="MSIP_Label_52dda6cc-d61d-4fd2-bf18-9b3017d931cc_SiteId">
    <vt:lpwstr>761dd003-d4ff-4049-8a72-8549b20fcbb1</vt:lpwstr>
  </property>
  <property fmtid="{D5CDD505-2E9C-101B-9397-08002B2CF9AE}" pid="9" name="MSIP_Label_52dda6cc-d61d-4fd2-bf18-9b3017d931cc_ActionId">
    <vt:lpwstr>3b17619c-4c29-445e-b604-3e02d056ec39</vt:lpwstr>
  </property>
  <property fmtid="{D5CDD505-2E9C-101B-9397-08002B2CF9AE}" pid="10" name="MSIP_Label_52dda6cc-d61d-4fd2-bf18-9b3017d931cc_ContentBits">
    <vt:lpwstr>0</vt:lpwstr>
  </property>
  <property fmtid="{D5CDD505-2E9C-101B-9397-08002B2CF9AE}" pid="11" name="MediaServiceImageTags">
    <vt:lpwstr/>
  </property>
  <property fmtid="{D5CDD505-2E9C-101B-9397-08002B2CF9AE}" pid="12" name="LivelinkID">
    <vt:lpwstr/>
  </property>
  <property fmtid="{D5CDD505-2E9C-101B-9397-08002B2CF9AE}" pid="13" name="Te Puna Name">
    <vt:lpwstr/>
  </property>
  <property fmtid="{D5CDD505-2E9C-101B-9397-08002B2CF9AE}" pid="14" name="Nickname">
    <vt:lpwstr/>
  </property>
  <property fmtid="{D5CDD505-2E9C-101B-9397-08002B2CF9AE}" pid="15" name="OpenText Path">
    <vt:lpwstr/>
  </property>
  <property fmtid="{D5CDD505-2E9C-101B-9397-08002B2CF9AE}" pid="16" name="ComplianceAssetId">
    <vt:lpwstr/>
  </property>
  <property fmtid="{D5CDD505-2E9C-101B-9397-08002B2CF9AE}" pid="17" name="TemplateUrl">
    <vt:lpwstr/>
  </property>
  <property fmtid="{D5CDD505-2E9C-101B-9397-08002B2CF9AE}" pid="18" name="Categories0">
    <vt:lpwstr/>
  </property>
  <property fmtid="{D5CDD505-2E9C-101B-9397-08002B2CF9AE}" pid="19" name="Owned By">
    <vt:lpwstr/>
  </property>
  <property fmtid="{D5CDD505-2E9C-101B-9397-08002B2CF9AE}" pid="20" name="RM Classification">
    <vt:lpwstr/>
  </property>
  <property fmtid="{D5CDD505-2E9C-101B-9397-08002B2CF9AE}" pid="21" name="Te Puna Created By">
    <vt:lpwstr/>
  </property>
  <property fmtid="{D5CDD505-2E9C-101B-9397-08002B2CF9AE}" pid="22" name="_ExtendedDescription">
    <vt:lpwstr/>
  </property>
  <property fmtid="{D5CDD505-2E9C-101B-9397-08002B2CF9AE}" pid="23" name="Current Security Clearance Level">
    <vt:lpwstr/>
  </property>
  <property fmtid="{D5CDD505-2E9C-101B-9397-08002B2CF9AE}" pid="24" name="File Number">
    <vt:lpwstr/>
  </property>
  <property fmtid="{D5CDD505-2E9C-101B-9397-08002B2CF9AE}" pid="25" name="URL">
    <vt:lpwstr/>
  </property>
  <property fmtid="{D5CDD505-2E9C-101B-9397-08002B2CF9AE}" pid="26" name="xd_Signature">
    <vt:bool>false</vt:bool>
  </property>
  <property fmtid="{D5CDD505-2E9C-101B-9397-08002B2CF9AE}" pid="27" name="Audit">
    <vt:lpwstr/>
  </property>
  <property fmtid="{D5CDD505-2E9C-101B-9397-08002B2CF9AE}" pid="28" name="Te Puna Owned By">
    <vt:lpwstr/>
  </property>
  <property fmtid="{D5CDD505-2E9C-101B-9397-08002B2CF9AE}" pid="29" name="RSI">
    <vt:lpwstr/>
  </property>
  <property fmtid="{D5CDD505-2E9C-101B-9397-08002B2CF9AE}" pid="30" name="TriggerFlowInfo">
    <vt:lpwstr/>
  </property>
  <property fmtid="{D5CDD505-2E9C-101B-9397-08002B2CF9AE}" pid="31" name="Te Puna Modified By">
    <vt:lpwstr/>
  </property>
  <property fmtid="{D5CDD505-2E9C-101B-9397-08002B2CF9AE}" pid="32" name="Best Bets Value">
    <vt:lpwstr/>
  </property>
  <property fmtid="{D5CDD505-2E9C-101B-9397-08002B2CF9AE}" pid="33" name="xd_ProgID">
    <vt:lpwstr/>
  </property>
</Properties>
</file>