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.duley\Desktop\Carl's Desktop\Desktop\hemp\2022 hemp plots\"/>
    </mc:Choice>
  </mc:AlternateContent>
  <xr:revisionPtr revIDLastSave="0" documentId="13_ncr:1_{DC27BAE7-DC35-454B-A8EA-2D5EFB0C1C2D}" xr6:coauthVersionLast="47" xr6:coauthVersionMax="47" xr10:uidLastSave="{00000000-0000-0000-0000-000000000000}"/>
  <bookViews>
    <workbookView xWindow="-108" yWindow="-108" windowWidth="23256" windowHeight="12576" tabRatio="819" activeTab="2" xr2:uid="{0FF4FC0E-D994-4B1A-8CE6-1A5A055F7C1F}"/>
  </bookViews>
  <sheets>
    <sheet name="Chippewa County" sheetId="2" r:id="rId1"/>
    <sheet name="CC 14 day data and stem diam" sheetId="6" r:id="rId2"/>
    <sheet name="Sheet1" sheetId="13" r:id="rId3"/>
    <sheet name="CC height, stem count and WW" sheetId="11" r:id="rId4"/>
    <sheet name="CC moisutre and dry matter" sheetId="12" r:id="rId5"/>
  </sheets>
  <definedNames>
    <definedName name="_xlnm.Print_Area" localSheetId="0">'Chippewa County'!$B$2:$N$24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74" i="6" l="1"/>
  <c r="AS74" i="6" s="1"/>
  <c r="AR73" i="6"/>
  <c r="AS73" i="6" s="1"/>
  <c r="AR72" i="6"/>
  <c r="AS72" i="6" s="1"/>
  <c r="AR70" i="6"/>
  <c r="AS70" i="6" s="1"/>
  <c r="AS69" i="6"/>
  <c r="AR69" i="6"/>
  <c r="AR68" i="6"/>
  <c r="AS68" i="6" s="1"/>
  <c r="AS67" i="6"/>
  <c r="AR67" i="6"/>
  <c r="AR66" i="6"/>
  <c r="AS66" i="6" s="1"/>
  <c r="AS65" i="6"/>
  <c r="AR65" i="6"/>
  <c r="AR64" i="6"/>
  <c r="AS64" i="6" s="1"/>
  <c r="AS63" i="6"/>
  <c r="AR63" i="6"/>
  <c r="AR62" i="6"/>
  <c r="AS62" i="6" s="1"/>
  <c r="AS61" i="6"/>
  <c r="AR61" i="6"/>
  <c r="AR60" i="6"/>
  <c r="AS60" i="6" s="1"/>
  <c r="AS59" i="6"/>
  <c r="AR59" i="6"/>
  <c r="AR58" i="6"/>
  <c r="AS58" i="6" s="1"/>
  <c r="AS57" i="6"/>
  <c r="AR57" i="6"/>
  <c r="AR56" i="6"/>
  <c r="AS56" i="6" s="1"/>
  <c r="AS55" i="6"/>
  <c r="AR55" i="6"/>
  <c r="AR54" i="6"/>
  <c r="AS54" i="6" s="1"/>
  <c r="AS53" i="6"/>
  <c r="AR53" i="6"/>
  <c r="AR52" i="6"/>
  <c r="AS52" i="6" s="1"/>
  <c r="AS51" i="6"/>
  <c r="AR51" i="6"/>
  <c r="AR50" i="6"/>
  <c r="AS50" i="6" s="1"/>
  <c r="AS49" i="6"/>
  <c r="AR49" i="6"/>
  <c r="AR48" i="6"/>
  <c r="AS48" i="6" s="1"/>
  <c r="AS47" i="6"/>
  <c r="AR47" i="6"/>
  <c r="AR46" i="6"/>
  <c r="AS46" i="6" s="1"/>
  <c r="AS45" i="6"/>
  <c r="AR45" i="6"/>
  <c r="AR44" i="6"/>
  <c r="AS44" i="6" s="1"/>
  <c r="AS43" i="6"/>
  <c r="AR43" i="6"/>
  <c r="AR42" i="6"/>
  <c r="AS42" i="6" s="1"/>
  <c r="AS41" i="6"/>
  <c r="AR41" i="6"/>
  <c r="AR40" i="6"/>
  <c r="AS40" i="6" s="1"/>
  <c r="AS39" i="6"/>
  <c r="AR39" i="6"/>
  <c r="AR38" i="6"/>
  <c r="AS38" i="6" s="1"/>
  <c r="AS37" i="6"/>
  <c r="AR37" i="6"/>
  <c r="AR36" i="6"/>
  <c r="AS36" i="6" s="1"/>
  <c r="AS35" i="6"/>
  <c r="AR35" i="6"/>
  <c r="AR34" i="6"/>
  <c r="AS34" i="6" s="1"/>
  <c r="AS33" i="6"/>
  <c r="AR33" i="6"/>
  <c r="AR32" i="6"/>
  <c r="AS32" i="6" s="1"/>
  <c r="AS31" i="6"/>
  <c r="AR31" i="6"/>
  <c r="AR30" i="6"/>
  <c r="AS30" i="6" s="1"/>
  <c r="AS29" i="6"/>
  <c r="AR29" i="6"/>
  <c r="AR28" i="6"/>
  <c r="AS28" i="6" s="1"/>
  <c r="AS27" i="6"/>
  <c r="AR27" i="6"/>
  <c r="AR26" i="6"/>
  <c r="AS26" i="6" s="1"/>
  <c r="AS25" i="6"/>
  <c r="AR25" i="6"/>
  <c r="AR24" i="6"/>
  <c r="AS24" i="6" s="1"/>
  <c r="AS23" i="6"/>
  <c r="AR23" i="6"/>
  <c r="AR22" i="6"/>
  <c r="AS22" i="6" s="1"/>
  <c r="AS21" i="6"/>
  <c r="AR21" i="6"/>
  <c r="AR20" i="6"/>
  <c r="AS20" i="6" s="1"/>
  <c r="AS19" i="6"/>
  <c r="AR19" i="6"/>
  <c r="AR18" i="6"/>
  <c r="AS18" i="6" s="1"/>
  <c r="AS17" i="6"/>
  <c r="AR17" i="6"/>
  <c r="AR16" i="6"/>
  <c r="AS16" i="6" s="1"/>
  <c r="AS15" i="6"/>
  <c r="AR15" i="6"/>
  <c r="AR14" i="6"/>
  <c r="AS14" i="6" s="1"/>
  <c r="AS13" i="6"/>
  <c r="AR13" i="6"/>
  <c r="AR12" i="6"/>
  <c r="AS12" i="6" s="1"/>
  <c r="AS11" i="6"/>
  <c r="AR11" i="6"/>
  <c r="AR10" i="6"/>
  <c r="AS10" i="6" s="1"/>
  <c r="AS9" i="6"/>
  <c r="AR9" i="6"/>
  <c r="AR8" i="6"/>
  <c r="AS8" i="6" s="1"/>
  <c r="AS7" i="6"/>
  <c r="AR7" i="6"/>
  <c r="AR6" i="6"/>
  <c r="AS6" i="6" s="1"/>
  <c r="AS5" i="6"/>
  <c r="AR5" i="6"/>
  <c r="AR4" i="6"/>
  <c r="AS4" i="6" s="1"/>
  <c r="AS3" i="6"/>
  <c r="AR3" i="6"/>
  <c r="N5" i="6"/>
  <c r="N13" i="6"/>
  <c r="N21" i="6"/>
  <c r="N29" i="6"/>
  <c r="N37" i="6"/>
  <c r="N45" i="6"/>
  <c r="N53" i="6"/>
  <c r="N61" i="6"/>
  <c r="N69" i="6"/>
  <c r="N93" i="6"/>
  <c r="N97" i="6"/>
  <c r="N101" i="6"/>
  <c r="N105" i="6"/>
  <c r="M5" i="6"/>
  <c r="M6" i="6"/>
  <c r="N6" i="6" s="1"/>
  <c r="M10" i="6"/>
  <c r="N10" i="6" s="1"/>
  <c r="M13" i="6"/>
  <c r="M14" i="6"/>
  <c r="N14" i="6" s="1"/>
  <c r="M18" i="6"/>
  <c r="N18" i="6" s="1"/>
  <c r="M21" i="6"/>
  <c r="M22" i="6"/>
  <c r="N22" i="6" s="1"/>
  <c r="M26" i="6"/>
  <c r="N26" i="6" s="1"/>
  <c r="M29" i="6"/>
  <c r="M30" i="6"/>
  <c r="N30" i="6" s="1"/>
  <c r="M34" i="6"/>
  <c r="N34" i="6" s="1"/>
  <c r="M37" i="6"/>
  <c r="M38" i="6"/>
  <c r="N38" i="6" s="1"/>
  <c r="M42" i="6"/>
  <c r="N42" i="6" s="1"/>
  <c r="M45" i="6"/>
  <c r="M46" i="6"/>
  <c r="N46" i="6" s="1"/>
  <c r="M50" i="6"/>
  <c r="N50" i="6" s="1"/>
  <c r="M53" i="6"/>
  <c r="M54" i="6"/>
  <c r="N54" i="6" s="1"/>
  <c r="M58" i="6"/>
  <c r="N58" i="6" s="1"/>
  <c r="M61" i="6"/>
  <c r="M62" i="6"/>
  <c r="N62" i="6" s="1"/>
  <c r="M66" i="6"/>
  <c r="N66" i="6" s="1"/>
  <c r="M69" i="6"/>
  <c r="M70" i="6"/>
  <c r="N70" i="6" s="1"/>
  <c r="M71" i="6"/>
  <c r="N71" i="6" s="1"/>
  <c r="M74" i="6"/>
  <c r="N74" i="6" s="1"/>
  <c r="M78" i="6"/>
  <c r="N78" i="6" s="1"/>
  <c r="M82" i="6"/>
  <c r="N82" i="6" s="1"/>
  <c r="M86" i="6"/>
  <c r="N86" i="6" s="1"/>
  <c r="M88" i="6"/>
  <c r="N88" i="6" s="1"/>
  <c r="M93" i="6"/>
  <c r="M94" i="6"/>
  <c r="N94" i="6" s="1"/>
  <c r="M97" i="6"/>
  <c r="M101" i="6"/>
  <c r="M102" i="6"/>
  <c r="N102" i="6" s="1"/>
  <c r="M105" i="6"/>
  <c r="M3" i="6"/>
  <c r="N3" i="6" s="1"/>
  <c r="K106" i="6"/>
  <c r="M106" i="6" s="1"/>
  <c r="N106" i="6" s="1"/>
  <c r="K105" i="6"/>
  <c r="K104" i="6"/>
  <c r="M104" i="6" s="1"/>
  <c r="N104" i="6" s="1"/>
  <c r="K103" i="6"/>
  <c r="M103" i="6" s="1"/>
  <c r="N103" i="6" s="1"/>
  <c r="K102" i="6"/>
  <c r="K101" i="6"/>
  <c r="K100" i="6"/>
  <c r="M100" i="6" s="1"/>
  <c r="N100" i="6" s="1"/>
  <c r="K99" i="6"/>
  <c r="M99" i="6" s="1"/>
  <c r="N99" i="6" s="1"/>
  <c r="K98" i="6"/>
  <c r="M98" i="6" s="1"/>
  <c r="N98" i="6" s="1"/>
  <c r="K97" i="6"/>
  <c r="K96" i="6"/>
  <c r="M96" i="6" s="1"/>
  <c r="N96" i="6" s="1"/>
  <c r="K95" i="6"/>
  <c r="M95" i="6" s="1"/>
  <c r="N95" i="6" s="1"/>
  <c r="K94" i="6"/>
  <c r="K93" i="6"/>
  <c r="K92" i="6"/>
  <c r="M92" i="6" s="1"/>
  <c r="N92" i="6" s="1"/>
  <c r="K91" i="6"/>
  <c r="M91" i="6" s="1"/>
  <c r="N91" i="6" s="1"/>
  <c r="K90" i="6"/>
  <c r="M90" i="6" s="1"/>
  <c r="N90" i="6" s="1"/>
  <c r="K89" i="6"/>
  <c r="M89" i="6" s="1"/>
  <c r="N89" i="6" s="1"/>
  <c r="K87" i="6"/>
  <c r="M87" i="6" s="1"/>
  <c r="N87" i="6" s="1"/>
  <c r="K86" i="6"/>
  <c r="K85" i="6"/>
  <c r="M85" i="6" s="1"/>
  <c r="N85" i="6" s="1"/>
  <c r="K84" i="6"/>
  <c r="M84" i="6" s="1"/>
  <c r="N84" i="6" s="1"/>
  <c r="K83" i="6"/>
  <c r="M83" i="6" s="1"/>
  <c r="N83" i="6" s="1"/>
  <c r="K82" i="6"/>
  <c r="K81" i="6"/>
  <c r="M81" i="6" s="1"/>
  <c r="N81" i="6" s="1"/>
  <c r="K80" i="6"/>
  <c r="M80" i="6" s="1"/>
  <c r="N80" i="6" s="1"/>
  <c r="K79" i="6"/>
  <c r="M79" i="6" s="1"/>
  <c r="N79" i="6" s="1"/>
  <c r="K78" i="6"/>
  <c r="K77" i="6"/>
  <c r="M77" i="6" s="1"/>
  <c r="N77" i="6" s="1"/>
  <c r="K76" i="6"/>
  <c r="M76" i="6" s="1"/>
  <c r="N76" i="6" s="1"/>
  <c r="K75" i="6"/>
  <c r="M75" i="6" s="1"/>
  <c r="N75" i="6" s="1"/>
  <c r="K74" i="6"/>
  <c r="K73" i="6"/>
  <c r="M73" i="6" s="1"/>
  <c r="N73" i="6" s="1"/>
  <c r="K72" i="6"/>
  <c r="M72" i="6" s="1"/>
  <c r="N72" i="6" s="1"/>
  <c r="K70" i="6"/>
  <c r="K69" i="6"/>
  <c r="K68" i="6"/>
  <c r="M68" i="6" s="1"/>
  <c r="N68" i="6" s="1"/>
  <c r="K67" i="6"/>
  <c r="M67" i="6" s="1"/>
  <c r="N67" i="6" s="1"/>
  <c r="K66" i="6"/>
  <c r="K65" i="6"/>
  <c r="M65" i="6" s="1"/>
  <c r="N65" i="6" s="1"/>
  <c r="K64" i="6"/>
  <c r="M64" i="6" s="1"/>
  <c r="N64" i="6" s="1"/>
  <c r="K63" i="6"/>
  <c r="M63" i="6" s="1"/>
  <c r="N63" i="6" s="1"/>
  <c r="K62" i="6"/>
  <c r="K61" i="6"/>
  <c r="K60" i="6"/>
  <c r="M60" i="6" s="1"/>
  <c r="N60" i="6" s="1"/>
  <c r="K59" i="6"/>
  <c r="M59" i="6" s="1"/>
  <c r="N59" i="6" s="1"/>
  <c r="K58" i="6"/>
  <c r="K57" i="6"/>
  <c r="M57" i="6" s="1"/>
  <c r="N57" i="6" s="1"/>
  <c r="K56" i="6"/>
  <c r="M56" i="6" s="1"/>
  <c r="N56" i="6" s="1"/>
  <c r="K55" i="6"/>
  <c r="M55" i="6" s="1"/>
  <c r="N55" i="6" s="1"/>
  <c r="K54" i="6"/>
  <c r="K53" i="6"/>
  <c r="K52" i="6"/>
  <c r="M52" i="6" s="1"/>
  <c r="N52" i="6" s="1"/>
  <c r="K51" i="6"/>
  <c r="M51" i="6" s="1"/>
  <c r="N51" i="6" s="1"/>
  <c r="K50" i="6"/>
  <c r="K49" i="6"/>
  <c r="M49" i="6" s="1"/>
  <c r="N49" i="6" s="1"/>
  <c r="K48" i="6"/>
  <c r="M48" i="6" s="1"/>
  <c r="N48" i="6" s="1"/>
  <c r="K47" i="6"/>
  <c r="M47" i="6" s="1"/>
  <c r="N47" i="6" s="1"/>
  <c r="K46" i="6"/>
  <c r="K45" i="6"/>
  <c r="K44" i="6"/>
  <c r="M44" i="6" s="1"/>
  <c r="N44" i="6" s="1"/>
  <c r="K43" i="6"/>
  <c r="M43" i="6" s="1"/>
  <c r="N43" i="6" s="1"/>
  <c r="K42" i="6"/>
  <c r="K41" i="6"/>
  <c r="M41" i="6" s="1"/>
  <c r="N41" i="6" s="1"/>
  <c r="K40" i="6"/>
  <c r="M40" i="6" s="1"/>
  <c r="N40" i="6" s="1"/>
  <c r="K39" i="6"/>
  <c r="M39" i="6" s="1"/>
  <c r="N39" i="6" s="1"/>
  <c r="K38" i="6"/>
  <c r="K37" i="6"/>
  <c r="K36" i="6"/>
  <c r="M36" i="6" s="1"/>
  <c r="N36" i="6" s="1"/>
  <c r="K35" i="6"/>
  <c r="M35" i="6" s="1"/>
  <c r="N35" i="6" s="1"/>
  <c r="K34" i="6"/>
  <c r="K33" i="6"/>
  <c r="M33" i="6" s="1"/>
  <c r="N33" i="6" s="1"/>
  <c r="K32" i="6"/>
  <c r="M32" i="6" s="1"/>
  <c r="N32" i="6" s="1"/>
  <c r="K31" i="6"/>
  <c r="M31" i="6" s="1"/>
  <c r="N31" i="6" s="1"/>
  <c r="K30" i="6"/>
  <c r="K29" i="6"/>
  <c r="K28" i="6"/>
  <c r="M28" i="6" s="1"/>
  <c r="N28" i="6" s="1"/>
  <c r="K27" i="6"/>
  <c r="M27" i="6" s="1"/>
  <c r="N27" i="6" s="1"/>
  <c r="K26" i="6"/>
  <c r="K25" i="6"/>
  <c r="M25" i="6" s="1"/>
  <c r="N25" i="6" s="1"/>
  <c r="K24" i="6"/>
  <c r="M24" i="6" s="1"/>
  <c r="N24" i="6" s="1"/>
  <c r="K23" i="6"/>
  <c r="M23" i="6" s="1"/>
  <c r="N23" i="6" s="1"/>
  <c r="K22" i="6"/>
  <c r="K21" i="6"/>
  <c r="K20" i="6"/>
  <c r="M20" i="6" s="1"/>
  <c r="N20" i="6" s="1"/>
  <c r="K19" i="6"/>
  <c r="M19" i="6" s="1"/>
  <c r="N19" i="6" s="1"/>
  <c r="K18" i="6"/>
  <c r="K17" i="6"/>
  <c r="M17" i="6" s="1"/>
  <c r="N17" i="6" s="1"/>
  <c r="K16" i="6"/>
  <c r="M16" i="6" s="1"/>
  <c r="N16" i="6" s="1"/>
  <c r="K15" i="6"/>
  <c r="M15" i="6" s="1"/>
  <c r="K14" i="6"/>
  <c r="K13" i="6"/>
  <c r="K12" i="6"/>
  <c r="M12" i="6" s="1"/>
  <c r="N12" i="6" s="1"/>
  <c r="K11" i="6"/>
  <c r="M11" i="6" s="1"/>
  <c r="N11" i="6" s="1"/>
  <c r="K10" i="6"/>
  <c r="K9" i="6"/>
  <c r="M9" i="6" s="1"/>
  <c r="N9" i="6" s="1"/>
  <c r="K8" i="6"/>
  <c r="M8" i="6" s="1"/>
  <c r="N8" i="6" s="1"/>
  <c r="K7" i="6"/>
  <c r="M7" i="6" s="1"/>
  <c r="N7" i="6" s="1"/>
  <c r="K6" i="6"/>
  <c r="K5" i="6"/>
  <c r="K4" i="6"/>
  <c r="M4" i="6" s="1"/>
  <c r="N4" i="6" s="1"/>
  <c r="K3" i="6"/>
  <c r="D30" i="6"/>
  <c r="G88" i="6"/>
  <c r="H88" i="6" s="1"/>
  <c r="G4" i="6"/>
  <c r="G5" i="6"/>
  <c r="G6" i="6"/>
  <c r="G7" i="6"/>
  <c r="G8" i="6"/>
  <c r="H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3" i="6"/>
  <c r="N15" i="6" l="1"/>
  <c r="H30" i="6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2" i="11"/>
  <c r="N2" i="11"/>
  <c r="O2" i="11" s="1"/>
  <c r="N27" i="11"/>
  <c r="O27" i="11" s="1"/>
  <c r="N28" i="11"/>
  <c r="O28" i="11" s="1"/>
  <c r="N29" i="11"/>
  <c r="O29" i="11" s="1"/>
  <c r="N30" i="11"/>
  <c r="O30" i="11" s="1"/>
  <c r="N31" i="11"/>
  <c r="O31" i="11" s="1"/>
  <c r="N32" i="11"/>
  <c r="O32" i="11" s="1"/>
  <c r="N33" i="11"/>
  <c r="O33" i="11" s="1"/>
  <c r="N34" i="11"/>
  <c r="O34" i="11" s="1"/>
  <c r="N35" i="11"/>
  <c r="O35" i="11" s="1"/>
  <c r="N36" i="11"/>
  <c r="O36" i="11" s="1"/>
  <c r="N37" i="11"/>
  <c r="O37" i="11" s="1"/>
  <c r="N38" i="11"/>
  <c r="O38" i="11" s="1"/>
  <c r="N39" i="11"/>
  <c r="O39" i="11" s="1"/>
  <c r="N40" i="11"/>
  <c r="O40" i="11" s="1"/>
  <c r="N41" i="11"/>
  <c r="O41" i="11" s="1"/>
  <c r="N42" i="11"/>
  <c r="O42" i="11" s="1"/>
  <c r="N43" i="11"/>
  <c r="O43" i="11" s="1"/>
  <c r="N44" i="11"/>
  <c r="O44" i="11" s="1"/>
  <c r="N45" i="11"/>
  <c r="O45" i="11" s="1"/>
  <c r="N46" i="11"/>
  <c r="O46" i="11" s="1"/>
  <c r="N47" i="11"/>
  <c r="O47" i="11" s="1"/>
  <c r="N48" i="11"/>
  <c r="O48" i="11" s="1"/>
  <c r="N49" i="11"/>
  <c r="O49" i="11" s="1"/>
  <c r="N50" i="11"/>
  <c r="O50" i="11" s="1"/>
  <c r="N51" i="11"/>
  <c r="O51" i="11" s="1"/>
  <c r="N52" i="11"/>
  <c r="O52" i="11" s="1"/>
  <c r="N53" i="11"/>
  <c r="O53" i="11" s="1"/>
  <c r="N54" i="11"/>
  <c r="O54" i="11" s="1"/>
  <c r="N55" i="11"/>
  <c r="O55" i="11" s="1"/>
  <c r="N56" i="11"/>
  <c r="O56" i="11" s="1"/>
  <c r="N57" i="11"/>
  <c r="O57" i="11" s="1"/>
  <c r="N58" i="11"/>
  <c r="O58" i="11" s="1"/>
  <c r="N59" i="11"/>
  <c r="O59" i="11" s="1"/>
  <c r="N60" i="11"/>
  <c r="O60" i="11" s="1"/>
  <c r="N61" i="11"/>
  <c r="O61" i="11" s="1"/>
  <c r="N62" i="11"/>
  <c r="O62" i="11" s="1"/>
  <c r="N63" i="11"/>
  <c r="O63" i="11" s="1"/>
  <c r="N64" i="11"/>
  <c r="O64" i="11" s="1"/>
  <c r="N65" i="11"/>
  <c r="O65" i="11" s="1"/>
  <c r="N66" i="11"/>
  <c r="O66" i="11" s="1"/>
  <c r="N67" i="11"/>
  <c r="O67" i="11" s="1"/>
  <c r="N68" i="11"/>
  <c r="O68" i="11" s="1"/>
  <c r="N69" i="11"/>
  <c r="O69" i="11" s="1"/>
  <c r="N71" i="11"/>
  <c r="O71" i="11" s="1"/>
  <c r="N72" i="11"/>
  <c r="O72" i="11" s="1"/>
  <c r="N73" i="11"/>
  <c r="O73" i="11" s="1"/>
  <c r="N20" i="11"/>
  <c r="O20" i="11" s="1"/>
  <c r="N21" i="11"/>
  <c r="O21" i="11" s="1"/>
  <c r="N22" i="11"/>
  <c r="O22" i="11" s="1"/>
  <c r="N23" i="11"/>
  <c r="O23" i="11" s="1"/>
  <c r="N24" i="11"/>
  <c r="O24" i="11" s="1"/>
  <c r="N25" i="11"/>
  <c r="O25" i="11" s="1"/>
  <c r="N26" i="11"/>
  <c r="O26" i="11" s="1"/>
  <c r="N3" i="11"/>
  <c r="O3" i="11" s="1"/>
  <c r="N4" i="11"/>
  <c r="O4" i="11" s="1"/>
  <c r="N5" i="11"/>
  <c r="O5" i="11" s="1"/>
  <c r="N6" i="11"/>
  <c r="O6" i="11" s="1"/>
  <c r="N7" i="11"/>
  <c r="O7" i="11" s="1"/>
  <c r="N8" i="11"/>
  <c r="O8" i="11" s="1"/>
  <c r="N9" i="11"/>
  <c r="O9" i="11" s="1"/>
  <c r="N10" i="11"/>
  <c r="O10" i="11" s="1"/>
  <c r="N11" i="11"/>
  <c r="O11" i="11" s="1"/>
  <c r="N12" i="11"/>
  <c r="O12" i="11" s="1"/>
  <c r="N13" i="11"/>
  <c r="O13" i="11" s="1"/>
  <c r="N14" i="11"/>
  <c r="O14" i="11" s="1"/>
  <c r="N15" i="11"/>
  <c r="O15" i="11" s="1"/>
  <c r="N16" i="11"/>
  <c r="O16" i="11" s="1"/>
  <c r="N17" i="11"/>
  <c r="O17" i="11" s="1"/>
  <c r="N18" i="11"/>
  <c r="O18" i="11" s="1"/>
  <c r="N19" i="11"/>
  <c r="O19" i="11" s="1"/>
  <c r="B103" i="6"/>
  <c r="C103" i="6" s="1"/>
  <c r="D103" i="6" s="1"/>
  <c r="H103" i="6" s="1"/>
  <c r="B99" i="6"/>
  <c r="C99" i="6" s="1"/>
  <c r="D99" i="6" s="1"/>
  <c r="H99" i="6" s="1"/>
  <c r="B95" i="6"/>
  <c r="C95" i="6" s="1"/>
  <c r="D95" i="6" s="1"/>
  <c r="H95" i="6" s="1"/>
  <c r="B91" i="6"/>
  <c r="C91" i="6" s="1"/>
  <c r="D91" i="6" s="1"/>
  <c r="H91" i="6" s="1"/>
  <c r="B87" i="6"/>
  <c r="C87" i="6" s="1"/>
  <c r="D87" i="6" s="1"/>
  <c r="H87" i="6" s="1"/>
  <c r="B83" i="6"/>
  <c r="C83" i="6" s="1"/>
  <c r="D83" i="6" s="1"/>
  <c r="H83" i="6" s="1"/>
  <c r="B79" i="6"/>
  <c r="C79" i="6" s="1"/>
  <c r="D79" i="6" s="1"/>
  <c r="H79" i="6" s="1"/>
  <c r="B75" i="6"/>
  <c r="C75" i="6" s="1"/>
  <c r="D75" i="6" s="1"/>
  <c r="H75" i="6" s="1"/>
  <c r="B76" i="6"/>
  <c r="C76" i="6" s="1"/>
  <c r="D76" i="6" s="1"/>
  <c r="H76" i="6" s="1"/>
  <c r="B80" i="6"/>
  <c r="C80" i="6" s="1"/>
  <c r="D80" i="6" s="1"/>
  <c r="H80" i="6" s="1"/>
  <c r="B84" i="6"/>
  <c r="C84" i="6" s="1"/>
  <c r="D84" i="6" s="1"/>
  <c r="H84" i="6" s="1"/>
  <c r="B92" i="6"/>
  <c r="C92" i="6" s="1"/>
  <c r="D92" i="6" s="1"/>
  <c r="H92" i="6" s="1"/>
  <c r="B96" i="6"/>
  <c r="C96" i="6" s="1"/>
  <c r="D96" i="6" s="1"/>
  <c r="H96" i="6" s="1"/>
  <c r="B100" i="6"/>
  <c r="C100" i="6" s="1"/>
  <c r="D100" i="6" s="1"/>
  <c r="H100" i="6" s="1"/>
  <c r="B104" i="6"/>
  <c r="C104" i="6" s="1"/>
  <c r="D104" i="6" s="1"/>
  <c r="H104" i="6" s="1"/>
  <c r="B105" i="6"/>
  <c r="C105" i="6" s="1"/>
  <c r="D105" i="6" s="1"/>
  <c r="H105" i="6" s="1"/>
  <c r="B101" i="6"/>
  <c r="C101" i="6" s="1"/>
  <c r="D101" i="6" s="1"/>
  <c r="H101" i="6" s="1"/>
  <c r="B97" i="6"/>
  <c r="C97" i="6" s="1"/>
  <c r="D97" i="6" s="1"/>
  <c r="H97" i="6" s="1"/>
  <c r="B93" i="6"/>
  <c r="C93" i="6" s="1"/>
  <c r="D93" i="6" s="1"/>
  <c r="H93" i="6" s="1"/>
  <c r="B89" i="6"/>
  <c r="C89" i="6" s="1"/>
  <c r="D89" i="6" s="1"/>
  <c r="H89" i="6" s="1"/>
  <c r="B85" i="6"/>
  <c r="C85" i="6" s="1"/>
  <c r="D85" i="6" s="1"/>
  <c r="H85" i="6" s="1"/>
  <c r="B81" i="6"/>
  <c r="C81" i="6" s="1"/>
  <c r="D81" i="6" s="1"/>
  <c r="H81" i="6" s="1"/>
  <c r="B77" i="6"/>
  <c r="C77" i="6" s="1"/>
  <c r="D77" i="6" s="1"/>
  <c r="H77" i="6" s="1"/>
  <c r="B78" i="6"/>
  <c r="C78" i="6" s="1"/>
  <c r="D78" i="6" s="1"/>
  <c r="H78" i="6" s="1"/>
  <c r="B82" i="6"/>
  <c r="C82" i="6" s="1"/>
  <c r="D82" i="6" s="1"/>
  <c r="H82" i="6" s="1"/>
  <c r="B86" i="6"/>
  <c r="C86" i="6" s="1"/>
  <c r="D86" i="6" s="1"/>
  <c r="H86" i="6" s="1"/>
  <c r="B90" i="6"/>
  <c r="C90" i="6" s="1"/>
  <c r="D90" i="6" s="1"/>
  <c r="H90" i="6" s="1"/>
  <c r="B94" i="6"/>
  <c r="C94" i="6" s="1"/>
  <c r="D94" i="6" s="1"/>
  <c r="H94" i="6" s="1"/>
  <c r="B102" i="6"/>
  <c r="C102" i="6" s="1"/>
  <c r="D102" i="6" s="1"/>
  <c r="H102" i="6" s="1"/>
  <c r="B98" i="6"/>
  <c r="C98" i="6" s="1"/>
  <c r="D98" i="6" s="1"/>
  <c r="H98" i="6" s="1"/>
  <c r="B106" i="6"/>
  <c r="C106" i="6" s="1"/>
  <c r="D106" i="6" s="1"/>
  <c r="H106" i="6" s="1"/>
  <c r="B74" i="6"/>
  <c r="C74" i="6" s="1"/>
  <c r="D74" i="6" s="1"/>
  <c r="H74" i="6" s="1"/>
  <c r="B65" i="6"/>
  <c r="C65" i="6" s="1"/>
  <c r="D65" i="6" s="1"/>
  <c r="H65" i="6" s="1"/>
  <c r="B56" i="6"/>
  <c r="C56" i="6" s="1"/>
  <c r="D56" i="6" s="1"/>
  <c r="H56" i="6" s="1"/>
  <c r="B47" i="6"/>
  <c r="C47" i="6" s="1"/>
  <c r="D47" i="6" s="1"/>
  <c r="H47" i="6" s="1"/>
  <c r="B38" i="6"/>
  <c r="C38" i="6" s="1"/>
  <c r="D38" i="6" s="1"/>
  <c r="H38" i="6" s="1"/>
  <c r="B29" i="6"/>
  <c r="C29" i="6" s="1"/>
  <c r="D29" i="6" s="1"/>
  <c r="H29" i="6" s="1"/>
  <c r="B20" i="6"/>
  <c r="C20" i="6" s="1"/>
  <c r="D20" i="6" s="1"/>
  <c r="H20" i="6" s="1"/>
  <c r="B11" i="6"/>
  <c r="C11" i="6" s="1"/>
  <c r="D11" i="6" s="1"/>
  <c r="H11" i="6" s="1"/>
  <c r="B10" i="6"/>
  <c r="C10" i="6" s="1"/>
  <c r="D10" i="6" s="1"/>
  <c r="H10" i="6" s="1"/>
  <c r="B19" i="6"/>
  <c r="C19" i="6" s="1"/>
  <c r="D19" i="6" s="1"/>
  <c r="H19" i="6" s="1"/>
  <c r="B28" i="6"/>
  <c r="C28" i="6" s="1"/>
  <c r="D28" i="6" s="1"/>
  <c r="H28" i="6" s="1"/>
  <c r="B37" i="6"/>
  <c r="C37" i="6" s="1"/>
  <c r="D37" i="6" s="1"/>
  <c r="H37" i="6" s="1"/>
  <c r="B46" i="6"/>
  <c r="C46" i="6" s="1"/>
  <c r="D46" i="6" s="1"/>
  <c r="H46" i="6" s="1"/>
  <c r="B55" i="6"/>
  <c r="C55" i="6" s="1"/>
  <c r="D55" i="6" s="1"/>
  <c r="H55" i="6" s="1"/>
  <c r="B64" i="6"/>
  <c r="C64" i="6" s="1"/>
  <c r="D64" i="6" s="1"/>
  <c r="H64" i="6" s="1"/>
  <c r="B73" i="6"/>
  <c r="C73" i="6" s="1"/>
  <c r="D73" i="6" s="1"/>
  <c r="H73" i="6" s="1"/>
  <c r="B72" i="6"/>
  <c r="C72" i="6" s="1"/>
  <c r="D72" i="6" s="1"/>
  <c r="H72" i="6" s="1"/>
  <c r="B63" i="6"/>
  <c r="C63" i="6" s="1"/>
  <c r="D63" i="6" s="1"/>
  <c r="H63" i="6" s="1"/>
  <c r="B54" i="6"/>
  <c r="C54" i="6" s="1"/>
  <c r="D54" i="6" s="1"/>
  <c r="H54" i="6" s="1"/>
  <c r="B45" i="6"/>
  <c r="C45" i="6" s="1"/>
  <c r="D45" i="6" s="1"/>
  <c r="H45" i="6" s="1"/>
  <c r="B36" i="6"/>
  <c r="C36" i="6" s="1"/>
  <c r="D36" i="6" s="1"/>
  <c r="H36" i="6" s="1"/>
  <c r="B27" i="6"/>
  <c r="C27" i="6" s="1"/>
  <c r="D27" i="6" s="1"/>
  <c r="H27" i="6" s="1"/>
  <c r="B18" i="6"/>
  <c r="C18" i="6" s="1"/>
  <c r="D18" i="6" s="1"/>
  <c r="H18" i="6" s="1"/>
  <c r="B9" i="6"/>
  <c r="C9" i="6" s="1"/>
  <c r="D9" i="6" s="1"/>
  <c r="H9" i="6" s="1"/>
  <c r="B17" i="6"/>
  <c r="C17" i="6" s="1"/>
  <c r="D17" i="6" s="1"/>
  <c r="H17" i="6" s="1"/>
  <c r="B26" i="6"/>
  <c r="C26" i="6" s="1"/>
  <c r="D26" i="6" s="1"/>
  <c r="H26" i="6" s="1"/>
  <c r="B35" i="6"/>
  <c r="C35" i="6" s="1"/>
  <c r="D35" i="6" s="1"/>
  <c r="H35" i="6" s="1"/>
  <c r="B44" i="6"/>
  <c r="C44" i="6" s="1"/>
  <c r="D44" i="6" s="1"/>
  <c r="H44" i="6" s="1"/>
  <c r="B53" i="6"/>
  <c r="C53" i="6" s="1"/>
  <c r="D53" i="6" s="1"/>
  <c r="H53" i="6" s="1"/>
  <c r="B62" i="6"/>
  <c r="C62" i="6" s="1"/>
  <c r="D62" i="6" s="1"/>
  <c r="H62" i="6" s="1"/>
  <c r="B71" i="6"/>
  <c r="C71" i="6" s="1"/>
  <c r="D71" i="6" s="1"/>
  <c r="H71" i="6" s="1"/>
  <c r="B70" i="6"/>
  <c r="C70" i="6" s="1"/>
  <c r="D70" i="6" s="1"/>
  <c r="H70" i="6" s="1"/>
  <c r="B61" i="6"/>
  <c r="C61" i="6" s="1"/>
  <c r="D61" i="6" s="1"/>
  <c r="H61" i="6" s="1"/>
  <c r="B52" i="6"/>
  <c r="C52" i="6" s="1"/>
  <c r="D52" i="6" s="1"/>
  <c r="H52" i="6" s="1"/>
  <c r="B43" i="6"/>
  <c r="C43" i="6" s="1"/>
  <c r="D43" i="6" s="1"/>
  <c r="H43" i="6" s="1"/>
  <c r="B34" i="6"/>
  <c r="C34" i="6" s="1"/>
  <c r="D34" i="6" s="1"/>
  <c r="H34" i="6" s="1"/>
  <c r="B25" i="6"/>
  <c r="C25" i="6" s="1"/>
  <c r="D25" i="6" s="1"/>
  <c r="H25" i="6" s="1"/>
  <c r="B16" i="6"/>
  <c r="C16" i="6" s="1"/>
  <c r="D16" i="6" s="1"/>
  <c r="H16" i="6" s="1"/>
  <c r="B7" i="6"/>
  <c r="C7" i="6" s="1"/>
  <c r="D7" i="6" s="1"/>
  <c r="H7" i="6" s="1"/>
  <c r="B6" i="6"/>
  <c r="C6" i="6" s="1"/>
  <c r="D6" i="6" s="1"/>
  <c r="H6" i="6" s="1"/>
  <c r="B15" i="6"/>
  <c r="C15" i="6" s="1"/>
  <c r="D15" i="6" s="1"/>
  <c r="H15" i="6" s="1"/>
  <c r="B24" i="6"/>
  <c r="C24" i="6" s="1"/>
  <c r="D24" i="6" s="1"/>
  <c r="H24" i="6" s="1"/>
  <c r="B33" i="6"/>
  <c r="C33" i="6" s="1"/>
  <c r="D33" i="6" s="1"/>
  <c r="H33" i="6" s="1"/>
  <c r="B42" i="6"/>
  <c r="C42" i="6" s="1"/>
  <c r="D42" i="6" s="1"/>
  <c r="H42" i="6" s="1"/>
  <c r="B51" i="6"/>
  <c r="C51" i="6" s="1"/>
  <c r="D51" i="6" s="1"/>
  <c r="H51" i="6" s="1"/>
  <c r="B60" i="6"/>
  <c r="C60" i="6" s="1"/>
  <c r="D60" i="6" s="1"/>
  <c r="H60" i="6" s="1"/>
  <c r="B69" i="6"/>
  <c r="C69" i="6" s="1"/>
  <c r="D69" i="6" s="1"/>
  <c r="H69" i="6" s="1"/>
  <c r="B68" i="6"/>
  <c r="C68" i="6" s="1"/>
  <c r="D68" i="6" s="1"/>
  <c r="H68" i="6" s="1"/>
  <c r="B59" i="6"/>
  <c r="C59" i="6" s="1"/>
  <c r="D59" i="6" s="1"/>
  <c r="H59" i="6" s="1"/>
  <c r="B50" i="6"/>
  <c r="C50" i="6" s="1"/>
  <c r="D50" i="6" s="1"/>
  <c r="H50" i="6" s="1"/>
  <c r="B41" i="6"/>
  <c r="C41" i="6" s="1"/>
  <c r="D41" i="6" s="1"/>
  <c r="H41" i="6" s="1"/>
  <c r="B32" i="6"/>
  <c r="C32" i="6" s="1"/>
  <c r="D32" i="6" s="1"/>
  <c r="H32" i="6" s="1"/>
  <c r="B23" i="6"/>
  <c r="C23" i="6" s="1"/>
  <c r="D23" i="6" s="1"/>
  <c r="H23" i="6" s="1"/>
  <c r="B14" i="6"/>
  <c r="C14" i="6" s="1"/>
  <c r="D14" i="6" s="1"/>
  <c r="H14" i="6" s="1"/>
  <c r="B5" i="6"/>
  <c r="C5" i="6" s="1"/>
  <c r="D5" i="6" s="1"/>
  <c r="H5" i="6" s="1"/>
  <c r="B4" i="6"/>
  <c r="C4" i="6" s="1"/>
  <c r="D4" i="6" s="1"/>
  <c r="H4" i="6" s="1"/>
  <c r="B13" i="6"/>
  <c r="C13" i="6" s="1"/>
  <c r="D13" i="6" s="1"/>
  <c r="H13" i="6" s="1"/>
  <c r="B22" i="6"/>
  <c r="C22" i="6" s="1"/>
  <c r="D22" i="6" s="1"/>
  <c r="H22" i="6" s="1"/>
  <c r="B31" i="6"/>
  <c r="C31" i="6" s="1"/>
  <c r="D31" i="6" s="1"/>
  <c r="H31" i="6" s="1"/>
  <c r="B40" i="6"/>
  <c r="C40" i="6" s="1"/>
  <c r="D40" i="6" s="1"/>
  <c r="H40" i="6" s="1"/>
  <c r="B49" i="6"/>
  <c r="C49" i="6" s="1"/>
  <c r="D49" i="6" s="1"/>
  <c r="H49" i="6" s="1"/>
  <c r="B58" i="6"/>
  <c r="C58" i="6" s="1"/>
  <c r="D58" i="6" s="1"/>
  <c r="H58" i="6" s="1"/>
  <c r="B67" i="6"/>
  <c r="C67" i="6" s="1"/>
  <c r="D67" i="6" s="1"/>
  <c r="H67" i="6" s="1"/>
  <c r="B66" i="6"/>
  <c r="C66" i="6" s="1"/>
  <c r="D66" i="6" s="1"/>
  <c r="H66" i="6" s="1"/>
  <c r="B57" i="6"/>
  <c r="C57" i="6" s="1"/>
  <c r="D57" i="6" s="1"/>
  <c r="H57" i="6" s="1"/>
  <c r="B48" i="6"/>
  <c r="C48" i="6" s="1"/>
  <c r="D48" i="6" s="1"/>
  <c r="H48" i="6" s="1"/>
  <c r="B39" i="6"/>
  <c r="C39" i="6" s="1"/>
  <c r="D39" i="6" s="1"/>
  <c r="H39" i="6" s="1"/>
  <c r="B21" i="6"/>
  <c r="C21" i="6" s="1"/>
  <c r="D21" i="6" s="1"/>
  <c r="H21" i="6" s="1"/>
  <c r="B12" i="6"/>
  <c r="C12" i="6" s="1"/>
  <c r="D12" i="6" s="1"/>
  <c r="H12" i="6" s="1"/>
  <c r="B3" i="6"/>
  <c r="C3" i="6" s="1"/>
  <c r="D3" i="6" s="1"/>
  <c r="H3" i="6" s="1"/>
</calcChain>
</file>

<file path=xl/sharedStrings.xml><?xml version="1.0" encoding="utf-8"?>
<sst xmlns="http://schemas.openxmlformats.org/spreadsheetml/2006/main" count="1083" uniqueCount="192">
  <si>
    <t>Trmt/Variety</t>
  </si>
  <si>
    <t>Description</t>
  </si>
  <si>
    <t>Fibror 79</t>
  </si>
  <si>
    <t>Futura 75</t>
  </si>
  <si>
    <t>Santhica 70</t>
  </si>
  <si>
    <t>Carmenecta</t>
  </si>
  <si>
    <t>Enectarol</t>
  </si>
  <si>
    <t>Bialobrzeske</t>
  </si>
  <si>
    <t>Tiborszallasi</t>
  </si>
  <si>
    <t>Felina 32</t>
  </si>
  <si>
    <t>101-1</t>
  </si>
  <si>
    <t>102-2</t>
  </si>
  <si>
    <t>103-3</t>
  </si>
  <si>
    <t>104-4</t>
  </si>
  <si>
    <t>105-5</t>
  </si>
  <si>
    <t>106-6</t>
  </si>
  <si>
    <t>107-7</t>
  </si>
  <si>
    <t>108-8</t>
  </si>
  <si>
    <t>109-9</t>
  </si>
  <si>
    <t>110-10</t>
  </si>
  <si>
    <t>111-11</t>
  </si>
  <si>
    <t>112-12</t>
  </si>
  <si>
    <t>Tibor 35</t>
  </si>
  <si>
    <t>Tibor 45</t>
  </si>
  <si>
    <t>Tibor 55</t>
  </si>
  <si>
    <t>Tibor 65</t>
  </si>
  <si>
    <t>Felina32 - 35</t>
  </si>
  <si>
    <t>Felina32 - 45</t>
  </si>
  <si>
    <t>Felina32 - 55</t>
  </si>
  <si>
    <t>Felina32 -65</t>
  </si>
  <si>
    <t>Trnt</t>
  </si>
  <si>
    <t>Trmt</t>
  </si>
  <si>
    <t>501-1</t>
  </si>
  <si>
    <t>502-2</t>
  </si>
  <si>
    <t>503-3</t>
  </si>
  <si>
    <t>504-4</t>
  </si>
  <si>
    <t>505-5</t>
  </si>
  <si>
    <t>506-6</t>
  </si>
  <si>
    <t>507-7</t>
  </si>
  <si>
    <t>508-8</t>
  </si>
  <si>
    <t>601-8</t>
  </si>
  <si>
    <t>602-4</t>
  </si>
  <si>
    <t>603-1</t>
  </si>
  <si>
    <t>604-6</t>
  </si>
  <si>
    <t>605-2</t>
  </si>
  <si>
    <t>606-5</t>
  </si>
  <si>
    <t>607-7</t>
  </si>
  <si>
    <t>608-3</t>
  </si>
  <si>
    <t>702-4</t>
  </si>
  <si>
    <t>703-2</t>
  </si>
  <si>
    <t>704-6</t>
  </si>
  <si>
    <t>705-7</t>
  </si>
  <si>
    <t>706-8</t>
  </si>
  <si>
    <t>707-1</t>
  </si>
  <si>
    <t>708-5</t>
  </si>
  <si>
    <t>801-4</t>
  </si>
  <si>
    <t>802-7</t>
  </si>
  <si>
    <t>803-5</t>
  </si>
  <si>
    <t>804-2</t>
  </si>
  <si>
    <t>805-6</t>
  </si>
  <si>
    <t>806-3</t>
  </si>
  <si>
    <t>807-8</t>
  </si>
  <si>
    <t>808-1</t>
  </si>
  <si>
    <t>Fiber Variety Trial</t>
  </si>
  <si>
    <t>Fiber seeding Rate trial</t>
  </si>
  <si>
    <t>Plots are 4 feet by 16 feet</t>
  </si>
  <si>
    <t>Chippewa County</t>
  </si>
  <si>
    <t>Henola</t>
  </si>
  <si>
    <t>Earlina 8FC</t>
  </si>
  <si>
    <t>Amaze Auto</t>
  </si>
  <si>
    <t>Vega</t>
  </si>
  <si>
    <t>CFX-2</t>
  </si>
  <si>
    <t>NWG 2463</t>
  </si>
  <si>
    <t>NWG 2730</t>
  </si>
  <si>
    <t>NWG 4000</t>
  </si>
  <si>
    <t>NWG 4113</t>
  </si>
  <si>
    <t>Ferimon</t>
  </si>
  <si>
    <t>113-13</t>
  </si>
  <si>
    <t>114-14</t>
  </si>
  <si>
    <t>115-15</t>
  </si>
  <si>
    <t>116-16</t>
  </si>
  <si>
    <t>117-17</t>
  </si>
  <si>
    <t>118-18</t>
  </si>
  <si>
    <t>201-6</t>
  </si>
  <si>
    <t>202-12</t>
  </si>
  <si>
    <t>203-4</t>
  </si>
  <si>
    <t>204-13</t>
  </si>
  <si>
    <t>205-1</t>
  </si>
  <si>
    <t>206-9</t>
  </si>
  <si>
    <t>207-16</t>
  </si>
  <si>
    <t>208-10</t>
  </si>
  <si>
    <t>209-8</t>
  </si>
  <si>
    <t>210-3</t>
  </si>
  <si>
    <t>211-18</t>
  </si>
  <si>
    <t>212-2</t>
  </si>
  <si>
    <t>213-5</t>
  </si>
  <si>
    <t>214-7</t>
  </si>
  <si>
    <t>215-15</t>
  </si>
  <si>
    <t>216-17</t>
  </si>
  <si>
    <t>217-14</t>
  </si>
  <si>
    <t>218-11</t>
  </si>
  <si>
    <t>301-10</t>
  </si>
  <si>
    <t>302-5</t>
  </si>
  <si>
    <t>303-15</t>
  </si>
  <si>
    <t>304-12</t>
  </si>
  <si>
    <t>305-2</t>
  </si>
  <si>
    <t>306-3</t>
  </si>
  <si>
    <t>307-1</t>
  </si>
  <si>
    <t>308-4</t>
  </si>
  <si>
    <t>309-16</t>
  </si>
  <si>
    <t>311-18</t>
  </si>
  <si>
    <t>312-11</t>
  </si>
  <si>
    <t>313-17</t>
  </si>
  <si>
    <t>314-8</t>
  </si>
  <si>
    <t>315-13</t>
  </si>
  <si>
    <t>316-6</t>
  </si>
  <si>
    <t>317-7</t>
  </si>
  <si>
    <t>318-9</t>
  </si>
  <si>
    <t>401-18</t>
  </si>
  <si>
    <t>402-14</t>
  </si>
  <si>
    <t>403-15</t>
  </si>
  <si>
    <t>404-9</t>
  </si>
  <si>
    <t>405-11</t>
  </si>
  <si>
    <t>406-7</t>
  </si>
  <si>
    <t>407-12</t>
  </si>
  <si>
    <t>408-16</t>
  </si>
  <si>
    <t>409-17</t>
  </si>
  <si>
    <t>410-13</t>
  </si>
  <si>
    <t>411-8</t>
  </si>
  <si>
    <t>412-2</t>
  </si>
  <si>
    <t>413-10</t>
  </si>
  <si>
    <t>414-5</t>
  </si>
  <si>
    <t>415-1</t>
  </si>
  <si>
    <t>416-4</t>
  </si>
  <si>
    <t>417-6</t>
  </si>
  <si>
    <t>418-3</t>
  </si>
  <si>
    <t>701-3</t>
  </si>
  <si>
    <t>310-14</t>
  </si>
  <si>
    <t>Plot #</t>
  </si>
  <si>
    <t>Density</t>
  </si>
  <si>
    <t>Avg Stand Count</t>
  </si>
  <si>
    <t>Plants/acre</t>
  </si>
  <si>
    <t>NO DATA</t>
  </si>
  <si>
    <t>N/A</t>
  </si>
  <si>
    <t>606-5?</t>
  </si>
  <si>
    <t>Stem count</t>
  </si>
  <si>
    <t>Avg height (in)</t>
  </si>
  <si>
    <t>Variety</t>
  </si>
  <si>
    <t>Wet weight (kg)</t>
  </si>
  <si>
    <t>Sample number</t>
  </si>
  <si>
    <t>% moisture</t>
  </si>
  <si>
    <t>% dry matter</t>
  </si>
  <si>
    <t>Bialob</t>
  </si>
  <si>
    <t>Tibor</t>
  </si>
  <si>
    <t>Tibor50</t>
  </si>
  <si>
    <t>Tibor60</t>
  </si>
  <si>
    <t>Tibor70</t>
  </si>
  <si>
    <t>Tibor80</t>
  </si>
  <si>
    <t>Felina50</t>
  </si>
  <si>
    <t>Felina60</t>
  </si>
  <si>
    <t>Felina70</t>
  </si>
  <si>
    <t>Felina80</t>
  </si>
  <si>
    <t>Stem Diameter - Bottom (cm)</t>
  </si>
  <si>
    <t>Stem Diameter - Top (cm)</t>
  </si>
  <si>
    <t>Tare weight (kg)</t>
  </si>
  <si>
    <t>Avg height (cm)</t>
  </si>
  <si>
    <t>407-4</t>
  </si>
  <si>
    <t>ROW</t>
  </si>
  <si>
    <t>HEIGHT 1</t>
  </si>
  <si>
    <t>HEIGHT 2</t>
  </si>
  <si>
    <t>HEIGHT 3</t>
  </si>
  <si>
    <t>212-1</t>
  </si>
  <si>
    <t xml:space="preserve">missing </t>
  </si>
  <si>
    <t>HEIGHT 4</t>
  </si>
  <si>
    <t xml:space="preserve">HEIGHT 5 </t>
  </si>
  <si>
    <t>Earlina</t>
  </si>
  <si>
    <t>Amaze</t>
  </si>
  <si>
    <t>Santhica</t>
  </si>
  <si>
    <t>NWG2463</t>
  </si>
  <si>
    <t>NWG2730</t>
  </si>
  <si>
    <t>Fibror</t>
  </si>
  <si>
    <t>NWG4000</t>
  </si>
  <si>
    <t>NWG4113</t>
  </si>
  <si>
    <t>Futura</t>
  </si>
  <si>
    <t>Felina</t>
  </si>
  <si>
    <t>Actual weight (kg)</t>
  </si>
  <si>
    <t>Harvest</t>
  </si>
  <si>
    <t>Stems/Acre</t>
  </si>
  <si>
    <t>%Inital Stand</t>
  </si>
  <si>
    <t>Harvest DM</t>
  </si>
  <si>
    <t>Kg/acre</t>
  </si>
  <si>
    <t>Tons DM/acre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</si>
</sst>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9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0" borderId="0" xfId="0" applyFont="1"/>
    <xf numFmtId="2" fontId="0" fillId="0" borderId="0" xfId="0" applyNumberFormat="1"/>
    <xf numFmtId="0" fontId="0" fillId="2" borderId="0" xfId="0" applyFill="1"/>
    <xf numFmtId="2" fontId="3" fillId="0" borderId="0" xfId="0" applyNumberFormat="1" applyFont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8" borderId="0" xfId="0" applyFill="1"/>
    <xf numFmtId="0" fontId="0" fillId="14" borderId="0" xfId="0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15" borderId="0" xfId="0" applyFill="1"/>
    <xf numFmtId="14" fontId="0" fillId="6" borderId="0" xfId="0" applyNumberFormat="1" applyFill="1"/>
    <xf numFmtId="0" fontId="0" fillId="7" borderId="0" xfId="0" applyFill="1"/>
    <xf numFmtId="2" fontId="0" fillId="0" borderId="0" xfId="0" applyNumberFormat="1" applyAlignment="1">
      <alignment horizontal="center"/>
    </xf>
    <xf numFmtId="3" fontId="0" fillId="0" borderId="0" xfId="0" applyNumberFormat="1"/>
    <xf numFmtId="3" fontId="3" fillId="0" borderId="0" xfId="0" applyNumberFormat="1" applyFont="1"/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1484-0AFD-4C3D-B520-919E640D1044}">
  <sheetPr>
    <pageSetUpPr fitToPage="1"/>
  </sheetPr>
  <dimension ref="B2:N24"/>
  <sheetViews>
    <sheetView workbookViewId="0">
      <selection activeCell="L3" sqref="L3"/>
    </sheetView>
  </sheetViews>
  <sheetFormatPr defaultRowHeight="14.4" x14ac:dyDescent="0.3"/>
  <cols>
    <col min="2" max="2" width="25.109375" bestFit="1" customWidth="1"/>
    <col min="3" max="3" width="12.109375" bestFit="1" customWidth="1"/>
    <col min="4" max="4" width="13.21875" bestFit="1" customWidth="1"/>
    <col min="5" max="5" width="12.77734375" bestFit="1" customWidth="1"/>
  </cols>
  <sheetData>
    <row r="2" spans="2:14" ht="15.6" x14ac:dyDescent="0.3">
      <c r="B2" s="3" t="s">
        <v>66</v>
      </c>
      <c r="C2" s="5"/>
      <c r="D2" s="4"/>
      <c r="E2" s="5"/>
    </row>
    <row r="3" spans="2:14" ht="15.6" x14ac:dyDescent="0.3">
      <c r="B3" s="5" t="s">
        <v>65</v>
      </c>
      <c r="C3" s="5"/>
      <c r="D3" s="4"/>
      <c r="E3" s="5"/>
    </row>
    <row r="4" spans="2:14" ht="15.6" x14ac:dyDescent="0.3">
      <c r="B4" s="4"/>
      <c r="C4" s="5"/>
      <c r="D4" s="4"/>
      <c r="E4" s="5"/>
    </row>
    <row r="5" spans="2:14" ht="15.6" x14ac:dyDescent="0.3">
      <c r="B5" s="3" t="s">
        <v>63</v>
      </c>
      <c r="C5" s="5"/>
      <c r="D5" s="4"/>
      <c r="E5" s="5"/>
    </row>
    <row r="6" spans="2:14" ht="16.2" thickBot="1" x14ac:dyDescent="0.35">
      <c r="B6" s="2" t="s">
        <v>0</v>
      </c>
      <c r="C6" s="3" t="s">
        <v>1</v>
      </c>
      <c r="D6" s="2" t="s">
        <v>0</v>
      </c>
      <c r="E6" s="3" t="s">
        <v>1</v>
      </c>
    </row>
    <row r="7" spans="2:14" ht="16.2" thickBot="1" x14ac:dyDescent="0.35">
      <c r="B7" s="4">
        <v>1</v>
      </c>
      <c r="C7" s="10" t="s">
        <v>67</v>
      </c>
      <c r="D7" s="4">
        <v>10</v>
      </c>
      <c r="E7" s="10" t="s">
        <v>74</v>
      </c>
      <c r="G7" s="12" t="s">
        <v>10</v>
      </c>
      <c r="H7" s="12" t="s">
        <v>19</v>
      </c>
      <c r="I7" s="13" t="s">
        <v>83</v>
      </c>
      <c r="J7" s="13" t="s">
        <v>92</v>
      </c>
      <c r="K7" s="14" t="s">
        <v>101</v>
      </c>
      <c r="L7" s="14" t="s">
        <v>137</v>
      </c>
      <c r="M7" s="15" t="s">
        <v>118</v>
      </c>
      <c r="N7" s="15" t="s">
        <v>127</v>
      </c>
    </row>
    <row r="8" spans="2:14" ht="16.2" thickBot="1" x14ac:dyDescent="0.35">
      <c r="B8" s="4">
        <v>2</v>
      </c>
      <c r="C8" s="10" t="s">
        <v>68</v>
      </c>
      <c r="D8" s="4">
        <v>11</v>
      </c>
      <c r="E8" s="10" t="s">
        <v>75</v>
      </c>
      <c r="G8" s="12" t="s">
        <v>11</v>
      </c>
      <c r="H8" s="12" t="s">
        <v>20</v>
      </c>
      <c r="I8" s="13" t="s">
        <v>84</v>
      </c>
      <c r="J8" s="13" t="s">
        <v>93</v>
      </c>
      <c r="K8" s="14" t="s">
        <v>102</v>
      </c>
      <c r="L8" s="14" t="s">
        <v>110</v>
      </c>
      <c r="M8" s="15" t="s">
        <v>119</v>
      </c>
      <c r="N8" s="15" t="s">
        <v>128</v>
      </c>
    </row>
    <row r="9" spans="2:14" ht="16.2" thickBot="1" x14ac:dyDescent="0.35">
      <c r="B9" s="4">
        <v>3</v>
      </c>
      <c r="C9" s="10" t="s">
        <v>69</v>
      </c>
      <c r="D9" s="4">
        <v>12</v>
      </c>
      <c r="E9" s="5" t="s">
        <v>3</v>
      </c>
      <c r="G9" s="12" t="s">
        <v>12</v>
      </c>
      <c r="H9" s="12" t="s">
        <v>21</v>
      </c>
      <c r="I9" s="13" t="s">
        <v>85</v>
      </c>
      <c r="J9" s="13" t="s">
        <v>94</v>
      </c>
      <c r="K9" s="14" t="s">
        <v>103</v>
      </c>
      <c r="L9" s="14" t="s">
        <v>111</v>
      </c>
      <c r="M9" s="15" t="s">
        <v>120</v>
      </c>
      <c r="N9" s="15" t="s">
        <v>129</v>
      </c>
    </row>
    <row r="10" spans="2:14" ht="16.2" thickBot="1" x14ac:dyDescent="0.35">
      <c r="B10" s="4">
        <v>4</v>
      </c>
      <c r="C10" s="10" t="s">
        <v>70</v>
      </c>
      <c r="D10" s="4">
        <v>13</v>
      </c>
      <c r="E10" s="10" t="s">
        <v>5</v>
      </c>
      <c r="G10" s="12" t="s">
        <v>13</v>
      </c>
      <c r="H10" s="12" t="s">
        <v>77</v>
      </c>
      <c r="I10" s="13" t="s">
        <v>86</v>
      </c>
      <c r="J10" s="13" t="s">
        <v>95</v>
      </c>
      <c r="K10" s="14" t="s">
        <v>104</v>
      </c>
      <c r="L10" s="14" t="s">
        <v>112</v>
      </c>
      <c r="M10" s="15" t="s">
        <v>121</v>
      </c>
      <c r="N10" s="15" t="s">
        <v>130</v>
      </c>
    </row>
    <row r="11" spans="2:14" ht="16.2" thickBot="1" x14ac:dyDescent="0.35">
      <c r="B11" s="4">
        <v>5</v>
      </c>
      <c r="C11" s="10" t="s">
        <v>71</v>
      </c>
      <c r="D11" s="4">
        <v>14</v>
      </c>
      <c r="E11" s="10" t="s">
        <v>6</v>
      </c>
      <c r="G11" s="12" t="s">
        <v>14</v>
      </c>
      <c r="H11" s="12" t="s">
        <v>78</v>
      </c>
      <c r="I11" s="13" t="s">
        <v>87</v>
      </c>
      <c r="J11" s="13" t="s">
        <v>96</v>
      </c>
      <c r="K11" s="14" t="s">
        <v>105</v>
      </c>
      <c r="L11" s="14" t="s">
        <v>113</v>
      </c>
      <c r="M11" s="15" t="s">
        <v>122</v>
      </c>
      <c r="N11" s="15" t="s">
        <v>131</v>
      </c>
    </row>
    <row r="12" spans="2:14" ht="16.2" thickBot="1" x14ac:dyDescent="0.35">
      <c r="B12" s="4">
        <v>6</v>
      </c>
      <c r="C12" s="10" t="s">
        <v>4</v>
      </c>
      <c r="D12" s="4">
        <v>15</v>
      </c>
      <c r="E12" s="5" t="s">
        <v>8</v>
      </c>
      <c r="G12" s="12" t="s">
        <v>15</v>
      </c>
      <c r="H12" s="12" t="s">
        <v>79</v>
      </c>
      <c r="I12" s="13" t="s">
        <v>88</v>
      </c>
      <c r="J12" s="13" t="s">
        <v>97</v>
      </c>
      <c r="K12" s="14" t="s">
        <v>106</v>
      </c>
      <c r="L12" s="14" t="s">
        <v>114</v>
      </c>
      <c r="M12" s="15" t="s">
        <v>123</v>
      </c>
      <c r="N12" s="15" t="s">
        <v>132</v>
      </c>
    </row>
    <row r="13" spans="2:14" ht="16.2" thickBot="1" x14ac:dyDescent="0.35">
      <c r="B13" s="4">
        <v>7</v>
      </c>
      <c r="C13" s="10" t="s">
        <v>72</v>
      </c>
      <c r="D13" s="4">
        <v>16</v>
      </c>
      <c r="E13" s="5" t="s">
        <v>7</v>
      </c>
      <c r="G13" s="12" t="s">
        <v>16</v>
      </c>
      <c r="H13" s="12" t="s">
        <v>80</v>
      </c>
      <c r="I13" s="13" t="s">
        <v>89</v>
      </c>
      <c r="J13" s="13" t="s">
        <v>98</v>
      </c>
      <c r="K13" s="14" t="s">
        <v>107</v>
      </c>
      <c r="L13" s="14" t="s">
        <v>115</v>
      </c>
      <c r="M13" s="15" t="s">
        <v>124</v>
      </c>
      <c r="N13" s="15" t="s">
        <v>133</v>
      </c>
    </row>
    <row r="14" spans="2:14" ht="16.2" thickBot="1" x14ac:dyDescent="0.35">
      <c r="B14" s="4">
        <v>8</v>
      </c>
      <c r="C14" s="10" t="s">
        <v>73</v>
      </c>
      <c r="D14" s="4">
        <v>17</v>
      </c>
      <c r="E14" s="5" t="s">
        <v>9</v>
      </c>
      <c r="G14" s="12" t="s">
        <v>17</v>
      </c>
      <c r="H14" s="12" t="s">
        <v>81</v>
      </c>
      <c r="I14" s="13" t="s">
        <v>90</v>
      </c>
      <c r="J14" s="13" t="s">
        <v>99</v>
      </c>
      <c r="K14" s="14" t="s">
        <v>108</v>
      </c>
      <c r="L14" s="14" t="s">
        <v>116</v>
      </c>
      <c r="M14" s="15" t="s">
        <v>125</v>
      </c>
      <c r="N14" s="15" t="s">
        <v>134</v>
      </c>
    </row>
    <row r="15" spans="2:14" ht="15.6" x14ac:dyDescent="0.3">
      <c r="B15" s="4">
        <v>9</v>
      </c>
      <c r="C15" s="11" t="s">
        <v>2</v>
      </c>
      <c r="D15" s="4">
        <v>18</v>
      </c>
      <c r="E15" s="5" t="s">
        <v>76</v>
      </c>
      <c r="G15" s="12" t="s">
        <v>18</v>
      </c>
      <c r="H15" s="12" t="s">
        <v>82</v>
      </c>
      <c r="I15" s="13" t="s">
        <v>91</v>
      </c>
      <c r="J15" s="13" t="s">
        <v>100</v>
      </c>
      <c r="K15" s="14" t="s">
        <v>109</v>
      </c>
      <c r="L15" s="14" t="s">
        <v>117</v>
      </c>
      <c r="M15" s="15" t="s">
        <v>126</v>
      </c>
      <c r="N15" s="15" t="s">
        <v>135</v>
      </c>
    </row>
    <row r="16" spans="2:14" ht="15.6" x14ac:dyDescent="0.3">
      <c r="B16" s="4"/>
      <c r="C16" s="11"/>
      <c r="D16" s="4"/>
      <c r="E16" s="5"/>
    </row>
    <row r="17" spans="2:14" ht="15.6" x14ac:dyDescent="0.3">
      <c r="B17" s="4"/>
      <c r="C17" s="11"/>
      <c r="D17" s="4"/>
      <c r="E17" s="5"/>
    </row>
    <row r="18" spans="2:14" ht="15.6" x14ac:dyDescent="0.3">
      <c r="B18" s="4"/>
      <c r="C18" s="11"/>
      <c r="D18" s="4"/>
      <c r="E18" s="5"/>
    </row>
    <row r="19" spans="2:14" ht="15.6" x14ac:dyDescent="0.3">
      <c r="B19" s="3" t="s">
        <v>64</v>
      </c>
      <c r="C19" s="5"/>
      <c r="D19" s="4"/>
      <c r="E19" s="5"/>
    </row>
    <row r="20" spans="2:14" ht="15.6" x14ac:dyDescent="0.3">
      <c r="B20" s="2" t="s">
        <v>31</v>
      </c>
      <c r="C20" s="3" t="s">
        <v>1</v>
      </c>
      <c r="D20" s="2" t="s">
        <v>30</v>
      </c>
      <c r="E20" s="3" t="s">
        <v>1</v>
      </c>
    </row>
    <row r="21" spans="2:14" ht="15.6" x14ac:dyDescent="0.3">
      <c r="B21" s="4">
        <v>1</v>
      </c>
      <c r="C21" s="5" t="s">
        <v>22</v>
      </c>
      <c r="D21" s="4">
        <v>5</v>
      </c>
      <c r="E21" s="5" t="s">
        <v>26</v>
      </c>
      <c r="G21" s="6" t="s">
        <v>35</v>
      </c>
      <c r="H21" s="6" t="s">
        <v>39</v>
      </c>
      <c r="I21" s="7" t="s">
        <v>43</v>
      </c>
      <c r="J21" s="7" t="s">
        <v>47</v>
      </c>
      <c r="K21" s="8" t="s">
        <v>50</v>
      </c>
      <c r="L21" s="8" t="s">
        <v>54</v>
      </c>
      <c r="M21" s="9" t="s">
        <v>58</v>
      </c>
      <c r="N21" s="9" t="s">
        <v>62</v>
      </c>
    </row>
    <row r="22" spans="2:14" ht="15.6" x14ac:dyDescent="0.3">
      <c r="B22" s="4">
        <v>2</v>
      </c>
      <c r="C22" s="5" t="s">
        <v>23</v>
      </c>
      <c r="D22" s="4">
        <v>6</v>
      </c>
      <c r="E22" s="5" t="s">
        <v>27</v>
      </c>
      <c r="G22" s="6" t="s">
        <v>34</v>
      </c>
      <c r="H22" s="6" t="s">
        <v>38</v>
      </c>
      <c r="I22" s="7" t="s">
        <v>42</v>
      </c>
      <c r="J22" s="7" t="s">
        <v>46</v>
      </c>
      <c r="K22" s="8" t="s">
        <v>49</v>
      </c>
      <c r="L22" s="8" t="s">
        <v>53</v>
      </c>
      <c r="M22" s="9" t="s">
        <v>57</v>
      </c>
      <c r="N22" s="9" t="s">
        <v>61</v>
      </c>
    </row>
    <row r="23" spans="2:14" ht="15.6" x14ac:dyDescent="0.3">
      <c r="B23" s="4">
        <v>3</v>
      </c>
      <c r="C23" s="5" t="s">
        <v>24</v>
      </c>
      <c r="D23" s="4">
        <v>7</v>
      </c>
      <c r="E23" s="5" t="s">
        <v>28</v>
      </c>
      <c r="G23" s="6" t="s">
        <v>33</v>
      </c>
      <c r="H23" s="6" t="s">
        <v>37</v>
      </c>
      <c r="I23" s="7" t="s">
        <v>41</v>
      </c>
      <c r="J23" s="7" t="s">
        <v>45</v>
      </c>
      <c r="K23" s="8" t="s">
        <v>48</v>
      </c>
      <c r="L23" s="8" t="s">
        <v>52</v>
      </c>
      <c r="M23" s="9" t="s">
        <v>56</v>
      </c>
      <c r="N23" s="9" t="s">
        <v>60</v>
      </c>
    </row>
    <row r="24" spans="2:14" ht="15.6" x14ac:dyDescent="0.3">
      <c r="B24" s="4">
        <v>4</v>
      </c>
      <c r="C24" s="5" t="s">
        <v>25</v>
      </c>
      <c r="D24" s="4">
        <v>8</v>
      </c>
      <c r="E24" s="5" t="s">
        <v>29</v>
      </c>
      <c r="G24" s="6" t="s">
        <v>32</v>
      </c>
      <c r="H24" s="6" t="s">
        <v>36</v>
      </c>
      <c r="I24" s="7" t="s">
        <v>40</v>
      </c>
      <c r="J24" s="7" t="s">
        <v>44</v>
      </c>
      <c r="K24" s="8" t="s">
        <v>136</v>
      </c>
      <c r="L24" s="8" t="s">
        <v>51</v>
      </c>
      <c r="M24" s="9" t="s">
        <v>55</v>
      </c>
      <c r="N24" s="9" t="s">
        <v>59</v>
      </c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F7BD-6067-44CF-ABD3-ECD0FF7787B2}">
  <dimension ref="A1:AS106"/>
  <sheetViews>
    <sheetView zoomScale="80" zoomScaleNormal="70" workbookViewId="0">
      <selection activeCell="N2" sqref="N2:P106"/>
    </sheetView>
  </sheetViews>
  <sheetFormatPr defaultRowHeight="14.4" x14ac:dyDescent="0.3"/>
  <cols>
    <col min="2" max="2" width="15.21875" style="17" bestFit="1" customWidth="1"/>
    <col min="3" max="3" width="8.88671875" style="17"/>
    <col min="4" max="4" width="10.5546875" style="31" bestFit="1" customWidth="1"/>
    <col min="5" max="5" width="10.5546875" customWidth="1"/>
    <col min="6" max="6" width="10.6640625" bestFit="1" customWidth="1"/>
    <col min="7" max="7" width="11" bestFit="1" customWidth="1"/>
    <col min="8" max="8" width="12.21875" style="30" bestFit="1" customWidth="1"/>
    <col min="9" max="9" width="13.88671875" bestFit="1" customWidth="1"/>
    <col min="10" max="10" width="14.21875" bestFit="1" customWidth="1"/>
    <col min="11" max="11" width="15.88671875" bestFit="1" customWidth="1"/>
    <col min="12" max="12" width="12.21875" style="30" customWidth="1"/>
    <col min="13" max="13" width="7.5546875" style="30" bestFit="1" customWidth="1"/>
    <col min="14" max="14" width="12.88671875" style="30" bestFit="1" customWidth="1"/>
    <col min="15" max="15" width="8.88671875" customWidth="1"/>
    <col min="16" max="16" width="10.77734375" bestFit="1" customWidth="1"/>
  </cols>
  <sheetData>
    <row r="1" spans="1:45" x14ac:dyDescent="0.3">
      <c r="E1" s="16"/>
      <c r="F1" t="s">
        <v>186</v>
      </c>
      <c r="Q1" s="33" t="s">
        <v>162</v>
      </c>
      <c r="R1" s="33"/>
      <c r="S1" s="33"/>
      <c r="T1" s="33"/>
      <c r="U1" s="33"/>
      <c r="V1" s="33"/>
      <c r="W1" s="33"/>
      <c r="X1" s="33"/>
      <c r="Y1" s="33"/>
      <c r="Z1" s="33"/>
      <c r="AA1" s="34" t="s">
        <v>163</v>
      </c>
      <c r="AB1" s="34"/>
      <c r="AC1" s="34"/>
      <c r="AD1" s="34"/>
      <c r="AE1" s="34"/>
      <c r="AF1" s="34"/>
      <c r="AG1" s="34"/>
      <c r="AH1" s="34"/>
      <c r="AI1" s="34"/>
      <c r="AJ1" s="34"/>
    </row>
    <row r="2" spans="1:45" x14ac:dyDescent="0.3">
      <c r="A2" s="16" t="s">
        <v>138</v>
      </c>
      <c r="B2" s="19" t="s">
        <v>140</v>
      </c>
      <c r="C2" s="19" t="s">
        <v>139</v>
      </c>
      <c r="D2" s="32" t="s">
        <v>141</v>
      </c>
      <c r="F2" s="16" t="s">
        <v>145</v>
      </c>
      <c r="G2" t="s">
        <v>187</v>
      </c>
      <c r="H2" s="30" t="s">
        <v>188</v>
      </c>
      <c r="I2" s="16" t="s">
        <v>148</v>
      </c>
      <c r="J2" s="16" t="s">
        <v>164</v>
      </c>
      <c r="K2" s="16" t="s">
        <v>185</v>
      </c>
      <c r="L2" s="30" t="s">
        <v>189</v>
      </c>
      <c r="M2" s="30" t="s">
        <v>190</v>
      </c>
      <c r="N2" s="30" t="s">
        <v>191</v>
      </c>
      <c r="O2" s="16" t="s">
        <v>138</v>
      </c>
      <c r="P2" s="16" t="s">
        <v>147</v>
      </c>
      <c r="Q2" s="16">
        <v>1</v>
      </c>
      <c r="R2" s="16">
        <v>2</v>
      </c>
      <c r="S2" s="16">
        <v>3</v>
      </c>
      <c r="T2" s="16">
        <v>4</v>
      </c>
      <c r="U2" s="16">
        <v>5</v>
      </c>
      <c r="V2" s="16">
        <v>6</v>
      </c>
      <c r="W2" s="16">
        <v>7</v>
      </c>
      <c r="X2" s="16">
        <v>8</v>
      </c>
      <c r="Y2" s="16">
        <v>9</v>
      </c>
      <c r="Z2" s="16">
        <v>10</v>
      </c>
      <c r="AA2" s="16">
        <v>1</v>
      </c>
      <c r="AB2" s="16">
        <v>2</v>
      </c>
      <c r="AC2" s="16">
        <v>3</v>
      </c>
      <c r="AD2" s="16">
        <v>4</v>
      </c>
      <c r="AE2" s="16">
        <v>5</v>
      </c>
      <c r="AF2" s="16">
        <v>6</v>
      </c>
      <c r="AG2" s="16">
        <v>7</v>
      </c>
      <c r="AH2" s="16">
        <v>8</v>
      </c>
      <c r="AI2" s="16">
        <v>9</v>
      </c>
      <c r="AJ2" s="16">
        <v>10</v>
      </c>
      <c r="AL2" s="16" t="s">
        <v>167</v>
      </c>
      <c r="AM2" s="16" t="s">
        <v>168</v>
      </c>
      <c r="AN2" s="16" t="s">
        <v>169</v>
      </c>
      <c r="AO2" s="16" t="s">
        <v>170</v>
      </c>
      <c r="AP2" s="16" t="s">
        <v>173</v>
      </c>
      <c r="AQ2" s="16" t="s">
        <v>174</v>
      </c>
      <c r="AR2" s="16" t="s">
        <v>146</v>
      </c>
      <c r="AS2" s="16" t="s">
        <v>165</v>
      </c>
    </row>
    <row r="3" spans="1:45" x14ac:dyDescent="0.3">
      <c r="A3" t="s">
        <v>10</v>
      </c>
      <c r="B3" s="17">
        <f>(33+16+17)/3</f>
        <v>22</v>
      </c>
      <c r="C3" s="17">
        <f>(B3*4)/7</f>
        <v>12.571428571428571</v>
      </c>
      <c r="D3" s="31">
        <f>(C3*43560)</f>
        <v>547611.42857142852</v>
      </c>
      <c r="F3">
        <v>56</v>
      </c>
      <c r="G3" s="16">
        <f>+(F3/(12/43560))</f>
        <v>203280.00000000003</v>
      </c>
      <c r="H3" s="30">
        <f>+G3/D3*100</f>
        <v>37.121212121212132</v>
      </c>
      <c r="I3">
        <v>4.4400000000000004</v>
      </c>
      <c r="J3">
        <v>3.5</v>
      </c>
      <c r="K3">
        <f>I3-J3</f>
        <v>0.94000000000000039</v>
      </c>
      <c r="L3" s="1">
        <v>35.22</v>
      </c>
      <c r="M3" s="30">
        <f>+(K3*(100-L3)/100)/(12/43560)</f>
        <v>2210.4231600000012</v>
      </c>
      <c r="N3" s="30">
        <f>+(M3*0.0011023113109244)</f>
        <v>2.4365744511972562</v>
      </c>
      <c r="O3" s="20" t="s">
        <v>10</v>
      </c>
      <c r="P3" t="s">
        <v>67</v>
      </c>
      <c r="Q3">
        <v>3.47</v>
      </c>
      <c r="R3">
        <v>4</v>
      </c>
      <c r="S3">
        <v>3.6</v>
      </c>
      <c r="T3">
        <v>4.2699999999999996</v>
      </c>
      <c r="U3">
        <v>3.53</v>
      </c>
      <c r="V3">
        <v>6.2</v>
      </c>
      <c r="W3">
        <v>3.17</v>
      </c>
      <c r="X3">
        <v>4.62</v>
      </c>
      <c r="Y3">
        <v>4.67</v>
      </c>
      <c r="Z3">
        <v>3.64</v>
      </c>
      <c r="AA3">
        <v>2.82</v>
      </c>
      <c r="AB3">
        <v>2.56</v>
      </c>
      <c r="AC3">
        <v>2.67</v>
      </c>
      <c r="AD3">
        <v>3.25</v>
      </c>
      <c r="AE3">
        <v>2.82</v>
      </c>
      <c r="AF3">
        <v>4.18</v>
      </c>
      <c r="AG3">
        <v>2.39</v>
      </c>
      <c r="AH3">
        <v>3.12</v>
      </c>
      <c r="AI3">
        <v>3.27</v>
      </c>
      <c r="AJ3">
        <v>3.42</v>
      </c>
      <c r="AL3" s="20" t="s">
        <v>10</v>
      </c>
      <c r="AM3">
        <v>40</v>
      </c>
      <c r="AN3">
        <v>49</v>
      </c>
      <c r="AO3">
        <v>42.5</v>
      </c>
      <c r="AP3">
        <v>38</v>
      </c>
      <c r="AQ3">
        <v>42</v>
      </c>
      <c r="AR3" s="17">
        <f>(AVERAGE(AM3,AN3,AO3,AP3,AQ3,))</f>
        <v>35.25</v>
      </c>
      <c r="AS3" s="17">
        <f>AR3*2.54</f>
        <v>89.534999999999997</v>
      </c>
    </row>
    <row r="4" spans="1:45" x14ac:dyDescent="0.3">
      <c r="A4" t="s">
        <v>11</v>
      </c>
      <c r="B4" s="17">
        <f>(18+29+48)/3</f>
        <v>31.666666666666668</v>
      </c>
      <c r="C4" s="17">
        <f>(B4*4)/7</f>
        <v>18.095238095238095</v>
      </c>
      <c r="D4" s="31">
        <f>(C4*43560)</f>
        <v>788228.57142857136</v>
      </c>
      <c r="F4">
        <v>95</v>
      </c>
      <c r="G4" s="16">
        <f t="shared" ref="G4:G67" si="0">+(F4/(12/43560))</f>
        <v>344850.00000000006</v>
      </c>
      <c r="H4" s="30">
        <f t="shared" ref="H4:H67" si="1">+G4/D4*100</f>
        <v>43.750000000000014</v>
      </c>
      <c r="I4">
        <v>4.18</v>
      </c>
      <c r="J4">
        <v>3.5</v>
      </c>
      <c r="K4">
        <f t="shared" ref="K4:K67" si="2">I4-J4</f>
        <v>0.67999999999999972</v>
      </c>
      <c r="L4" s="1">
        <v>40.04</v>
      </c>
      <c r="M4" s="30">
        <f t="shared" ref="M4:M67" si="3">+(K4*(100-L4)/100)/(12/43560)</f>
        <v>1480.0526399999994</v>
      </c>
      <c r="N4" s="30">
        <f t="shared" ref="N4:N67" si="4">+(M4*0.0011023113109244)</f>
        <v>1.6314787658355185</v>
      </c>
      <c r="O4" s="20" t="s">
        <v>11</v>
      </c>
      <c r="P4" t="s">
        <v>175</v>
      </c>
      <c r="Q4">
        <v>4.25</v>
      </c>
      <c r="R4">
        <v>3.57</v>
      </c>
      <c r="S4">
        <v>3.73</v>
      </c>
      <c r="T4">
        <v>3.44</v>
      </c>
      <c r="U4">
        <v>3.49</v>
      </c>
      <c r="V4">
        <v>3.15</v>
      </c>
      <c r="W4">
        <v>4.53</v>
      </c>
      <c r="X4">
        <v>4.2300000000000004</v>
      </c>
      <c r="Y4">
        <v>3</v>
      </c>
      <c r="Z4">
        <v>3.48</v>
      </c>
      <c r="AA4">
        <v>3.49</v>
      </c>
      <c r="AB4">
        <v>2.52</v>
      </c>
      <c r="AC4">
        <v>3.12</v>
      </c>
      <c r="AD4">
        <v>2.56</v>
      </c>
      <c r="AE4">
        <v>3.22</v>
      </c>
      <c r="AF4">
        <v>1.81</v>
      </c>
      <c r="AG4">
        <v>3.08</v>
      </c>
      <c r="AH4">
        <v>3.61</v>
      </c>
      <c r="AI4">
        <v>1.95</v>
      </c>
      <c r="AJ4">
        <v>2.14</v>
      </c>
      <c r="AL4" s="20" t="s">
        <v>11</v>
      </c>
      <c r="AM4">
        <v>35</v>
      </c>
      <c r="AN4">
        <v>37.5</v>
      </c>
      <c r="AO4">
        <v>41.5</v>
      </c>
      <c r="AP4">
        <v>38</v>
      </c>
      <c r="AQ4">
        <v>40.5</v>
      </c>
      <c r="AR4" s="17">
        <f t="shared" ref="AR4:AR67" si="5">(AVERAGE(AM4,AN4,AO4,AP4,AQ4,))</f>
        <v>32.083333333333336</v>
      </c>
      <c r="AS4" s="17">
        <f t="shared" ref="AS4:AS20" si="6">AR4*2.54</f>
        <v>81.491666666666674</v>
      </c>
    </row>
    <row r="5" spans="1:45" x14ac:dyDescent="0.3">
      <c r="A5" t="s">
        <v>12</v>
      </c>
      <c r="B5" s="17">
        <f>(12+11+11)/3</f>
        <v>11.333333333333334</v>
      </c>
      <c r="C5" s="17">
        <f>(B5*4)/7</f>
        <v>6.4761904761904763</v>
      </c>
      <c r="D5" s="31">
        <f>(C5*43560)</f>
        <v>282102.85714285716</v>
      </c>
      <c r="F5">
        <v>41</v>
      </c>
      <c r="G5" s="16">
        <f t="shared" si="0"/>
        <v>148830</v>
      </c>
      <c r="H5" s="30">
        <f t="shared" si="1"/>
        <v>52.757352941176471</v>
      </c>
      <c r="I5">
        <v>4.3</v>
      </c>
      <c r="J5">
        <v>3.5</v>
      </c>
      <c r="K5">
        <f t="shared" si="2"/>
        <v>0.79999999999999982</v>
      </c>
      <c r="L5" s="1">
        <v>31.35</v>
      </c>
      <c r="M5" s="30">
        <f t="shared" si="3"/>
        <v>1993.5959999999998</v>
      </c>
      <c r="N5" s="30">
        <f t="shared" si="4"/>
        <v>2.19756342021364</v>
      </c>
      <c r="O5" s="20" t="s">
        <v>12</v>
      </c>
      <c r="P5" t="s">
        <v>176</v>
      </c>
      <c r="Q5">
        <v>5.35</v>
      </c>
      <c r="R5">
        <v>5.16</v>
      </c>
      <c r="S5">
        <v>5.86</v>
      </c>
      <c r="T5">
        <v>3.29</v>
      </c>
      <c r="U5">
        <v>4.0199999999999996</v>
      </c>
      <c r="V5">
        <v>5.13</v>
      </c>
      <c r="W5">
        <v>3.49</v>
      </c>
      <c r="X5">
        <v>3.89</v>
      </c>
      <c r="Y5">
        <v>3.62</v>
      </c>
      <c r="Z5">
        <v>4.72</v>
      </c>
      <c r="AA5">
        <v>3.45</v>
      </c>
      <c r="AB5">
        <v>4.34</v>
      </c>
      <c r="AC5">
        <v>4.7699999999999996</v>
      </c>
      <c r="AD5">
        <v>2.75</v>
      </c>
      <c r="AE5">
        <v>2.86</v>
      </c>
      <c r="AF5">
        <v>3.82</v>
      </c>
      <c r="AG5">
        <v>2.57</v>
      </c>
      <c r="AH5">
        <v>3.56</v>
      </c>
      <c r="AI5">
        <v>2.84</v>
      </c>
      <c r="AJ5">
        <v>3.83</v>
      </c>
      <c r="AL5" s="20" t="s">
        <v>12</v>
      </c>
      <c r="AM5">
        <v>44</v>
      </c>
      <c r="AN5">
        <v>37</v>
      </c>
      <c r="AO5">
        <v>37.5</v>
      </c>
      <c r="AP5">
        <v>39</v>
      </c>
      <c r="AQ5">
        <v>41.5</v>
      </c>
      <c r="AR5" s="17">
        <f t="shared" si="5"/>
        <v>33.166666666666664</v>
      </c>
      <c r="AS5" s="17">
        <f t="shared" si="6"/>
        <v>84.243333333333325</v>
      </c>
    </row>
    <row r="6" spans="1:45" x14ac:dyDescent="0.3">
      <c r="A6" t="s">
        <v>13</v>
      </c>
      <c r="B6" s="17">
        <f>(27+22+28)/3</f>
        <v>25.666666666666668</v>
      </c>
      <c r="C6" s="17">
        <f>(B6*4)/7</f>
        <v>14.666666666666668</v>
      </c>
      <c r="D6" s="31">
        <f>(C6*43560)</f>
        <v>638880</v>
      </c>
      <c r="F6">
        <v>144</v>
      </c>
      <c r="G6" s="16">
        <f t="shared" si="0"/>
        <v>522720.00000000006</v>
      </c>
      <c r="H6" s="30">
        <f t="shared" si="1"/>
        <v>81.818181818181827</v>
      </c>
      <c r="I6">
        <v>5.28</v>
      </c>
      <c r="J6">
        <v>3.5</v>
      </c>
      <c r="K6">
        <f t="shared" si="2"/>
        <v>1.7800000000000002</v>
      </c>
      <c r="L6" s="1">
        <v>34.35</v>
      </c>
      <c r="M6" s="30">
        <f t="shared" si="3"/>
        <v>4241.9091000000017</v>
      </c>
      <c r="N6" s="30">
        <f t="shared" si="4"/>
        <v>4.6759043808431437</v>
      </c>
      <c r="O6" s="20" t="s">
        <v>13</v>
      </c>
      <c r="P6" t="s">
        <v>70</v>
      </c>
      <c r="Q6">
        <v>3.95</v>
      </c>
      <c r="R6">
        <v>4.9000000000000004</v>
      </c>
      <c r="S6">
        <v>4.37</v>
      </c>
      <c r="T6">
        <v>4.82</v>
      </c>
      <c r="U6">
        <v>4.1100000000000003</v>
      </c>
      <c r="V6">
        <v>3.96</v>
      </c>
      <c r="W6">
        <v>3.51</v>
      </c>
      <c r="X6">
        <v>4.54</v>
      </c>
      <c r="Y6">
        <v>3.47</v>
      </c>
      <c r="Z6">
        <v>4.6500000000000004</v>
      </c>
      <c r="AA6">
        <v>3.71</v>
      </c>
      <c r="AB6">
        <v>3.06</v>
      </c>
      <c r="AC6">
        <v>3.17</v>
      </c>
      <c r="AD6">
        <v>3.26</v>
      </c>
      <c r="AE6">
        <v>2.5299999999999998</v>
      </c>
      <c r="AF6">
        <v>2.74</v>
      </c>
      <c r="AG6">
        <v>2.84</v>
      </c>
      <c r="AH6">
        <v>2.76</v>
      </c>
      <c r="AI6">
        <v>2.4900000000000002</v>
      </c>
      <c r="AJ6">
        <v>3.24</v>
      </c>
      <c r="AL6" s="20" t="s">
        <v>13</v>
      </c>
      <c r="AM6">
        <v>35</v>
      </c>
      <c r="AN6">
        <v>38</v>
      </c>
      <c r="AO6">
        <v>44.5</v>
      </c>
      <c r="AP6">
        <v>39</v>
      </c>
      <c r="AQ6">
        <v>42.5</v>
      </c>
      <c r="AR6" s="17">
        <f t="shared" si="5"/>
        <v>33.166666666666664</v>
      </c>
      <c r="AS6" s="17">
        <f t="shared" si="6"/>
        <v>84.243333333333325</v>
      </c>
    </row>
    <row r="7" spans="1:45" x14ac:dyDescent="0.3">
      <c r="A7" t="s">
        <v>14</v>
      </c>
      <c r="B7" s="17">
        <f>(27+17+31)/3</f>
        <v>25</v>
      </c>
      <c r="C7" s="17">
        <f>(B7*4)/7</f>
        <v>14.285714285714286</v>
      </c>
      <c r="D7" s="31">
        <f>(C7*43560)</f>
        <v>622285.71428571432</v>
      </c>
      <c r="F7">
        <v>102</v>
      </c>
      <c r="G7" s="16">
        <f t="shared" si="0"/>
        <v>370260.00000000006</v>
      </c>
      <c r="H7" s="30">
        <f t="shared" si="1"/>
        <v>59.500000000000007</v>
      </c>
      <c r="I7">
        <v>4.5199999999999996</v>
      </c>
      <c r="J7">
        <v>3.5</v>
      </c>
      <c r="K7">
        <f t="shared" si="2"/>
        <v>1.0199999999999996</v>
      </c>
      <c r="L7" s="1">
        <v>31.37</v>
      </c>
      <c r="M7" s="30">
        <f t="shared" si="3"/>
        <v>2541.0943799999991</v>
      </c>
      <c r="N7" s="30">
        <f t="shared" si="4"/>
        <v>2.8010770772004245</v>
      </c>
      <c r="O7" s="20" t="s">
        <v>14</v>
      </c>
      <c r="P7" t="s">
        <v>71</v>
      </c>
      <c r="Q7">
        <v>4.3</v>
      </c>
      <c r="R7">
        <v>4.78</v>
      </c>
      <c r="S7">
        <v>3.01</v>
      </c>
      <c r="T7">
        <v>3.59</v>
      </c>
      <c r="U7">
        <v>4.6100000000000003</v>
      </c>
      <c r="V7">
        <v>3.95</v>
      </c>
      <c r="W7">
        <v>3.78</v>
      </c>
      <c r="X7">
        <v>5.05</v>
      </c>
      <c r="Y7">
        <v>3.12</v>
      </c>
      <c r="Z7">
        <v>3.71</v>
      </c>
      <c r="AA7">
        <v>1.82</v>
      </c>
      <c r="AB7">
        <v>3.4</v>
      </c>
      <c r="AC7">
        <v>3.12</v>
      </c>
      <c r="AD7">
        <v>2.56</v>
      </c>
      <c r="AE7">
        <v>3.5</v>
      </c>
      <c r="AF7">
        <v>2.73</v>
      </c>
      <c r="AG7">
        <v>2.48</v>
      </c>
      <c r="AH7">
        <v>3.45</v>
      </c>
      <c r="AI7">
        <v>1.24</v>
      </c>
      <c r="AJ7">
        <v>3.45</v>
      </c>
      <c r="AL7" s="20" t="s">
        <v>14</v>
      </c>
      <c r="AM7">
        <v>32</v>
      </c>
      <c r="AN7">
        <v>32.5</v>
      </c>
      <c r="AO7">
        <v>29</v>
      </c>
      <c r="AP7">
        <v>33</v>
      </c>
      <c r="AQ7">
        <v>31.5</v>
      </c>
      <c r="AR7" s="17">
        <f t="shared" si="5"/>
        <v>26.333333333333332</v>
      </c>
      <c r="AS7" s="17">
        <f t="shared" si="6"/>
        <v>66.88666666666667</v>
      </c>
    </row>
    <row r="8" spans="1:45" x14ac:dyDescent="0.3">
      <c r="A8" t="s">
        <v>15</v>
      </c>
      <c r="B8" s="17" t="s">
        <v>142</v>
      </c>
      <c r="C8" s="17" t="s">
        <v>143</v>
      </c>
      <c r="D8" s="31" t="s">
        <v>143</v>
      </c>
      <c r="F8">
        <v>227</v>
      </c>
      <c r="G8" s="16">
        <f t="shared" si="0"/>
        <v>824010.00000000012</v>
      </c>
      <c r="H8" s="30" t="e">
        <f t="shared" si="1"/>
        <v>#VALUE!</v>
      </c>
      <c r="I8">
        <v>6.68</v>
      </c>
      <c r="J8">
        <v>3.5</v>
      </c>
      <c r="K8">
        <f t="shared" si="2"/>
        <v>3.1799999999999997</v>
      </c>
      <c r="L8" s="1">
        <v>30.41</v>
      </c>
      <c r="M8" s="30">
        <f t="shared" si="3"/>
        <v>8033.0520600000009</v>
      </c>
      <c r="N8" s="30">
        <f t="shared" si="4"/>
        <v>8.8549241469825528</v>
      </c>
      <c r="O8" s="20" t="s">
        <v>15</v>
      </c>
      <c r="P8" t="s">
        <v>177</v>
      </c>
      <c r="Q8">
        <v>6.53</v>
      </c>
      <c r="R8">
        <v>6.49</v>
      </c>
      <c r="S8">
        <v>3.99</v>
      </c>
      <c r="T8">
        <v>4.03</v>
      </c>
      <c r="U8">
        <v>3.72</v>
      </c>
      <c r="V8">
        <v>3.53</v>
      </c>
      <c r="W8">
        <v>4.4800000000000004</v>
      </c>
      <c r="X8">
        <v>3.03</v>
      </c>
      <c r="Y8">
        <v>5.59</v>
      </c>
      <c r="Z8">
        <v>4.3499999999999996</v>
      </c>
      <c r="AA8">
        <v>4.63</v>
      </c>
      <c r="AB8">
        <v>3.5</v>
      </c>
      <c r="AC8">
        <v>2.87</v>
      </c>
      <c r="AD8">
        <v>2.04</v>
      </c>
      <c r="AE8">
        <v>2.2799999999999998</v>
      </c>
      <c r="AF8">
        <v>2.46</v>
      </c>
      <c r="AG8">
        <v>3.27</v>
      </c>
      <c r="AH8">
        <v>1.94</v>
      </c>
      <c r="AI8">
        <v>2.83</v>
      </c>
      <c r="AJ8">
        <v>2.73</v>
      </c>
      <c r="AL8" s="20" t="s">
        <v>15</v>
      </c>
      <c r="AM8">
        <v>48.5</v>
      </c>
      <c r="AN8">
        <v>46</v>
      </c>
      <c r="AO8">
        <v>41</v>
      </c>
      <c r="AP8">
        <v>47</v>
      </c>
      <c r="AQ8">
        <v>48.5</v>
      </c>
      <c r="AR8" s="17">
        <f t="shared" si="5"/>
        <v>38.5</v>
      </c>
      <c r="AS8" s="17">
        <f t="shared" si="6"/>
        <v>97.79</v>
      </c>
    </row>
    <row r="9" spans="1:45" x14ac:dyDescent="0.3">
      <c r="A9" t="s">
        <v>16</v>
      </c>
      <c r="B9" s="17">
        <f>(36+18+24)/3</f>
        <v>26</v>
      </c>
      <c r="C9" s="17">
        <f t="shared" ref="C9:C29" si="7">(B9*4)/7</f>
        <v>14.857142857142858</v>
      </c>
      <c r="D9" s="31">
        <f t="shared" ref="D9:D40" si="8">(C9*43560)</f>
        <v>647177.14285714284</v>
      </c>
      <c r="F9">
        <v>152</v>
      </c>
      <c r="G9" s="16">
        <f t="shared" si="0"/>
        <v>551760</v>
      </c>
      <c r="H9" s="30">
        <f t="shared" si="1"/>
        <v>85.256410256410248</v>
      </c>
      <c r="I9">
        <v>5.68</v>
      </c>
      <c r="J9">
        <v>3.5</v>
      </c>
      <c r="K9">
        <f t="shared" si="2"/>
        <v>2.1799999999999997</v>
      </c>
      <c r="L9" s="1">
        <v>30.02</v>
      </c>
      <c r="M9" s="30">
        <f t="shared" si="3"/>
        <v>5537.7973200000006</v>
      </c>
      <c r="N9" s="30">
        <f t="shared" si="4"/>
        <v>6.1043766234428301</v>
      </c>
      <c r="O9" s="20" t="s">
        <v>16</v>
      </c>
      <c r="P9" t="s">
        <v>178</v>
      </c>
      <c r="Q9">
        <v>6.16</v>
      </c>
      <c r="R9">
        <v>5.75</v>
      </c>
      <c r="S9">
        <v>6.8</v>
      </c>
      <c r="T9">
        <v>6.03</v>
      </c>
      <c r="U9">
        <v>4.5</v>
      </c>
      <c r="V9">
        <v>5.33</v>
      </c>
      <c r="W9">
        <v>6.03</v>
      </c>
      <c r="X9">
        <v>6.96</v>
      </c>
      <c r="Y9">
        <v>4.51</v>
      </c>
      <c r="Z9">
        <v>4.6100000000000003</v>
      </c>
      <c r="AA9">
        <v>3.82</v>
      </c>
      <c r="AB9">
        <v>1.52</v>
      </c>
      <c r="AC9">
        <v>2.0299999999999998</v>
      </c>
      <c r="AD9">
        <v>4.33</v>
      </c>
      <c r="AE9">
        <v>2.41</v>
      </c>
      <c r="AF9">
        <v>2.92</v>
      </c>
      <c r="AG9">
        <v>4.0199999999999996</v>
      </c>
      <c r="AH9">
        <v>3.55</v>
      </c>
      <c r="AI9">
        <v>2.31</v>
      </c>
      <c r="AJ9">
        <v>2.4500000000000002</v>
      </c>
      <c r="AL9" s="20" t="s">
        <v>16</v>
      </c>
      <c r="AM9">
        <v>46</v>
      </c>
      <c r="AN9">
        <v>44.5</v>
      </c>
      <c r="AO9">
        <v>39</v>
      </c>
      <c r="AP9">
        <v>44</v>
      </c>
      <c r="AQ9">
        <v>43.5</v>
      </c>
      <c r="AR9" s="17">
        <f t="shared" si="5"/>
        <v>36.166666666666664</v>
      </c>
      <c r="AS9" s="17">
        <f t="shared" si="6"/>
        <v>91.86333333333333</v>
      </c>
    </row>
    <row r="10" spans="1:45" x14ac:dyDescent="0.3">
      <c r="A10" t="s">
        <v>17</v>
      </c>
      <c r="B10" s="17">
        <f>(34+38+56)/3</f>
        <v>42.666666666666664</v>
      </c>
      <c r="C10" s="17">
        <f t="shared" si="7"/>
        <v>24.38095238095238</v>
      </c>
      <c r="D10" s="31">
        <f t="shared" si="8"/>
        <v>1062034.2857142857</v>
      </c>
      <c r="F10">
        <v>253</v>
      </c>
      <c r="G10" s="16">
        <f t="shared" si="0"/>
        <v>918390.00000000012</v>
      </c>
      <c r="H10" s="30">
        <f t="shared" si="1"/>
        <v>86.474609375000014</v>
      </c>
      <c r="I10">
        <v>5.96</v>
      </c>
      <c r="J10">
        <v>3.5</v>
      </c>
      <c r="K10">
        <f t="shared" si="2"/>
        <v>2.46</v>
      </c>
      <c r="L10" s="1">
        <v>30.43</v>
      </c>
      <c r="M10" s="30">
        <f t="shared" si="3"/>
        <v>6212.4618599999994</v>
      </c>
      <c r="N10" s="30">
        <f t="shared" si="4"/>
        <v>6.8480669769644358</v>
      </c>
      <c r="O10" s="20" t="s">
        <v>17</v>
      </c>
      <c r="P10" t="s">
        <v>179</v>
      </c>
      <c r="Q10">
        <v>5.05</v>
      </c>
      <c r="R10">
        <v>4.92</v>
      </c>
      <c r="S10">
        <v>6.36</v>
      </c>
      <c r="T10">
        <v>5.03</v>
      </c>
      <c r="U10">
        <v>5.03</v>
      </c>
      <c r="V10">
        <v>3.51</v>
      </c>
      <c r="W10">
        <v>3.3</v>
      </c>
      <c r="X10">
        <v>4.1900000000000004</v>
      </c>
      <c r="Y10">
        <v>4.0999999999999996</v>
      </c>
      <c r="Z10">
        <v>4.66</v>
      </c>
      <c r="AA10">
        <v>3.53</v>
      </c>
      <c r="AB10">
        <v>3.16</v>
      </c>
      <c r="AC10">
        <v>2.62</v>
      </c>
      <c r="AD10">
        <v>2.54</v>
      </c>
      <c r="AE10">
        <v>2.41</v>
      </c>
      <c r="AF10">
        <v>2.1</v>
      </c>
      <c r="AG10">
        <v>2.0699999999999998</v>
      </c>
      <c r="AH10">
        <v>2.88</v>
      </c>
      <c r="AI10">
        <v>2.59</v>
      </c>
      <c r="AJ10">
        <v>2.62</v>
      </c>
      <c r="AL10" s="20" t="s">
        <v>17</v>
      </c>
      <c r="AM10">
        <v>47</v>
      </c>
      <c r="AN10">
        <v>45</v>
      </c>
      <c r="AO10">
        <v>52</v>
      </c>
      <c r="AP10">
        <v>53.5</v>
      </c>
      <c r="AQ10">
        <v>49.5</v>
      </c>
      <c r="AR10" s="17">
        <f t="shared" si="5"/>
        <v>41.166666666666664</v>
      </c>
      <c r="AS10" s="17">
        <f t="shared" si="6"/>
        <v>104.56333333333333</v>
      </c>
    </row>
    <row r="11" spans="1:45" x14ac:dyDescent="0.3">
      <c r="A11" t="s">
        <v>18</v>
      </c>
      <c r="B11" s="17">
        <f>(85+57+50)/3</f>
        <v>64</v>
      </c>
      <c r="C11" s="17">
        <f t="shared" si="7"/>
        <v>36.571428571428569</v>
      </c>
      <c r="D11" s="31">
        <f t="shared" si="8"/>
        <v>1593051.4285714284</v>
      </c>
      <c r="F11">
        <v>339</v>
      </c>
      <c r="G11" s="16">
        <f t="shared" si="0"/>
        <v>1230570</v>
      </c>
      <c r="H11" s="30">
        <f t="shared" si="1"/>
        <v>77.246093750000014</v>
      </c>
      <c r="I11">
        <v>7.2</v>
      </c>
      <c r="J11">
        <v>3.5</v>
      </c>
      <c r="K11">
        <f t="shared" si="2"/>
        <v>3.7</v>
      </c>
      <c r="L11" s="1">
        <v>27.52</v>
      </c>
      <c r="M11" s="30">
        <f t="shared" si="3"/>
        <v>9734.7888000000039</v>
      </c>
      <c r="N11" s="30">
        <f t="shared" si="4"/>
        <v>10.730767803700171</v>
      </c>
      <c r="O11" s="20" t="s">
        <v>18</v>
      </c>
      <c r="P11" t="s">
        <v>180</v>
      </c>
      <c r="Q11">
        <v>4.3899999999999997</v>
      </c>
      <c r="R11">
        <v>4.34</v>
      </c>
      <c r="S11">
        <v>3.79</v>
      </c>
      <c r="T11">
        <v>5.23</v>
      </c>
      <c r="U11">
        <v>7.72</v>
      </c>
      <c r="V11">
        <v>5.6</v>
      </c>
      <c r="W11">
        <v>5</v>
      </c>
      <c r="X11">
        <v>5.01</v>
      </c>
      <c r="Y11">
        <v>4.1399999999999997</v>
      </c>
      <c r="Z11">
        <v>4.45</v>
      </c>
      <c r="AA11">
        <v>2.64</v>
      </c>
      <c r="AB11">
        <v>2.0299999999999998</v>
      </c>
      <c r="AC11">
        <v>2.38</v>
      </c>
      <c r="AD11">
        <v>3.25</v>
      </c>
      <c r="AE11">
        <v>4.3099999999999996</v>
      </c>
      <c r="AF11">
        <v>2.57</v>
      </c>
      <c r="AG11">
        <v>3</v>
      </c>
      <c r="AH11">
        <v>4</v>
      </c>
      <c r="AI11">
        <v>3.33</v>
      </c>
      <c r="AJ11">
        <v>2.56</v>
      </c>
      <c r="AL11" s="20" t="s">
        <v>18</v>
      </c>
      <c r="AM11">
        <v>52</v>
      </c>
      <c r="AN11">
        <v>54</v>
      </c>
      <c r="AO11">
        <v>58.5</v>
      </c>
      <c r="AP11">
        <v>57.5</v>
      </c>
      <c r="AQ11">
        <v>55.5</v>
      </c>
      <c r="AR11" s="17">
        <f t="shared" si="5"/>
        <v>46.25</v>
      </c>
      <c r="AS11" s="17">
        <f t="shared" si="6"/>
        <v>117.47500000000001</v>
      </c>
    </row>
    <row r="12" spans="1:45" x14ac:dyDescent="0.3">
      <c r="A12" t="s">
        <v>19</v>
      </c>
      <c r="B12" s="17">
        <f>(29+22+25)/3</f>
        <v>25.333333333333332</v>
      </c>
      <c r="C12" s="17">
        <f t="shared" si="7"/>
        <v>14.476190476190476</v>
      </c>
      <c r="D12" s="31">
        <f t="shared" si="8"/>
        <v>630582.85714285716</v>
      </c>
      <c r="F12">
        <v>196</v>
      </c>
      <c r="G12" s="16">
        <f t="shared" si="0"/>
        <v>711480.00000000012</v>
      </c>
      <c r="H12" s="30">
        <f t="shared" si="1"/>
        <v>112.82894736842107</v>
      </c>
      <c r="I12">
        <v>5.62</v>
      </c>
      <c r="J12">
        <v>3.5</v>
      </c>
      <c r="K12">
        <f t="shared" si="2"/>
        <v>2.12</v>
      </c>
      <c r="L12" s="1">
        <v>30.88</v>
      </c>
      <c r="M12" s="30">
        <f t="shared" si="3"/>
        <v>5319.1987200000003</v>
      </c>
      <c r="N12" s="30">
        <f t="shared" si="4"/>
        <v>5.8634129141105911</v>
      </c>
      <c r="O12" s="20" t="s">
        <v>19</v>
      </c>
      <c r="P12" t="s">
        <v>181</v>
      </c>
      <c r="Q12">
        <v>4.53</v>
      </c>
      <c r="R12">
        <v>5.5</v>
      </c>
      <c r="S12">
        <v>5.36</v>
      </c>
      <c r="T12">
        <v>5.65</v>
      </c>
      <c r="U12">
        <v>5.56</v>
      </c>
      <c r="V12">
        <v>7.4</v>
      </c>
      <c r="W12">
        <v>3.46</v>
      </c>
      <c r="X12">
        <v>5.8</v>
      </c>
      <c r="Y12">
        <v>5.49</v>
      </c>
      <c r="Z12">
        <v>4.12</v>
      </c>
      <c r="AA12">
        <v>2.62</v>
      </c>
      <c r="AB12">
        <v>3.75</v>
      </c>
      <c r="AC12">
        <v>3.14</v>
      </c>
      <c r="AD12">
        <v>3.83</v>
      </c>
      <c r="AE12">
        <v>3.7</v>
      </c>
      <c r="AF12">
        <v>4.28</v>
      </c>
      <c r="AG12">
        <v>2.36</v>
      </c>
      <c r="AH12">
        <v>4</v>
      </c>
      <c r="AI12">
        <v>3.33</v>
      </c>
      <c r="AJ12">
        <v>2.56</v>
      </c>
      <c r="AL12" s="20" t="s">
        <v>19</v>
      </c>
      <c r="AM12">
        <v>43</v>
      </c>
      <c r="AN12">
        <v>47.5</v>
      </c>
      <c r="AO12">
        <v>38</v>
      </c>
      <c r="AP12">
        <v>41</v>
      </c>
      <c r="AQ12">
        <v>52</v>
      </c>
      <c r="AR12" s="17">
        <f t="shared" si="5"/>
        <v>36.916666666666664</v>
      </c>
      <c r="AS12" s="17">
        <f t="shared" si="6"/>
        <v>93.768333333333331</v>
      </c>
    </row>
    <row r="13" spans="1:45" x14ac:dyDescent="0.3">
      <c r="A13" t="s">
        <v>20</v>
      </c>
      <c r="B13" s="17">
        <f>(23+36+37)/3</f>
        <v>32</v>
      </c>
      <c r="C13" s="17">
        <f t="shared" si="7"/>
        <v>18.285714285714285</v>
      </c>
      <c r="D13" s="31">
        <f t="shared" si="8"/>
        <v>796525.7142857142</v>
      </c>
      <c r="F13">
        <v>179</v>
      </c>
      <c r="G13" s="16">
        <f t="shared" si="0"/>
        <v>649770.00000000012</v>
      </c>
      <c r="H13" s="30">
        <f t="shared" si="1"/>
        <v>81.575520833333357</v>
      </c>
      <c r="I13">
        <v>5.74</v>
      </c>
      <c r="J13">
        <v>3.5</v>
      </c>
      <c r="K13">
        <f t="shared" si="2"/>
        <v>2.2400000000000002</v>
      </c>
      <c r="L13" s="1">
        <v>28.3</v>
      </c>
      <c r="M13" s="30">
        <f t="shared" si="3"/>
        <v>5830.0704000000023</v>
      </c>
      <c r="N13" s="30">
        <f t="shared" si="4"/>
        <v>6.4265525454055439</v>
      </c>
      <c r="O13" s="20" t="s">
        <v>20</v>
      </c>
      <c r="P13" t="s">
        <v>182</v>
      </c>
      <c r="Q13">
        <v>6.02</v>
      </c>
      <c r="R13">
        <v>4.13</v>
      </c>
      <c r="S13">
        <v>4.03</v>
      </c>
      <c r="T13">
        <v>3.7</v>
      </c>
      <c r="U13">
        <v>2.97</v>
      </c>
      <c r="V13">
        <v>4.91</v>
      </c>
      <c r="W13">
        <v>5.2</v>
      </c>
      <c r="X13">
        <v>6.6</v>
      </c>
      <c r="Y13">
        <v>7.8</v>
      </c>
      <c r="Z13">
        <v>6.19</v>
      </c>
      <c r="AA13">
        <v>4.22</v>
      </c>
      <c r="AB13">
        <v>2.5499999999999998</v>
      </c>
      <c r="AC13">
        <v>2.5099999999999998</v>
      </c>
      <c r="AD13">
        <v>2.4700000000000002</v>
      </c>
      <c r="AE13">
        <v>2.11</v>
      </c>
      <c r="AF13">
        <v>2.69</v>
      </c>
      <c r="AG13">
        <v>3.66</v>
      </c>
      <c r="AH13">
        <v>3.83</v>
      </c>
      <c r="AI13">
        <v>5.44</v>
      </c>
      <c r="AJ13">
        <v>3.57</v>
      </c>
      <c r="AL13" s="20" t="s">
        <v>20</v>
      </c>
      <c r="AM13">
        <v>44</v>
      </c>
      <c r="AN13">
        <v>43</v>
      </c>
      <c r="AO13">
        <v>46</v>
      </c>
      <c r="AP13">
        <v>50</v>
      </c>
      <c r="AQ13">
        <v>50</v>
      </c>
      <c r="AR13" s="17">
        <f t="shared" si="5"/>
        <v>38.833333333333336</v>
      </c>
      <c r="AS13" s="17">
        <f t="shared" si="6"/>
        <v>98.63666666666667</v>
      </c>
    </row>
    <row r="14" spans="1:45" x14ac:dyDescent="0.3">
      <c r="A14" t="s">
        <v>21</v>
      </c>
      <c r="B14" s="17">
        <f>(83+55+57)/3</f>
        <v>65</v>
      </c>
      <c r="C14" s="17">
        <f t="shared" si="7"/>
        <v>37.142857142857146</v>
      </c>
      <c r="D14" s="31">
        <f t="shared" si="8"/>
        <v>1617942.8571428573</v>
      </c>
      <c r="F14">
        <v>337</v>
      </c>
      <c r="G14" s="16">
        <f t="shared" si="0"/>
        <v>1223310</v>
      </c>
      <c r="H14" s="30">
        <f t="shared" si="1"/>
        <v>75.608974358974351</v>
      </c>
      <c r="I14">
        <v>6.68</v>
      </c>
      <c r="J14">
        <v>3.5</v>
      </c>
      <c r="K14">
        <f t="shared" si="2"/>
        <v>3.1799999999999997</v>
      </c>
      <c r="L14" s="1">
        <v>35.229999999999997</v>
      </c>
      <c r="M14" s="30">
        <f t="shared" si="3"/>
        <v>7476.6601800000008</v>
      </c>
      <c r="N14" s="30">
        <f t="shared" si="4"/>
        <v>8.2416070843520615</v>
      </c>
      <c r="O14" s="20" t="s">
        <v>21</v>
      </c>
      <c r="P14" t="s">
        <v>183</v>
      </c>
      <c r="Q14">
        <v>3.53</v>
      </c>
      <c r="R14">
        <v>4.8499999999999996</v>
      </c>
      <c r="S14">
        <v>5.74</v>
      </c>
      <c r="T14">
        <v>4.63</v>
      </c>
      <c r="U14">
        <v>3.94</v>
      </c>
      <c r="V14">
        <v>3.81</v>
      </c>
      <c r="W14">
        <v>5.28</v>
      </c>
      <c r="X14">
        <v>4.4400000000000004</v>
      </c>
      <c r="Y14">
        <v>4.55</v>
      </c>
      <c r="Z14">
        <v>3.55</v>
      </c>
      <c r="AA14">
        <v>2.2400000000000002</v>
      </c>
      <c r="AB14">
        <v>2.41</v>
      </c>
      <c r="AC14">
        <v>2.88</v>
      </c>
      <c r="AD14">
        <v>2.36</v>
      </c>
      <c r="AE14">
        <v>2.13</v>
      </c>
      <c r="AF14">
        <v>2.25</v>
      </c>
      <c r="AG14">
        <v>2.64</v>
      </c>
      <c r="AH14">
        <v>2.9</v>
      </c>
      <c r="AI14">
        <v>2.57</v>
      </c>
      <c r="AJ14">
        <v>2.2400000000000002</v>
      </c>
      <c r="AL14" s="20" t="s">
        <v>21</v>
      </c>
      <c r="AM14">
        <v>50</v>
      </c>
      <c r="AN14">
        <v>53</v>
      </c>
      <c r="AO14">
        <v>50</v>
      </c>
      <c r="AP14">
        <v>51.5</v>
      </c>
      <c r="AQ14">
        <v>55</v>
      </c>
      <c r="AR14" s="17">
        <f t="shared" si="5"/>
        <v>43.25</v>
      </c>
      <c r="AS14" s="17">
        <f t="shared" si="6"/>
        <v>109.855</v>
      </c>
    </row>
    <row r="15" spans="1:45" x14ac:dyDescent="0.3">
      <c r="A15" t="s">
        <v>77</v>
      </c>
      <c r="B15" s="17">
        <f>(29+27+33)/3</f>
        <v>29.666666666666668</v>
      </c>
      <c r="C15" s="17">
        <f t="shared" si="7"/>
        <v>16.952380952380953</v>
      </c>
      <c r="D15" s="31">
        <f t="shared" si="8"/>
        <v>738445.71428571432</v>
      </c>
      <c r="F15">
        <v>182</v>
      </c>
      <c r="G15" s="16">
        <f t="shared" si="0"/>
        <v>660660.00000000012</v>
      </c>
      <c r="H15" s="30">
        <f t="shared" si="1"/>
        <v>89.466292134831477</v>
      </c>
      <c r="I15">
        <v>7.36</v>
      </c>
      <c r="J15">
        <v>3.5</v>
      </c>
      <c r="K15">
        <f t="shared" si="2"/>
        <v>3.8600000000000003</v>
      </c>
      <c r="L15" s="1">
        <v>32.42</v>
      </c>
      <c r="M15" s="30">
        <f t="shared" si="3"/>
        <v>9469.1744400000007</v>
      </c>
      <c r="N15" s="30">
        <f t="shared" si="4"/>
        <v>10.437978090328222</v>
      </c>
      <c r="O15" s="20" t="s">
        <v>77</v>
      </c>
      <c r="P15" t="s">
        <v>5</v>
      </c>
      <c r="Q15">
        <v>4.9000000000000004</v>
      </c>
      <c r="R15">
        <v>5.59</v>
      </c>
      <c r="S15">
        <v>7</v>
      </c>
      <c r="T15">
        <v>7.32</v>
      </c>
      <c r="U15">
        <v>6.4</v>
      </c>
      <c r="V15">
        <v>7.67</v>
      </c>
      <c r="W15">
        <v>8.64</v>
      </c>
      <c r="X15">
        <v>7.34</v>
      </c>
      <c r="Y15">
        <v>6.08</v>
      </c>
      <c r="Z15">
        <v>4.57</v>
      </c>
      <c r="AA15">
        <v>2.02</v>
      </c>
      <c r="AB15">
        <v>3.32</v>
      </c>
      <c r="AC15">
        <v>4.8</v>
      </c>
      <c r="AD15">
        <v>3.68</v>
      </c>
      <c r="AE15">
        <v>3.49</v>
      </c>
      <c r="AF15">
        <v>5.05</v>
      </c>
      <c r="AG15">
        <v>4.7</v>
      </c>
      <c r="AH15">
        <v>4.49</v>
      </c>
      <c r="AI15">
        <v>3.56</v>
      </c>
      <c r="AJ15">
        <v>2.21</v>
      </c>
      <c r="AL15" s="20" t="s">
        <v>77</v>
      </c>
      <c r="AM15">
        <v>76</v>
      </c>
      <c r="AN15">
        <v>73.5</v>
      </c>
      <c r="AO15">
        <v>82.5</v>
      </c>
      <c r="AP15">
        <v>67</v>
      </c>
      <c r="AQ15">
        <v>79</v>
      </c>
      <c r="AR15" s="17">
        <f t="shared" si="5"/>
        <v>63</v>
      </c>
      <c r="AS15" s="17">
        <f t="shared" si="6"/>
        <v>160.02000000000001</v>
      </c>
    </row>
    <row r="16" spans="1:45" x14ac:dyDescent="0.3">
      <c r="A16" t="s">
        <v>78</v>
      </c>
      <c r="B16" s="17">
        <f>(51+60+43)/3</f>
        <v>51.333333333333336</v>
      </c>
      <c r="C16" s="17">
        <f t="shared" si="7"/>
        <v>29.333333333333336</v>
      </c>
      <c r="D16" s="31">
        <f t="shared" si="8"/>
        <v>1277760</v>
      </c>
      <c r="F16">
        <v>376</v>
      </c>
      <c r="G16" s="16">
        <f t="shared" si="0"/>
        <v>1364880.0000000002</v>
      </c>
      <c r="H16" s="30">
        <f t="shared" si="1"/>
        <v>106.81818181818184</v>
      </c>
      <c r="I16">
        <v>6.58</v>
      </c>
      <c r="J16">
        <v>3.5</v>
      </c>
      <c r="K16">
        <f t="shared" si="2"/>
        <v>3.08</v>
      </c>
      <c r="L16" s="1">
        <v>29.18</v>
      </c>
      <c r="M16" s="30">
        <f t="shared" si="3"/>
        <v>7917.95928</v>
      </c>
      <c r="N16" s="30">
        <f t="shared" si="4"/>
        <v>8.7280560737828186</v>
      </c>
      <c r="O16" s="20" t="s">
        <v>78</v>
      </c>
      <c r="P16" t="s">
        <v>6</v>
      </c>
      <c r="Q16">
        <v>5.51</v>
      </c>
      <c r="R16">
        <v>4.33</v>
      </c>
      <c r="S16">
        <v>5.28</v>
      </c>
      <c r="T16">
        <v>0.91</v>
      </c>
      <c r="U16">
        <v>3.83</v>
      </c>
      <c r="V16">
        <v>4.34</v>
      </c>
      <c r="W16">
        <v>4.51</v>
      </c>
      <c r="X16">
        <v>3.25</v>
      </c>
      <c r="Y16">
        <v>2.3199999999999998</v>
      </c>
      <c r="Z16">
        <v>4.12</v>
      </c>
      <c r="AA16">
        <v>3.12</v>
      </c>
      <c r="AB16">
        <v>3.22</v>
      </c>
      <c r="AC16">
        <v>2.82</v>
      </c>
      <c r="AD16">
        <v>0.78</v>
      </c>
      <c r="AE16">
        <v>1.83</v>
      </c>
      <c r="AF16">
        <v>2.4700000000000002</v>
      </c>
      <c r="AG16">
        <v>3.19</v>
      </c>
      <c r="AH16">
        <v>2.67</v>
      </c>
      <c r="AI16">
        <v>2.1</v>
      </c>
      <c r="AJ16">
        <v>2.2000000000000002</v>
      </c>
      <c r="AL16" s="20" t="s">
        <v>78</v>
      </c>
      <c r="AM16">
        <v>58</v>
      </c>
      <c r="AN16">
        <v>52</v>
      </c>
      <c r="AO16">
        <v>53</v>
      </c>
      <c r="AP16">
        <v>54</v>
      </c>
      <c r="AQ16">
        <v>55.5</v>
      </c>
      <c r="AR16" s="17">
        <f t="shared" si="5"/>
        <v>45.416666666666664</v>
      </c>
      <c r="AS16" s="17">
        <f t="shared" si="6"/>
        <v>115.35833333333333</v>
      </c>
    </row>
    <row r="17" spans="1:45" x14ac:dyDescent="0.3">
      <c r="A17" t="s">
        <v>79</v>
      </c>
      <c r="B17" s="17">
        <f>(37+45+43)/3</f>
        <v>41.666666666666664</v>
      </c>
      <c r="C17" s="17">
        <f t="shared" si="7"/>
        <v>23.809523809523807</v>
      </c>
      <c r="D17" s="31">
        <f t="shared" si="8"/>
        <v>1037142.857142857</v>
      </c>
      <c r="F17">
        <v>136</v>
      </c>
      <c r="G17" s="16">
        <f t="shared" si="0"/>
        <v>493680.00000000006</v>
      </c>
      <c r="H17" s="30">
        <f t="shared" si="1"/>
        <v>47.600000000000009</v>
      </c>
      <c r="I17">
        <v>6.6</v>
      </c>
      <c r="J17">
        <v>3.5</v>
      </c>
      <c r="K17">
        <f t="shared" si="2"/>
        <v>3.0999999999999996</v>
      </c>
      <c r="L17" s="1">
        <v>31.08</v>
      </c>
      <c r="M17" s="30">
        <f t="shared" si="3"/>
        <v>7755.5676000000003</v>
      </c>
      <c r="N17" s="30">
        <f t="shared" si="4"/>
        <v>8.5490498881188035</v>
      </c>
      <c r="O17" s="20" t="s">
        <v>79</v>
      </c>
      <c r="P17" t="s">
        <v>153</v>
      </c>
      <c r="Q17">
        <v>11.14</v>
      </c>
      <c r="R17">
        <v>7.5</v>
      </c>
      <c r="S17">
        <v>5.5</v>
      </c>
      <c r="T17">
        <v>5.43</v>
      </c>
      <c r="U17">
        <v>6.74</v>
      </c>
      <c r="V17">
        <v>6.48</v>
      </c>
      <c r="W17">
        <v>5.24</v>
      </c>
      <c r="X17">
        <v>4.5599999999999996</v>
      </c>
      <c r="Y17">
        <v>5.34</v>
      </c>
      <c r="Z17">
        <v>4.79</v>
      </c>
      <c r="AA17">
        <v>6.78</v>
      </c>
      <c r="AB17">
        <v>4.0199999999999996</v>
      </c>
      <c r="AC17">
        <v>4.5199999999999996</v>
      </c>
      <c r="AD17">
        <v>2.2400000000000002</v>
      </c>
      <c r="AE17">
        <v>3.47</v>
      </c>
      <c r="AF17">
        <v>2.89</v>
      </c>
      <c r="AG17">
        <v>2.85</v>
      </c>
      <c r="AH17">
        <v>3.15</v>
      </c>
      <c r="AI17">
        <v>2.96</v>
      </c>
      <c r="AJ17">
        <v>2.37</v>
      </c>
      <c r="AL17" s="20" t="s">
        <v>79</v>
      </c>
      <c r="AM17">
        <v>67</v>
      </c>
      <c r="AN17">
        <v>64.5</v>
      </c>
      <c r="AO17">
        <v>69.5</v>
      </c>
      <c r="AP17">
        <v>66</v>
      </c>
      <c r="AQ17">
        <v>65</v>
      </c>
      <c r="AR17" s="17">
        <f t="shared" si="5"/>
        <v>55.333333333333336</v>
      </c>
      <c r="AS17" s="17">
        <f t="shared" si="6"/>
        <v>140.54666666666668</v>
      </c>
    </row>
    <row r="18" spans="1:45" x14ac:dyDescent="0.3">
      <c r="A18" t="s">
        <v>80</v>
      </c>
      <c r="B18" s="17">
        <f>(68+51+50)/3</f>
        <v>56.333333333333336</v>
      </c>
      <c r="C18" s="17">
        <f t="shared" si="7"/>
        <v>32.19047619047619</v>
      </c>
      <c r="D18" s="31">
        <f t="shared" si="8"/>
        <v>1402217.1428571427</v>
      </c>
      <c r="F18">
        <v>332</v>
      </c>
      <c r="G18" s="16">
        <f t="shared" si="0"/>
        <v>1205160</v>
      </c>
      <c r="H18" s="30">
        <f t="shared" si="1"/>
        <v>85.946745562130189</v>
      </c>
      <c r="I18">
        <v>6.22</v>
      </c>
      <c r="J18">
        <v>3.5</v>
      </c>
      <c r="K18">
        <f t="shared" si="2"/>
        <v>2.7199999999999998</v>
      </c>
      <c r="L18" s="1">
        <v>32.51</v>
      </c>
      <c r="M18" s="30">
        <f t="shared" si="3"/>
        <v>6663.6926400000011</v>
      </c>
      <c r="N18" s="30">
        <f t="shared" si="4"/>
        <v>7.3454637695956775</v>
      </c>
      <c r="O18" s="20" t="s">
        <v>80</v>
      </c>
      <c r="P18" t="s">
        <v>152</v>
      </c>
      <c r="Q18">
        <v>3.85</v>
      </c>
      <c r="R18">
        <v>3.35</v>
      </c>
      <c r="S18">
        <v>3.68</v>
      </c>
      <c r="T18">
        <v>3.71</v>
      </c>
      <c r="U18">
        <v>4.62</v>
      </c>
      <c r="V18">
        <v>3.65</v>
      </c>
      <c r="W18">
        <v>3.9</v>
      </c>
      <c r="X18">
        <v>3.66</v>
      </c>
      <c r="Y18">
        <v>4.04</v>
      </c>
      <c r="Z18">
        <v>4.1900000000000004</v>
      </c>
      <c r="AA18">
        <v>1.94</v>
      </c>
      <c r="AB18">
        <v>2.19</v>
      </c>
      <c r="AC18">
        <v>1.22</v>
      </c>
      <c r="AD18">
        <v>2.08</v>
      </c>
      <c r="AE18">
        <v>2.66</v>
      </c>
      <c r="AF18">
        <v>2.0299999999999998</v>
      </c>
      <c r="AG18">
        <v>2.02</v>
      </c>
      <c r="AH18">
        <v>2.2599999999999998</v>
      </c>
      <c r="AI18">
        <v>2.35</v>
      </c>
      <c r="AJ18">
        <v>2.36</v>
      </c>
      <c r="AL18" s="20" t="s">
        <v>80</v>
      </c>
      <c r="AM18">
        <v>47</v>
      </c>
      <c r="AN18">
        <v>48</v>
      </c>
      <c r="AO18">
        <v>55</v>
      </c>
      <c r="AP18">
        <v>50.5</v>
      </c>
      <c r="AQ18">
        <v>49</v>
      </c>
      <c r="AR18" s="17">
        <f t="shared" si="5"/>
        <v>41.583333333333336</v>
      </c>
      <c r="AS18" s="17">
        <f t="shared" si="6"/>
        <v>105.62166666666667</v>
      </c>
    </row>
    <row r="19" spans="1:45" x14ac:dyDescent="0.3">
      <c r="A19" t="s">
        <v>81</v>
      </c>
      <c r="B19" s="17">
        <f>(64+72+67)/3</f>
        <v>67.666666666666671</v>
      </c>
      <c r="C19" s="17">
        <f t="shared" si="7"/>
        <v>38.666666666666671</v>
      </c>
      <c r="D19" s="31">
        <f t="shared" si="8"/>
        <v>1684320.0000000002</v>
      </c>
      <c r="F19">
        <v>336</v>
      </c>
      <c r="G19" s="16">
        <f t="shared" si="0"/>
        <v>1219680</v>
      </c>
      <c r="H19" s="30">
        <f t="shared" si="1"/>
        <v>72.41379310344827</v>
      </c>
      <c r="I19">
        <v>6.24</v>
      </c>
      <c r="J19">
        <v>3.5</v>
      </c>
      <c r="K19">
        <f t="shared" si="2"/>
        <v>2.74</v>
      </c>
      <c r="L19" s="1">
        <v>36.79</v>
      </c>
      <c r="M19" s="30">
        <f t="shared" si="3"/>
        <v>6286.9930200000008</v>
      </c>
      <c r="N19" s="30">
        <f t="shared" si="4"/>
        <v>6.9302235176487539</v>
      </c>
      <c r="O19" s="20" t="s">
        <v>81</v>
      </c>
      <c r="P19" t="s">
        <v>184</v>
      </c>
      <c r="Q19">
        <v>4.79</v>
      </c>
      <c r="R19">
        <v>4.32</v>
      </c>
      <c r="S19">
        <v>3.4</v>
      </c>
      <c r="T19">
        <v>3.82</v>
      </c>
      <c r="U19">
        <v>5.63</v>
      </c>
      <c r="V19">
        <v>4.1900000000000004</v>
      </c>
      <c r="W19">
        <v>3.8</v>
      </c>
      <c r="X19">
        <v>3.43</v>
      </c>
      <c r="Y19">
        <v>4</v>
      </c>
      <c r="Z19">
        <v>3.7</v>
      </c>
      <c r="AA19">
        <v>2.94</v>
      </c>
      <c r="AB19">
        <v>2.4</v>
      </c>
      <c r="AC19">
        <v>1.98</v>
      </c>
      <c r="AD19">
        <v>2.41</v>
      </c>
      <c r="AE19">
        <v>2.56</v>
      </c>
      <c r="AF19">
        <v>2.63</v>
      </c>
      <c r="AG19">
        <v>2.0499999999999998</v>
      </c>
      <c r="AH19">
        <v>1.45</v>
      </c>
      <c r="AI19">
        <v>1.98</v>
      </c>
      <c r="AJ19">
        <v>2.61</v>
      </c>
      <c r="AL19" s="20" t="s">
        <v>81</v>
      </c>
      <c r="AM19">
        <v>46</v>
      </c>
      <c r="AN19">
        <v>51</v>
      </c>
      <c r="AO19">
        <v>54</v>
      </c>
      <c r="AP19">
        <v>57.5</v>
      </c>
      <c r="AQ19">
        <v>55</v>
      </c>
      <c r="AR19" s="17">
        <f t="shared" si="5"/>
        <v>43.916666666666664</v>
      </c>
      <c r="AS19" s="17">
        <f t="shared" si="6"/>
        <v>111.54833333333333</v>
      </c>
    </row>
    <row r="20" spans="1:45" x14ac:dyDescent="0.3">
      <c r="A20" t="s">
        <v>82</v>
      </c>
      <c r="B20" s="17">
        <f>(79+77+61)/3</f>
        <v>72.333333333333329</v>
      </c>
      <c r="C20" s="17">
        <f t="shared" si="7"/>
        <v>41.333333333333329</v>
      </c>
      <c r="D20" s="31">
        <f t="shared" si="8"/>
        <v>1800479.9999999998</v>
      </c>
      <c r="F20">
        <v>366</v>
      </c>
      <c r="G20" s="16">
        <f t="shared" si="0"/>
        <v>1328580.0000000002</v>
      </c>
      <c r="H20" s="30">
        <f t="shared" si="1"/>
        <v>73.790322580645181</v>
      </c>
      <c r="I20">
        <v>6.38</v>
      </c>
      <c r="J20">
        <v>3.5</v>
      </c>
      <c r="K20">
        <f t="shared" si="2"/>
        <v>2.88</v>
      </c>
      <c r="L20" s="1">
        <v>32.979999999999997</v>
      </c>
      <c r="M20" s="30">
        <f t="shared" si="3"/>
        <v>7006.538880000001</v>
      </c>
      <c r="N20" s="30">
        <f t="shared" si="4"/>
        <v>7.7233870578555788</v>
      </c>
      <c r="O20" s="20" t="s">
        <v>82</v>
      </c>
      <c r="P20" t="s">
        <v>76</v>
      </c>
      <c r="Q20">
        <v>3.34</v>
      </c>
      <c r="R20">
        <v>5.64</v>
      </c>
      <c r="S20">
        <v>2.7</v>
      </c>
      <c r="T20">
        <v>4.6500000000000004</v>
      </c>
      <c r="U20">
        <v>4.29</v>
      </c>
      <c r="V20">
        <v>5.47</v>
      </c>
      <c r="W20">
        <v>4.24</v>
      </c>
      <c r="X20">
        <v>4.13</v>
      </c>
      <c r="Y20">
        <v>3.77</v>
      </c>
      <c r="Z20">
        <v>2.46</v>
      </c>
      <c r="AA20">
        <v>1.76</v>
      </c>
      <c r="AB20">
        <v>3.02</v>
      </c>
      <c r="AC20">
        <v>1.39</v>
      </c>
      <c r="AD20">
        <v>2.4300000000000002</v>
      </c>
      <c r="AE20">
        <v>2.16</v>
      </c>
      <c r="AF20">
        <v>2.97</v>
      </c>
      <c r="AG20">
        <v>2.35</v>
      </c>
      <c r="AH20">
        <v>1.54</v>
      </c>
      <c r="AI20">
        <v>2.62</v>
      </c>
      <c r="AJ20">
        <v>1.0900000000000001</v>
      </c>
      <c r="AL20" s="20" t="s">
        <v>82</v>
      </c>
      <c r="AM20">
        <v>46.5</v>
      </c>
      <c r="AN20">
        <v>52</v>
      </c>
      <c r="AO20">
        <v>48.5</v>
      </c>
      <c r="AP20">
        <v>49</v>
      </c>
      <c r="AQ20">
        <v>50</v>
      </c>
      <c r="AR20" s="17">
        <f t="shared" si="5"/>
        <v>41</v>
      </c>
      <c r="AS20" s="17">
        <f t="shared" si="6"/>
        <v>104.14</v>
      </c>
    </row>
    <row r="21" spans="1:45" x14ac:dyDescent="0.3">
      <c r="A21" t="s">
        <v>83</v>
      </c>
      <c r="B21" s="17">
        <f>(87+85+70)/3</f>
        <v>80.666666666666671</v>
      </c>
      <c r="C21" s="17">
        <f t="shared" si="7"/>
        <v>46.095238095238095</v>
      </c>
      <c r="D21" s="31">
        <f t="shared" si="8"/>
        <v>2007908.5714285714</v>
      </c>
      <c r="F21">
        <v>294</v>
      </c>
      <c r="G21" s="16">
        <f t="shared" si="0"/>
        <v>1067220</v>
      </c>
      <c r="H21" s="30">
        <f t="shared" si="1"/>
        <v>53.150826446280995</v>
      </c>
      <c r="I21">
        <v>6.58</v>
      </c>
      <c r="J21">
        <v>3.5</v>
      </c>
      <c r="K21">
        <f t="shared" si="2"/>
        <v>3.08</v>
      </c>
      <c r="L21" s="1">
        <v>35.83</v>
      </c>
      <c r="M21" s="30">
        <f t="shared" si="3"/>
        <v>7174.4626800000015</v>
      </c>
      <c r="N21" s="30">
        <f t="shared" si="4"/>
        <v>7.9084913619689861</v>
      </c>
      <c r="O21" s="18" t="s">
        <v>83</v>
      </c>
      <c r="P21" t="s">
        <v>177</v>
      </c>
      <c r="Q21">
        <v>4.13</v>
      </c>
      <c r="R21">
        <v>4.4000000000000004</v>
      </c>
      <c r="S21">
        <v>4.49</v>
      </c>
      <c r="T21">
        <v>2.2999999999999998</v>
      </c>
      <c r="U21">
        <v>4.3099999999999996</v>
      </c>
      <c r="V21">
        <v>3.54</v>
      </c>
      <c r="W21">
        <v>3.59</v>
      </c>
      <c r="X21">
        <v>3.73</v>
      </c>
      <c r="Y21">
        <v>3.44</v>
      </c>
      <c r="Z21">
        <v>3.63</v>
      </c>
      <c r="AA21">
        <v>2.4</v>
      </c>
      <c r="AB21">
        <v>2.83</v>
      </c>
      <c r="AC21">
        <v>2.78</v>
      </c>
      <c r="AD21">
        <v>1.21</v>
      </c>
      <c r="AE21">
        <v>3.47</v>
      </c>
      <c r="AF21">
        <v>2.4300000000000002</v>
      </c>
      <c r="AG21">
        <v>2.0499999999999998</v>
      </c>
      <c r="AH21">
        <v>2.2799999999999998</v>
      </c>
      <c r="AI21">
        <v>2.4700000000000002</v>
      </c>
      <c r="AJ21">
        <v>2.3199999999999998</v>
      </c>
      <c r="AL21" s="18" t="s">
        <v>83</v>
      </c>
      <c r="AM21">
        <v>49</v>
      </c>
      <c r="AN21">
        <v>42.5</v>
      </c>
      <c r="AO21">
        <v>44</v>
      </c>
      <c r="AP21">
        <v>46</v>
      </c>
      <c r="AQ21">
        <v>48.5</v>
      </c>
      <c r="AR21" s="17">
        <f t="shared" si="5"/>
        <v>38.333333333333336</v>
      </c>
      <c r="AS21" s="17">
        <f>AR21*2.54</f>
        <v>97.366666666666674</v>
      </c>
    </row>
    <row r="22" spans="1:45" x14ac:dyDescent="0.3">
      <c r="A22" t="s">
        <v>84</v>
      </c>
      <c r="B22" s="17">
        <f>(44+12+56)/3</f>
        <v>37.333333333333336</v>
      </c>
      <c r="C22" s="17">
        <f t="shared" si="7"/>
        <v>21.333333333333336</v>
      </c>
      <c r="D22" s="31">
        <f t="shared" si="8"/>
        <v>929280.00000000012</v>
      </c>
      <c r="F22">
        <v>154</v>
      </c>
      <c r="G22" s="16">
        <f t="shared" si="0"/>
        <v>559020</v>
      </c>
      <c r="H22" s="30">
        <f t="shared" si="1"/>
        <v>60.156249999999986</v>
      </c>
      <c r="I22">
        <v>7.18</v>
      </c>
      <c r="J22">
        <v>3.5</v>
      </c>
      <c r="K22">
        <f t="shared" si="2"/>
        <v>3.6799999999999997</v>
      </c>
      <c r="L22" s="1">
        <v>30.11</v>
      </c>
      <c r="M22" s="30">
        <f t="shared" si="3"/>
        <v>9336.1857600000003</v>
      </c>
      <c r="N22" s="30">
        <f t="shared" si="4"/>
        <v>10.291383164139317</v>
      </c>
      <c r="O22" s="18" t="s">
        <v>84</v>
      </c>
      <c r="P22" t="s">
        <v>183</v>
      </c>
      <c r="Q22">
        <v>4.4000000000000004</v>
      </c>
      <c r="R22">
        <v>4.83</v>
      </c>
      <c r="S22">
        <v>4.88</v>
      </c>
      <c r="T22">
        <v>4.8099999999999996</v>
      </c>
      <c r="U22">
        <v>4.95</v>
      </c>
      <c r="V22">
        <v>4.6900000000000004</v>
      </c>
      <c r="W22">
        <v>3.62</v>
      </c>
      <c r="X22">
        <v>2.95</v>
      </c>
      <c r="Y22">
        <v>4.5999999999999996</v>
      </c>
      <c r="Z22">
        <v>9.34</v>
      </c>
      <c r="AA22">
        <v>2.83</v>
      </c>
      <c r="AB22">
        <v>3.03</v>
      </c>
      <c r="AC22">
        <v>2.4700000000000002</v>
      </c>
      <c r="AD22">
        <v>2.64</v>
      </c>
      <c r="AE22">
        <v>2.89</v>
      </c>
      <c r="AF22">
        <v>2.29</v>
      </c>
      <c r="AG22">
        <v>2.0099999999999998</v>
      </c>
      <c r="AH22">
        <v>2.0699999999999998</v>
      </c>
      <c r="AI22">
        <v>2.77</v>
      </c>
      <c r="AJ22">
        <v>5.13</v>
      </c>
      <c r="AL22" s="18" t="s">
        <v>84</v>
      </c>
      <c r="AM22">
        <v>51</v>
      </c>
      <c r="AN22">
        <v>54.5</v>
      </c>
      <c r="AO22">
        <v>49</v>
      </c>
      <c r="AP22">
        <v>52</v>
      </c>
      <c r="AQ22">
        <v>53.5</v>
      </c>
      <c r="AR22" s="17">
        <f t="shared" si="5"/>
        <v>43.333333333333336</v>
      </c>
      <c r="AS22" s="17">
        <f t="shared" ref="AS22:AS74" si="9">AR22*2.54</f>
        <v>110.06666666666668</v>
      </c>
    </row>
    <row r="23" spans="1:45" x14ac:dyDescent="0.3">
      <c r="A23" t="s">
        <v>85</v>
      </c>
      <c r="B23" s="17">
        <f>(22+20+11)/3</f>
        <v>17.666666666666668</v>
      </c>
      <c r="C23" s="17">
        <f t="shared" si="7"/>
        <v>10.095238095238097</v>
      </c>
      <c r="D23" s="31">
        <f t="shared" si="8"/>
        <v>439748.57142857148</v>
      </c>
      <c r="F23">
        <v>139</v>
      </c>
      <c r="G23" s="16">
        <f t="shared" si="0"/>
        <v>504570.00000000006</v>
      </c>
      <c r="H23" s="30">
        <f t="shared" si="1"/>
        <v>114.74056603773586</v>
      </c>
      <c r="I23">
        <v>5.52</v>
      </c>
      <c r="J23">
        <v>3.5</v>
      </c>
      <c r="K23">
        <f t="shared" si="2"/>
        <v>2.0199999999999996</v>
      </c>
      <c r="L23" s="1">
        <v>33.79</v>
      </c>
      <c r="M23" s="30">
        <f t="shared" si="3"/>
        <v>4854.91446</v>
      </c>
      <c r="N23" s="30">
        <f t="shared" si="4"/>
        <v>5.3516271228284262</v>
      </c>
      <c r="O23" s="18" t="s">
        <v>85</v>
      </c>
      <c r="P23" t="s">
        <v>70</v>
      </c>
      <c r="Q23">
        <v>4.47</v>
      </c>
      <c r="R23">
        <v>6.51</v>
      </c>
      <c r="S23">
        <v>3.99</v>
      </c>
      <c r="T23">
        <v>4.57</v>
      </c>
      <c r="U23">
        <v>2.95</v>
      </c>
      <c r="V23">
        <v>5.26</v>
      </c>
      <c r="W23">
        <v>3.74</v>
      </c>
      <c r="X23">
        <v>4.91</v>
      </c>
      <c r="Y23">
        <v>3.56</v>
      </c>
      <c r="Z23">
        <v>3.01</v>
      </c>
      <c r="AA23">
        <v>2.81</v>
      </c>
      <c r="AB23">
        <v>4.25</v>
      </c>
      <c r="AC23">
        <v>2.33</v>
      </c>
      <c r="AD23">
        <v>2.84</v>
      </c>
      <c r="AE23">
        <v>1.98</v>
      </c>
      <c r="AF23">
        <v>3.39</v>
      </c>
      <c r="AG23">
        <v>2.4700000000000002</v>
      </c>
      <c r="AH23">
        <v>3.25</v>
      </c>
      <c r="AI23">
        <v>2.83</v>
      </c>
      <c r="AJ23">
        <v>2.0099999999999998</v>
      </c>
      <c r="AL23" s="18" t="s">
        <v>85</v>
      </c>
      <c r="AM23">
        <v>35</v>
      </c>
      <c r="AN23">
        <v>39</v>
      </c>
      <c r="AO23">
        <v>37.5</v>
      </c>
      <c r="AP23">
        <v>32</v>
      </c>
      <c r="AQ23">
        <v>45.5</v>
      </c>
      <c r="AR23" s="17">
        <f t="shared" si="5"/>
        <v>31.5</v>
      </c>
      <c r="AS23" s="17">
        <f t="shared" si="9"/>
        <v>80.010000000000005</v>
      </c>
    </row>
    <row r="24" spans="1:45" x14ac:dyDescent="0.3">
      <c r="A24" t="s">
        <v>86</v>
      </c>
      <c r="B24" s="17">
        <f>(37+24+38)/3</f>
        <v>33</v>
      </c>
      <c r="C24" s="17">
        <f t="shared" si="7"/>
        <v>18.857142857142858</v>
      </c>
      <c r="D24" s="31">
        <f t="shared" si="8"/>
        <v>821417.14285714284</v>
      </c>
      <c r="F24">
        <v>115</v>
      </c>
      <c r="G24" s="16">
        <f t="shared" si="0"/>
        <v>417450.00000000006</v>
      </c>
      <c r="H24" s="30">
        <f t="shared" si="1"/>
        <v>50.82070707070708</v>
      </c>
      <c r="I24">
        <v>7.3</v>
      </c>
      <c r="J24">
        <v>3.5</v>
      </c>
      <c r="K24">
        <f t="shared" si="2"/>
        <v>3.8</v>
      </c>
      <c r="L24" s="1">
        <v>32.78</v>
      </c>
      <c r="M24" s="30">
        <f t="shared" si="3"/>
        <v>9272.3268000000007</v>
      </c>
      <c r="N24" s="30">
        <f t="shared" si="4"/>
        <v>10.220990710227449</v>
      </c>
      <c r="O24" s="18" t="s">
        <v>86</v>
      </c>
      <c r="P24" t="s">
        <v>5</v>
      </c>
      <c r="Q24">
        <v>8.89</v>
      </c>
      <c r="R24">
        <v>8.5299999999999994</v>
      </c>
      <c r="S24">
        <v>5.9</v>
      </c>
      <c r="T24">
        <v>4.6100000000000003</v>
      </c>
      <c r="U24">
        <v>5.3</v>
      </c>
      <c r="V24">
        <v>7.79</v>
      </c>
      <c r="W24">
        <v>8.66</v>
      </c>
      <c r="X24">
        <v>6.28</v>
      </c>
      <c r="Y24">
        <v>6.68</v>
      </c>
      <c r="Z24">
        <v>10.199999999999999</v>
      </c>
      <c r="AA24">
        <v>5.21</v>
      </c>
      <c r="AB24">
        <v>4.9400000000000004</v>
      </c>
      <c r="AC24">
        <v>3.14</v>
      </c>
      <c r="AD24">
        <v>1.91</v>
      </c>
      <c r="AE24">
        <v>3.75</v>
      </c>
      <c r="AF24">
        <v>3.57</v>
      </c>
      <c r="AG24">
        <v>4.59</v>
      </c>
      <c r="AH24">
        <v>3.64</v>
      </c>
      <c r="AI24">
        <v>3.61</v>
      </c>
      <c r="AJ24">
        <v>5.93</v>
      </c>
      <c r="AL24" s="18" t="s">
        <v>86</v>
      </c>
      <c r="AM24">
        <v>79</v>
      </c>
      <c r="AN24">
        <v>76.5</v>
      </c>
      <c r="AO24">
        <v>74</v>
      </c>
      <c r="AP24">
        <v>77</v>
      </c>
      <c r="AQ24">
        <v>80.5</v>
      </c>
      <c r="AR24" s="17">
        <f t="shared" si="5"/>
        <v>64.5</v>
      </c>
      <c r="AS24" s="17">
        <f t="shared" si="9"/>
        <v>163.83000000000001</v>
      </c>
    </row>
    <row r="25" spans="1:45" x14ac:dyDescent="0.3">
      <c r="A25" t="s">
        <v>87</v>
      </c>
      <c r="B25" s="17">
        <f>(26+23+25)/3</f>
        <v>24.666666666666668</v>
      </c>
      <c r="C25" s="17">
        <f t="shared" si="7"/>
        <v>14.095238095238097</v>
      </c>
      <c r="D25" s="31">
        <f t="shared" si="8"/>
        <v>613988.57142857148</v>
      </c>
      <c r="F25">
        <v>154</v>
      </c>
      <c r="G25" s="16">
        <f t="shared" si="0"/>
        <v>559020</v>
      </c>
      <c r="H25" s="30">
        <f t="shared" si="1"/>
        <v>91.047297297297291</v>
      </c>
      <c r="I25">
        <v>5.78</v>
      </c>
      <c r="J25">
        <v>3.5</v>
      </c>
      <c r="K25">
        <f t="shared" si="2"/>
        <v>2.2800000000000002</v>
      </c>
      <c r="L25" s="1">
        <v>32.33</v>
      </c>
      <c r="M25" s="30">
        <f t="shared" si="3"/>
        <v>5600.6398800000015</v>
      </c>
      <c r="N25" s="30">
        <f t="shared" si="4"/>
        <v>6.1736486881382762</v>
      </c>
      <c r="O25" s="18" t="s">
        <v>87</v>
      </c>
      <c r="P25" t="s">
        <v>67</v>
      </c>
      <c r="Q25">
        <v>5.29</v>
      </c>
      <c r="R25">
        <v>3.76</v>
      </c>
      <c r="S25">
        <v>5.26</v>
      </c>
      <c r="T25">
        <v>3.99</v>
      </c>
      <c r="U25">
        <v>4.3099999999999996</v>
      </c>
      <c r="V25">
        <v>4.18</v>
      </c>
      <c r="W25">
        <v>3.88</v>
      </c>
      <c r="X25">
        <v>4.53</v>
      </c>
      <c r="Y25">
        <v>6.31</v>
      </c>
      <c r="Z25">
        <v>4.1900000000000004</v>
      </c>
      <c r="AA25">
        <v>3.3</v>
      </c>
      <c r="AB25">
        <v>1.87</v>
      </c>
      <c r="AC25">
        <v>3.18</v>
      </c>
      <c r="AD25">
        <v>2.64</v>
      </c>
      <c r="AE25">
        <v>2.69</v>
      </c>
      <c r="AF25">
        <v>3.55</v>
      </c>
      <c r="AG25">
        <v>2.5299999999999998</v>
      </c>
      <c r="AH25">
        <v>3.55</v>
      </c>
      <c r="AI25">
        <v>4.3600000000000003</v>
      </c>
      <c r="AJ25">
        <v>2.76</v>
      </c>
      <c r="AL25" s="18" t="s">
        <v>87</v>
      </c>
      <c r="AM25">
        <v>42</v>
      </c>
      <c r="AN25">
        <v>47.5</v>
      </c>
      <c r="AO25">
        <v>50</v>
      </c>
      <c r="AP25">
        <v>44</v>
      </c>
      <c r="AQ25">
        <v>43</v>
      </c>
      <c r="AR25" s="17">
        <f t="shared" si="5"/>
        <v>37.75</v>
      </c>
      <c r="AS25" s="17">
        <f t="shared" si="9"/>
        <v>95.885000000000005</v>
      </c>
    </row>
    <row r="26" spans="1:45" x14ac:dyDescent="0.3">
      <c r="A26" t="s">
        <v>88</v>
      </c>
      <c r="B26" s="17">
        <f>(35+21+11)/3</f>
        <v>22.333333333333332</v>
      </c>
      <c r="C26" s="17">
        <f t="shared" si="7"/>
        <v>12.761904761904761</v>
      </c>
      <c r="D26" s="31">
        <f t="shared" si="8"/>
        <v>555908.57142857136</v>
      </c>
      <c r="F26">
        <v>189</v>
      </c>
      <c r="G26" s="16">
        <f t="shared" si="0"/>
        <v>686070.00000000012</v>
      </c>
      <c r="H26" s="30">
        <f t="shared" si="1"/>
        <v>123.41417910447765</v>
      </c>
      <c r="I26">
        <v>6.98</v>
      </c>
      <c r="J26">
        <v>3.5</v>
      </c>
      <c r="K26">
        <f t="shared" si="2"/>
        <v>3.4800000000000004</v>
      </c>
      <c r="L26" s="1">
        <v>27.76</v>
      </c>
      <c r="M26" s="30">
        <f t="shared" si="3"/>
        <v>9125.6457600000012</v>
      </c>
      <c r="N26" s="30">
        <f t="shared" si="4"/>
        <v>10.059302540737294</v>
      </c>
      <c r="O26" s="18" t="s">
        <v>88</v>
      </c>
      <c r="P26" t="s">
        <v>180</v>
      </c>
      <c r="Q26">
        <v>6.39</v>
      </c>
      <c r="R26">
        <v>6.4</v>
      </c>
      <c r="S26">
        <v>6.68</v>
      </c>
      <c r="T26">
        <v>5.95</v>
      </c>
      <c r="U26">
        <v>2.98</v>
      </c>
      <c r="V26">
        <v>3.09</v>
      </c>
      <c r="W26">
        <v>4.32</v>
      </c>
      <c r="X26">
        <v>3.41</v>
      </c>
      <c r="Y26">
        <v>4.3499999999999996</v>
      </c>
      <c r="Z26">
        <v>2.88</v>
      </c>
      <c r="AA26">
        <v>4.87</v>
      </c>
      <c r="AB26">
        <v>4.47</v>
      </c>
      <c r="AC26">
        <v>4.8899999999999997</v>
      </c>
      <c r="AD26">
        <v>4.2300000000000004</v>
      </c>
      <c r="AE26">
        <v>1.47</v>
      </c>
      <c r="AF26">
        <v>1.79</v>
      </c>
      <c r="AG26">
        <v>3.03</v>
      </c>
      <c r="AH26">
        <v>2.37</v>
      </c>
      <c r="AI26">
        <v>2.94</v>
      </c>
      <c r="AJ26">
        <v>2.29</v>
      </c>
      <c r="AL26" s="18" t="s">
        <v>88</v>
      </c>
      <c r="AM26">
        <v>55</v>
      </c>
      <c r="AN26">
        <v>58</v>
      </c>
      <c r="AO26">
        <v>53.5</v>
      </c>
      <c r="AP26">
        <v>54</v>
      </c>
      <c r="AQ26">
        <v>51.5</v>
      </c>
      <c r="AR26" s="17">
        <f t="shared" si="5"/>
        <v>45.333333333333336</v>
      </c>
      <c r="AS26" s="17">
        <f t="shared" si="9"/>
        <v>115.14666666666668</v>
      </c>
    </row>
    <row r="27" spans="1:45" x14ac:dyDescent="0.3">
      <c r="A27" t="s">
        <v>89</v>
      </c>
      <c r="B27" s="17">
        <f>(65+52+42)/3</f>
        <v>53</v>
      </c>
      <c r="C27" s="17">
        <f t="shared" si="7"/>
        <v>30.285714285714285</v>
      </c>
      <c r="D27" s="31">
        <f t="shared" si="8"/>
        <v>1319245.7142857143</v>
      </c>
      <c r="F27">
        <v>293</v>
      </c>
      <c r="G27" s="16">
        <f t="shared" si="0"/>
        <v>1063590</v>
      </c>
      <c r="H27" s="30">
        <f t="shared" si="1"/>
        <v>80.621069182389931</v>
      </c>
      <c r="I27">
        <v>6.28</v>
      </c>
      <c r="J27">
        <v>3.5</v>
      </c>
      <c r="K27">
        <f t="shared" si="2"/>
        <v>2.7800000000000002</v>
      </c>
      <c r="L27" s="1">
        <v>34.71</v>
      </c>
      <c r="M27" s="30">
        <f t="shared" si="3"/>
        <v>6588.6750600000014</v>
      </c>
      <c r="N27" s="30">
        <f t="shared" si="4"/>
        <v>7.2627710426435019</v>
      </c>
      <c r="O27" s="18" t="s">
        <v>89</v>
      </c>
      <c r="P27" t="s">
        <v>152</v>
      </c>
      <c r="Q27">
        <v>4.45</v>
      </c>
      <c r="R27">
        <v>4.3899999999999997</v>
      </c>
      <c r="S27">
        <v>8.8699999999999992</v>
      </c>
      <c r="T27">
        <v>8.9499999999999993</v>
      </c>
      <c r="U27">
        <v>3.61</v>
      </c>
      <c r="V27">
        <v>3.97</v>
      </c>
      <c r="W27">
        <v>3.95</v>
      </c>
      <c r="X27">
        <v>4.6399999999999997</v>
      </c>
      <c r="Y27">
        <v>4.91</v>
      </c>
      <c r="Z27">
        <v>2.89</v>
      </c>
      <c r="AA27">
        <v>1.55</v>
      </c>
      <c r="AB27">
        <v>2.74</v>
      </c>
      <c r="AC27">
        <v>3.18</v>
      </c>
      <c r="AD27">
        <v>2.86</v>
      </c>
      <c r="AE27">
        <v>2.16</v>
      </c>
      <c r="AF27">
        <v>2.54</v>
      </c>
      <c r="AG27">
        <v>2.8</v>
      </c>
      <c r="AH27">
        <v>3.19</v>
      </c>
      <c r="AI27">
        <v>2.8</v>
      </c>
      <c r="AJ27">
        <v>2.2599999999999998</v>
      </c>
      <c r="AL27" s="18" t="s">
        <v>89</v>
      </c>
      <c r="AM27">
        <v>47</v>
      </c>
      <c r="AN27">
        <v>51</v>
      </c>
      <c r="AO27">
        <v>52.5</v>
      </c>
      <c r="AP27">
        <v>49.5</v>
      </c>
      <c r="AQ27">
        <v>48</v>
      </c>
      <c r="AR27" s="17">
        <f t="shared" si="5"/>
        <v>41.333333333333336</v>
      </c>
      <c r="AS27" s="17">
        <f t="shared" si="9"/>
        <v>104.98666666666668</v>
      </c>
    </row>
    <row r="28" spans="1:45" x14ac:dyDescent="0.3">
      <c r="A28" t="s">
        <v>90</v>
      </c>
      <c r="B28" s="17">
        <f>(17+31+30)/3</f>
        <v>26</v>
      </c>
      <c r="C28" s="17">
        <f t="shared" si="7"/>
        <v>14.857142857142858</v>
      </c>
      <c r="D28" s="31">
        <f t="shared" si="8"/>
        <v>647177.14285714284</v>
      </c>
      <c r="F28">
        <v>136</v>
      </c>
      <c r="G28" s="16">
        <f t="shared" si="0"/>
        <v>493680.00000000006</v>
      </c>
      <c r="H28" s="30">
        <f t="shared" si="1"/>
        <v>76.282051282051285</v>
      </c>
      <c r="I28">
        <v>5.88</v>
      </c>
      <c r="J28">
        <v>3.5</v>
      </c>
      <c r="K28">
        <f t="shared" si="2"/>
        <v>2.38</v>
      </c>
      <c r="L28" s="1">
        <v>30.49</v>
      </c>
      <c r="M28" s="30">
        <f t="shared" si="3"/>
        <v>6005.24694</v>
      </c>
      <c r="N28" s="30">
        <f t="shared" si="4"/>
        <v>6.6196516268561423</v>
      </c>
      <c r="O28" s="18" t="s">
        <v>90</v>
      </c>
      <c r="P28" t="s">
        <v>181</v>
      </c>
      <c r="Q28">
        <v>8.23</v>
      </c>
      <c r="R28">
        <v>5.07</v>
      </c>
      <c r="S28">
        <v>4.6399999999999997</v>
      </c>
      <c r="T28">
        <v>5.09</v>
      </c>
      <c r="U28">
        <v>6.63</v>
      </c>
      <c r="V28">
        <v>5.25</v>
      </c>
      <c r="W28">
        <v>5.25</v>
      </c>
      <c r="X28">
        <v>5.15</v>
      </c>
      <c r="Y28">
        <v>4.74</v>
      </c>
      <c r="Z28">
        <v>4.72</v>
      </c>
      <c r="AA28">
        <v>6</v>
      </c>
      <c r="AB28">
        <v>2.84</v>
      </c>
      <c r="AC28">
        <v>2.5</v>
      </c>
      <c r="AD28">
        <v>2.2599999999999998</v>
      </c>
      <c r="AE28">
        <v>4.6500000000000004</v>
      </c>
      <c r="AF28">
        <v>3.08</v>
      </c>
      <c r="AG28">
        <v>2.8</v>
      </c>
      <c r="AH28">
        <v>3.36</v>
      </c>
      <c r="AI28">
        <v>3.33</v>
      </c>
      <c r="AJ28">
        <v>2.79</v>
      </c>
      <c r="AL28" s="18" t="s">
        <v>90</v>
      </c>
      <c r="AM28">
        <v>45</v>
      </c>
      <c r="AN28">
        <v>47.5</v>
      </c>
      <c r="AO28">
        <v>50</v>
      </c>
      <c r="AP28">
        <v>50.5</v>
      </c>
      <c r="AQ28">
        <v>48</v>
      </c>
      <c r="AR28" s="17">
        <f t="shared" si="5"/>
        <v>40.166666666666664</v>
      </c>
      <c r="AS28" s="17">
        <f t="shared" si="9"/>
        <v>102.02333333333333</v>
      </c>
    </row>
    <row r="29" spans="1:45" x14ac:dyDescent="0.3">
      <c r="A29" t="s">
        <v>91</v>
      </c>
      <c r="B29" s="17">
        <f>(35+34+29)/3</f>
        <v>32.666666666666664</v>
      </c>
      <c r="C29" s="17">
        <f t="shared" si="7"/>
        <v>18.666666666666664</v>
      </c>
      <c r="D29" s="31">
        <f t="shared" si="8"/>
        <v>813119.99999999988</v>
      </c>
      <c r="F29">
        <v>214</v>
      </c>
      <c r="G29" s="16">
        <f t="shared" si="0"/>
        <v>776820.00000000012</v>
      </c>
      <c r="H29" s="30">
        <f t="shared" si="1"/>
        <v>95.535714285714306</v>
      </c>
      <c r="I29">
        <v>6.74</v>
      </c>
      <c r="J29">
        <v>3.5</v>
      </c>
      <c r="K29">
        <f t="shared" si="2"/>
        <v>3.24</v>
      </c>
      <c r="L29" s="1">
        <v>31.81</v>
      </c>
      <c r="M29" s="30">
        <f t="shared" si="3"/>
        <v>8019.9622800000006</v>
      </c>
      <c r="N29" s="30">
        <f t="shared" si="4"/>
        <v>8.8404951344310412</v>
      </c>
      <c r="O29" s="18" t="s">
        <v>91</v>
      </c>
      <c r="P29" t="s">
        <v>179</v>
      </c>
      <c r="Q29">
        <v>6.07</v>
      </c>
      <c r="R29">
        <v>6.19</v>
      </c>
      <c r="S29">
        <v>6.03</v>
      </c>
      <c r="T29">
        <v>6.35</v>
      </c>
      <c r="U29">
        <v>5.19</v>
      </c>
      <c r="V29">
        <v>6.33</v>
      </c>
      <c r="W29">
        <v>4.8</v>
      </c>
      <c r="X29">
        <v>4.45</v>
      </c>
      <c r="Y29">
        <v>4.7699999999999996</v>
      </c>
      <c r="Z29">
        <v>4.83</v>
      </c>
      <c r="AA29">
        <v>4.08</v>
      </c>
      <c r="AB29">
        <v>4.3099999999999996</v>
      </c>
      <c r="AC29">
        <v>3.95</v>
      </c>
      <c r="AD29">
        <v>3.78</v>
      </c>
      <c r="AE29">
        <v>3.73</v>
      </c>
      <c r="AF29">
        <v>3.24</v>
      </c>
      <c r="AG29">
        <v>3.37</v>
      </c>
      <c r="AH29">
        <v>2.95</v>
      </c>
      <c r="AI29">
        <v>2.21</v>
      </c>
      <c r="AJ29">
        <v>2.94</v>
      </c>
      <c r="AL29" s="18" t="s">
        <v>91</v>
      </c>
      <c r="AM29">
        <v>49</v>
      </c>
      <c r="AN29">
        <v>48.5</v>
      </c>
      <c r="AO29">
        <v>46</v>
      </c>
      <c r="AP29">
        <v>53</v>
      </c>
      <c r="AQ29">
        <v>52.5</v>
      </c>
      <c r="AR29" s="17">
        <f t="shared" si="5"/>
        <v>41.5</v>
      </c>
      <c r="AS29" s="17">
        <f t="shared" si="9"/>
        <v>105.41</v>
      </c>
    </row>
    <row r="30" spans="1:45" x14ac:dyDescent="0.3">
      <c r="A30" t="s">
        <v>92</v>
      </c>
      <c r="B30" s="17">
        <v>9.67</v>
      </c>
      <c r="C30" s="17">
        <v>5.52</v>
      </c>
      <c r="D30" s="31">
        <f t="shared" si="8"/>
        <v>240451.19999999998</v>
      </c>
      <c r="F30">
        <v>49</v>
      </c>
      <c r="G30" s="16">
        <f t="shared" si="0"/>
        <v>177870.00000000003</v>
      </c>
      <c r="H30" s="30">
        <f t="shared" si="1"/>
        <v>73.973429951690832</v>
      </c>
      <c r="I30">
        <v>4.0999999999999996</v>
      </c>
      <c r="J30">
        <v>3.5</v>
      </c>
      <c r="K30">
        <f t="shared" si="2"/>
        <v>0.59999999999999964</v>
      </c>
      <c r="L30" s="1">
        <v>33.92</v>
      </c>
      <c r="M30" s="30">
        <f t="shared" si="3"/>
        <v>1439.2223999999992</v>
      </c>
      <c r="N30" s="30">
        <f t="shared" si="4"/>
        <v>1.5864711304557604</v>
      </c>
      <c r="O30" s="18" t="s">
        <v>92</v>
      </c>
      <c r="P30" t="s">
        <v>176</v>
      </c>
      <c r="Q30">
        <v>4.0199999999999996</v>
      </c>
      <c r="R30">
        <v>4.03</v>
      </c>
      <c r="S30">
        <v>3.76</v>
      </c>
      <c r="T30">
        <v>4.5</v>
      </c>
      <c r="U30">
        <v>2.84</v>
      </c>
      <c r="V30">
        <v>3.64</v>
      </c>
      <c r="W30">
        <v>3.46</v>
      </c>
      <c r="X30">
        <v>4.68</v>
      </c>
      <c r="Y30">
        <v>3.87</v>
      </c>
      <c r="Z30">
        <v>3.68</v>
      </c>
      <c r="AA30">
        <v>3.72</v>
      </c>
      <c r="AB30">
        <v>3.6</v>
      </c>
      <c r="AC30">
        <v>3.27</v>
      </c>
      <c r="AD30">
        <v>3.79</v>
      </c>
      <c r="AE30">
        <v>2.71</v>
      </c>
      <c r="AF30">
        <v>3.55</v>
      </c>
      <c r="AG30">
        <v>3.38</v>
      </c>
      <c r="AH30">
        <v>3.48</v>
      </c>
      <c r="AI30">
        <v>3.24</v>
      </c>
      <c r="AJ30">
        <v>3.39</v>
      </c>
      <c r="AL30" s="18" t="s">
        <v>92</v>
      </c>
      <c r="AM30">
        <v>44</v>
      </c>
      <c r="AN30">
        <v>39.5</v>
      </c>
      <c r="AO30">
        <v>42</v>
      </c>
      <c r="AP30">
        <v>40.5</v>
      </c>
      <c r="AQ30">
        <v>41</v>
      </c>
      <c r="AR30" s="17">
        <f t="shared" si="5"/>
        <v>34.5</v>
      </c>
      <c r="AS30" s="17">
        <f t="shared" si="9"/>
        <v>87.63</v>
      </c>
    </row>
    <row r="31" spans="1:45" x14ac:dyDescent="0.3">
      <c r="A31" t="s">
        <v>93</v>
      </c>
      <c r="B31" s="17">
        <f>(71+53+84)/3</f>
        <v>69.333333333333329</v>
      </c>
      <c r="C31" s="17">
        <f t="shared" ref="C31:C62" si="10">(B31*4)/7</f>
        <v>39.619047619047613</v>
      </c>
      <c r="D31" s="31">
        <f t="shared" si="8"/>
        <v>1725805.7142857141</v>
      </c>
      <c r="F31">
        <v>406</v>
      </c>
      <c r="G31" s="16">
        <f t="shared" si="0"/>
        <v>1473780.0000000002</v>
      </c>
      <c r="H31" s="30">
        <f t="shared" si="1"/>
        <v>85.396634615384642</v>
      </c>
      <c r="I31">
        <v>5.8</v>
      </c>
      <c r="J31">
        <v>3.5</v>
      </c>
      <c r="K31">
        <f t="shared" si="2"/>
        <v>2.2999999999999998</v>
      </c>
      <c r="L31" s="1">
        <v>36.270000000000003</v>
      </c>
      <c r="M31" s="30">
        <f t="shared" si="3"/>
        <v>5320.8176999999996</v>
      </c>
      <c r="N31" s="30">
        <f t="shared" si="4"/>
        <v>5.865197534076751</v>
      </c>
      <c r="O31" s="18" t="s">
        <v>93</v>
      </c>
      <c r="P31" t="s">
        <v>76</v>
      </c>
      <c r="Q31">
        <v>4.74</v>
      </c>
      <c r="R31">
        <v>3.49</v>
      </c>
      <c r="S31">
        <v>3.3</v>
      </c>
      <c r="T31">
        <v>2.4500000000000002</v>
      </c>
      <c r="U31">
        <v>2.58</v>
      </c>
      <c r="V31">
        <v>3.12</v>
      </c>
      <c r="W31">
        <v>2.2400000000000002</v>
      </c>
      <c r="X31">
        <v>2.12</v>
      </c>
      <c r="Y31">
        <v>2.2200000000000002</v>
      </c>
      <c r="Z31">
        <v>3.28</v>
      </c>
      <c r="AA31">
        <v>3.34</v>
      </c>
      <c r="AB31">
        <v>2.85</v>
      </c>
      <c r="AC31">
        <v>2.42</v>
      </c>
      <c r="AD31">
        <v>1.86</v>
      </c>
      <c r="AE31">
        <v>1.79</v>
      </c>
      <c r="AF31">
        <v>2.37</v>
      </c>
      <c r="AG31">
        <v>2.74</v>
      </c>
      <c r="AH31">
        <v>1.65</v>
      </c>
      <c r="AI31">
        <v>1.93</v>
      </c>
      <c r="AJ31">
        <v>2.13</v>
      </c>
      <c r="AL31" s="18" t="s">
        <v>93</v>
      </c>
      <c r="AM31">
        <v>50.5</v>
      </c>
      <c r="AN31">
        <v>52</v>
      </c>
      <c r="AO31">
        <v>49</v>
      </c>
      <c r="AP31">
        <v>51</v>
      </c>
      <c r="AQ31">
        <v>47.5</v>
      </c>
      <c r="AR31" s="17">
        <f t="shared" si="5"/>
        <v>41.666666666666664</v>
      </c>
      <c r="AS31" s="17">
        <f t="shared" si="9"/>
        <v>105.83333333333333</v>
      </c>
    </row>
    <row r="32" spans="1:45" x14ac:dyDescent="0.3">
      <c r="A32" t="s">
        <v>94</v>
      </c>
      <c r="B32" s="17">
        <f>(51+13+32)/3</f>
        <v>32</v>
      </c>
      <c r="C32" s="17">
        <f t="shared" si="10"/>
        <v>18.285714285714285</v>
      </c>
      <c r="D32" s="31">
        <f t="shared" si="8"/>
        <v>796525.7142857142</v>
      </c>
      <c r="F32">
        <v>155</v>
      </c>
      <c r="G32" s="16">
        <f t="shared" si="0"/>
        <v>562650</v>
      </c>
      <c r="H32" s="30">
        <f t="shared" si="1"/>
        <v>70.638020833333343</v>
      </c>
      <c r="I32">
        <v>4.9000000000000004</v>
      </c>
      <c r="J32">
        <v>3.5</v>
      </c>
      <c r="K32">
        <f t="shared" si="2"/>
        <v>1.4000000000000004</v>
      </c>
      <c r="L32" s="1">
        <v>40.08</v>
      </c>
      <c r="M32" s="30">
        <f t="shared" si="3"/>
        <v>3045.1344000000008</v>
      </c>
      <c r="N32" s="30">
        <f t="shared" si="4"/>
        <v>3.3566860924049875</v>
      </c>
      <c r="O32" s="18" t="s">
        <v>94</v>
      </c>
      <c r="P32" t="s">
        <v>175</v>
      </c>
      <c r="Q32">
        <v>5.38</v>
      </c>
      <c r="R32">
        <v>3.09</v>
      </c>
      <c r="S32">
        <v>3.18</v>
      </c>
      <c r="T32">
        <v>2.92</v>
      </c>
      <c r="U32">
        <v>2.63</v>
      </c>
      <c r="V32">
        <v>3.59</v>
      </c>
      <c r="W32">
        <v>2.4</v>
      </c>
      <c r="X32">
        <v>4.03</v>
      </c>
      <c r="Y32">
        <v>5.21</v>
      </c>
      <c r="Z32">
        <v>2.94</v>
      </c>
      <c r="AA32">
        <v>4.38</v>
      </c>
      <c r="AB32">
        <v>2.95</v>
      </c>
      <c r="AC32">
        <v>2.0099999999999998</v>
      </c>
      <c r="AD32">
        <v>2.0699999999999998</v>
      </c>
      <c r="AE32">
        <v>2.92</v>
      </c>
      <c r="AF32">
        <v>2.1800000000000002</v>
      </c>
      <c r="AG32">
        <v>3.04</v>
      </c>
      <c r="AH32">
        <v>4.28</v>
      </c>
      <c r="AI32">
        <v>2.09</v>
      </c>
      <c r="AL32" s="18" t="s">
        <v>171</v>
      </c>
      <c r="AM32">
        <v>46</v>
      </c>
      <c r="AN32">
        <v>42.5</v>
      </c>
      <c r="AO32">
        <v>40</v>
      </c>
      <c r="AP32">
        <v>44.5</v>
      </c>
      <c r="AQ32">
        <v>41</v>
      </c>
      <c r="AR32" s="17">
        <f t="shared" si="5"/>
        <v>35.666666666666664</v>
      </c>
      <c r="AS32" s="17">
        <f t="shared" si="9"/>
        <v>90.593333333333334</v>
      </c>
    </row>
    <row r="33" spans="1:45" x14ac:dyDescent="0.3">
      <c r="A33" t="s">
        <v>95</v>
      </c>
      <c r="B33" s="17">
        <f>(28+24+30)/3</f>
        <v>27.333333333333332</v>
      </c>
      <c r="C33" s="17">
        <f t="shared" si="10"/>
        <v>15.619047619047619</v>
      </c>
      <c r="D33" s="31">
        <f t="shared" si="8"/>
        <v>680365.71428571432</v>
      </c>
      <c r="F33">
        <v>114</v>
      </c>
      <c r="G33" s="16">
        <f t="shared" si="0"/>
        <v>413820.00000000006</v>
      </c>
      <c r="H33" s="30">
        <f t="shared" si="1"/>
        <v>60.823170731707322</v>
      </c>
      <c r="I33">
        <v>4.4000000000000004</v>
      </c>
      <c r="J33">
        <v>3.5</v>
      </c>
      <c r="K33">
        <f t="shared" si="2"/>
        <v>0.90000000000000036</v>
      </c>
      <c r="L33" s="1">
        <v>33.44</v>
      </c>
      <c r="M33" s="30">
        <f t="shared" si="3"/>
        <v>2174.5152000000012</v>
      </c>
      <c r="N33" s="30">
        <f t="shared" si="4"/>
        <v>2.3969927007370355</v>
      </c>
      <c r="O33" s="18" t="s">
        <v>95</v>
      </c>
      <c r="P33" t="s">
        <v>71</v>
      </c>
      <c r="Q33">
        <v>4.38</v>
      </c>
      <c r="R33">
        <v>4.32</v>
      </c>
      <c r="S33">
        <v>4.3899999999999997</v>
      </c>
      <c r="T33">
        <v>3.32</v>
      </c>
      <c r="U33">
        <v>2.2200000000000002</v>
      </c>
      <c r="V33">
        <v>3.97</v>
      </c>
      <c r="W33">
        <v>2.88</v>
      </c>
      <c r="X33">
        <v>3.65</v>
      </c>
      <c r="Y33">
        <v>3.26</v>
      </c>
      <c r="Z33">
        <v>4.6900000000000004</v>
      </c>
      <c r="AA33">
        <v>3.6</v>
      </c>
      <c r="AB33">
        <v>3.29</v>
      </c>
      <c r="AC33">
        <v>3.41</v>
      </c>
      <c r="AD33">
        <v>2.89</v>
      </c>
      <c r="AE33">
        <v>2.15</v>
      </c>
      <c r="AF33">
        <v>3.67</v>
      </c>
      <c r="AG33">
        <v>2.21</v>
      </c>
      <c r="AH33">
        <v>2.81</v>
      </c>
      <c r="AI33">
        <v>2.29</v>
      </c>
      <c r="AJ33">
        <v>3.25</v>
      </c>
      <c r="AL33" s="18" t="s">
        <v>95</v>
      </c>
      <c r="AM33">
        <v>34</v>
      </c>
      <c r="AN33">
        <v>31</v>
      </c>
      <c r="AO33">
        <v>30.5</v>
      </c>
      <c r="AP33">
        <v>33</v>
      </c>
      <c r="AQ33">
        <v>30</v>
      </c>
      <c r="AR33" s="17">
        <f t="shared" si="5"/>
        <v>26.416666666666668</v>
      </c>
      <c r="AS33" s="17">
        <f t="shared" si="9"/>
        <v>67.098333333333343</v>
      </c>
    </row>
    <row r="34" spans="1:45" x14ac:dyDescent="0.3">
      <c r="A34" t="s">
        <v>96</v>
      </c>
      <c r="B34" s="17">
        <f>(38+35+29)/3</f>
        <v>34</v>
      </c>
      <c r="C34" s="17">
        <f t="shared" si="10"/>
        <v>19.428571428571427</v>
      </c>
      <c r="D34" s="31">
        <f t="shared" si="8"/>
        <v>846308.57142857136</v>
      </c>
      <c r="F34">
        <v>179</v>
      </c>
      <c r="G34" s="16">
        <f t="shared" si="0"/>
        <v>649770.00000000012</v>
      </c>
      <c r="H34" s="30">
        <f t="shared" si="1"/>
        <v>76.776960784313744</v>
      </c>
      <c r="I34">
        <v>6.73</v>
      </c>
      <c r="J34">
        <v>3.5</v>
      </c>
      <c r="K34">
        <f t="shared" si="2"/>
        <v>3.2300000000000004</v>
      </c>
      <c r="L34" s="1">
        <v>30.76</v>
      </c>
      <c r="M34" s="30">
        <f t="shared" si="3"/>
        <v>8118.3207600000023</v>
      </c>
      <c r="N34" s="30">
        <f t="shared" si="4"/>
        <v>8.948916799460374</v>
      </c>
      <c r="O34" s="18" t="s">
        <v>96</v>
      </c>
      <c r="P34" t="s">
        <v>178</v>
      </c>
      <c r="Q34">
        <v>5.38</v>
      </c>
      <c r="R34">
        <v>5.79</v>
      </c>
      <c r="S34">
        <v>4.74</v>
      </c>
      <c r="T34">
        <v>4.12</v>
      </c>
      <c r="U34">
        <v>5.3</v>
      </c>
      <c r="V34">
        <v>4.55</v>
      </c>
      <c r="W34">
        <v>3.36</v>
      </c>
      <c r="X34">
        <v>3.65</v>
      </c>
      <c r="Y34">
        <v>4.28</v>
      </c>
      <c r="Z34">
        <v>4.09</v>
      </c>
      <c r="AA34">
        <v>2.21</v>
      </c>
      <c r="AB34">
        <v>3.1</v>
      </c>
      <c r="AC34">
        <v>2.41</v>
      </c>
      <c r="AD34">
        <v>2.83</v>
      </c>
      <c r="AE34">
        <v>3.69</v>
      </c>
      <c r="AF34">
        <v>2.83</v>
      </c>
      <c r="AG34">
        <v>1.94</v>
      </c>
      <c r="AH34">
        <v>2.12</v>
      </c>
      <c r="AI34">
        <v>2.82</v>
      </c>
      <c r="AJ34">
        <v>3.11</v>
      </c>
      <c r="AL34" s="18" t="s">
        <v>96</v>
      </c>
      <c r="AM34">
        <v>40.5</v>
      </c>
      <c r="AN34">
        <v>50</v>
      </c>
      <c r="AO34">
        <v>42</v>
      </c>
      <c r="AP34">
        <v>41</v>
      </c>
      <c r="AQ34">
        <v>43.5</v>
      </c>
      <c r="AR34" s="17">
        <f t="shared" si="5"/>
        <v>36.166666666666664</v>
      </c>
      <c r="AS34" s="17">
        <f t="shared" si="9"/>
        <v>91.86333333333333</v>
      </c>
    </row>
    <row r="35" spans="1:45" x14ac:dyDescent="0.3">
      <c r="A35" t="s">
        <v>97</v>
      </c>
      <c r="B35" s="17">
        <f>(57+53+75)/3</f>
        <v>61.666666666666664</v>
      </c>
      <c r="C35" s="17">
        <f t="shared" si="10"/>
        <v>35.238095238095234</v>
      </c>
      <c r="D35" s="31">
        <f t="shared" si="8"/>
        <v>1534971.4285714284</v>
      </c>
      <c r="F35">
        <v>189</v>
      </c>
      <c r="G35" s="16">
        <f t="shared" si="0"/>
        <v>686070.00000000012</v>
      </c>
      <c r="H35" s="30">
        <f t="shared" si="1"/>
        <v>44.695945945945958</v>
      </c>
      <c r="I35">
        <v>5.92</v>
      </c>
      <c r="J35">
        <v>3.5</v>
      </c>
      <c r="K35">
        <f t="shared" si="2"/>
        <v>2.42</v>
      </c>
      <c r="L35" s="1">
        <v>31.15</v>
      </c>
      <c r="M35" s="30">
        <f t="shared" si="3"/>
        <v>6048.1971000000003</v>
      </c>
      <c r="N35" s="30">
        <f t="shared" si="4"/>
        <v>6.6669960740301555</v>
      </c>
      <c r="O35" s="18" t="s">
        <v>97</v>
      </c>
      <c r="P35" t="s">
        <v>153</v>
      </c>
      <c r="Q35">
        <v>4.43</v>
      </c>
      <c r="R35">
        <v>3.3</v>
      </c>
      <c r="S35">
        <v>4.08</v>
      </c>
      <c r="T35">
        <v>5.16</v>
      </c>
      <c r="U35">
        <v>5.2</v>
      </c>
      <c r="V35">
        <v>5.65</v>
      </c>
      <c r="W35">
        <v>6.17</v>
      </c>
      <c r="X35">
        <v>5.72</v>
      </c>
      <c r="Y35">
        <v>4.4800000000000004</v>
      </c>
      <c r="Z35">
        <v>5.0199999999999996</v>
      </c>
      <c r="AA35">
        <v>2.85</v>
      </c>
      <c r="AB35">
        <v>2.35</v>
      </c>
      <c r="AC35">
        <v>1.67</v>
      </c>
      <c r="AD35">
        <v>3.16</v>
      </c>
      <c r="AE35">
        <v>2</v>
      </c>
      <c r="AF35">
        <v>3.67</v>
      </c>
      <c r="AG35">
        <v>4.05</v>
      </c>
      <c r="AH35">
        <v>3.6</v>
      </c>
      <c r="AI35">
        <v>2.33</v>
      </c>
      <c r="AJ35">
        <v>2.83</v>
      </c>
      <c r="AL35" s="18" t="s">
        <v>97</v>
      </c>
      <c r="AM35">
        <v>69.5</v>
      </c>
      <c r="AN35">
        <v>66</v>
      </c>
      <c r="AO35">
        <v>64</v>
      </c>
      <c r="AP35">
        <v>62.5</v>
      </c>
      <c r="AQ35">
        <v>66</v>
      </c>
      <c r="AR35" s="17">
        <f t="shared" si="5"/>
        <v>54.666666666666664</v>
      </c>
      <c r="AS35" s="17">
        <f t="shared" si="9"/>
        <v>138.85333333333332</v>
      </c>
    </row>
    <row r="36" spans="1:45" x14ac:dyDescent="0.3">
      <c r="A36" t="s">
        <v>98</v>
      </c>
      <c r="B36" s="17">
        <f>(108+74+79)/3</f>
        <v>87</v>
      </c>
      <c r="C36" s="17">
        <f t="shared" si="10"/>
        <v>49.714285714285715</v>
      </c>
      <c r="D36" s="31">
        <f t="shared" si="8"/>
        <v>2165554.2857142859</v>
      </c>
      <c r="F36">
        <v>410</v>
      </c>
      <c r="G36" s="16">
        <f t="shared" si="0"/>
        <v>1488300.0000000002</v>
      </c>
      <c r="H36" s="30">
        <f t="shared" si="1"/>
        <v>68.726053639846754</v>
      </c>
      <c r="I36">
        <v>6.52</v>
      </c>
      <c r="J36">
        <v>3.5</v>
      </c>
      <c r="K36">
        <f t="shared" si="2"/>
        <v>3.0199999999999996</v>
      </c>
      <c r="L36" s="1">
        <v>31.03</v>
      </c>
      <c r="M36" s="30">
        <f t="shared" si="3"/>
        <v>7560.9052199999987</v>
      </c>
      <c r="N36" s="30">
        <f t="shared" si="4"/>
        <v>8.3344713448333376</v>
      </c>
      <c r="O36" s="18" t="s">
        <v>98</v>
      </c>
      <c r="P36" t="s">
        <v>184</v>
      </c>
      <c r="Q36">
        <v>4.95</v>
      </c>
      <c r="R36">
        <v>3.75</v>
      </c>
      <c r="S36">
        <v>5.68</v>
      </c>
      <c r="T36">
        <v>3.69</v>
      </c>
      <c r="U36">
        <v>3.42</v>
      </c>
      <c r="V36">
        <v>3.01</v>
      </c>
      <c r="W36">
        <v>2.3199999999999998</v>
      </c>
      <c r="X36">
        <v>2.2999999999999998</v>
      </c>
      <c r="Y36">
        <v>3.87</v>
      </c>
      <c r="Z36">
        <v>1.73</v>
      </c>
      <c r="AA36">
        <v>4.4800000000000004</v>
      </c>
      <c r="AB36">
        <v>2.75</v>
      </c>
      <c r="AC36">
        <v>3.26</v>
      </c>
      <c r="AD36">
        <v>2.44</v>
      </c>
      <c r="AE36">
        <v>2.19</v>
      </c>
      <c r="AF36">
        <v>2.29</v>
      </c>
      <c r="AG36">
        <v>1.59</v>
      </c>
      <c r="AH36">
        <v>1.7</v>
      </c>
      <c r="AI36">
        <v>2.99</v>
      </c>
      <c r="AJ36">
        <v>1.79</v>
      </c>
      <c r="AL36" s="18" t="s">
        <v>98</v>
      </c>
      <c r="AM36">
        <v>47</v>
      </c>
      <c r="AN36">
        <v>49.5</v>
      </c>
      <c r="AO36">
        <v>58</v>
      </c>
      <c r="AP36">
        <v>55</v>
      </c>
      <c r="AQ36">
        <v>56</v>
      </c>
      <c r="AR36" s="17">
        <f t="shared" si="5"/>
        <v>44.25</v>
      </c>
      <c r="AS36" s="17">
        <f t="shared" si="9"/>
        <v>112.395</v>
      </c>
    </row>
    <row r="37" spans="1:45" x14ac:dyDescent="0.3">
      <c r="A37" t="s">
        <v>99</v>
      </c>
      <c r="B37" s="17">
        <f>(61+57+58)/3</f>
        <v>58.666666666666664</v>
      </c>
      <c r="C37" s="17">
        <f t="shared" si="10"/>
        <v>33.523809523809526</v>
      </c>
      <c r="D37" s="31">
        <f t="shared" si="8"/>
        <v>1460297.142857143</v>
      </c>
      <c r="F37">
        <v>227</v>
      </c>
      <c r="G37" s="16">
        <f t="shared" si="0"/>
        <v>824010.00000000012</v>
      </c>
      <c r="H37" s="30">
        <f t="shared" si="1"/>
        <v>56.42755681818182</v>
      </c>
      <c r="I37">
        <v>7.48</v>
      </c>
      <c r="J37">
        <v>3.5</v>
      </c>
      <c r="K37">
        <f t="shared" si="2"/>
        <v>3.9800000000000004</v>
      </c>
      <c r="L37" s="1">
        <v>31.52</v>
      </c>
      <c r="M37" s="30">
        <f t="shared" si="3"/>
        <v>9893.579520000003</v>
      </c>
      <c r="N37" s="30">
        <f t="shared" si="4"/>
        <v>10.905804610425999</v>
      </c>
      <c r="O37" s="18" t="s">
        <v>99</v>
      </c>
      <c r="P37" t="s">
        <v>6</v>
      </c>
      <c r="Q37">
        <v>10.15</v>
      </c>
      <c r="R37">
        <v>3.95</v>
      </c>
      <c r="S37">
        <v>4.3</v>
      </c>
      <c r="T37">
        <v>4.58</v>
      </c>
      <c r="U37">
        <v>2.25</v>
      </c>
      <c r="V37">
        <v>3.89</v>
      </c>
      <c r="W37">
        <v>4.79</v>
      </c>
      <c r="X37">
        <v>4.5</v>
      </c>
      <c r="Y37">
        <v>2.62</v>
      </c>
      <c r="Z37">
        <v>2.79</v>
      </c>
      <c r="AA37">
        <v>3.67</v>
      </c>
      <c r="AB37">
        <v>1.54</v>
      </c>
      <c r="AC37">
        <v>2.39</v>
      </c>
      <c r="AD37">
        <v>2.57</v>
      </c>
      <c r="AE37">
        <v>1.1000000000000001</v>
      </c>
      <c r="AF37">
        <v>2.0499999999999998</v>
      </c>
      <c r="AG37">
        <v>2.54</v>
      </c>
      <c r="AH37">
        <v>2.83</v>
      </c>
      <c r="AI37">
        <v>1.08</v>
      </c>
      <c r="AJ37">
        <v>1.1499999999999999</v>
      </c>
      <c r="AL37" s="18" t="s">
        <v>99</v>
      </c>
      <c r="AM37">
        <v>53.5</v>
      </c>
      <c r="AN37">
        <v>58</v>
      </c>
      <c r="AO37">
        <v>59</v>
      </c>
      <c r="AP37">
        <v>57.5</v>
      </c>
      <c r="AQ37">
        <v>56</v>
      </c>
      <c r="AR37" s="17">
        <f t="shared" si="5"/>
        <v>47.333333333333336</v>
      </c>
      <c r="AS37" s="17">
        <f t="shared" si="9"/>
        <v>120.22666666666667</v>
      </c>
    </row>
    <row r="38" spans="1:45" x14ac:dyDescent="0.3">
      <c r="A38" t="s">
        <v>100</v>
      </c>
      <c r="B38" s="17">
        <f>(42+26+39)/3</f>
        <v>35.666666666666664</v>
      </c>
      <c r="C38" s="17">
        <f t="shared" si="10"/>
        <v>20.38095238095238</v>
      </c>
      <c r="D38" s="31">
        <f t="shared" si="8"/>
        <v>887794.28571428568</v>
      </c>
      <c r="F38">
        <v>127</v>
      </c>
      <c r="G38" s="16">
        <f t="shared" si="0"/>
        <v>461010.00000000006</v>
      </c>
      <c r="H38" s="30">
        <f t="shared" si="1"/>
        <v>51.927570093457952</v>
      </c>
      <c r="I38">
        <v>6.12</v>
      </c>
      <c r="J38">
        <v>3.5</v>
      </c>
      <c r="K38">
        <f t="shared" si="2"/>
        <v>2.62</v>
      </c>
      <c r="L38" s="1">
        <v>31.72</v>
      </c>
      <c r="M38" s="30">
        <f t="shared" si="3"/>
        <v>6493.8376800000015</v>
      </c>
      <c r="N38" s="30">
        <f t="shared" si="4"/>
        <v>7.158230725971066</v>
      </c>
      <c r="O38" s="18" t="s">
        <v>100</v>
      </c>
      <c r="P38" t="s">
        <v>182</v>
      </c>
      <c r="Q38">
        <v>4.5</v>
      </c>
      <c r="R38">
        <v>4.03</v>
      </c>
      <c r="S38">
        <v>5.4</v>
      </c>
      <c r="T38">
        <v>6.05</v>
      </c>
      <c r="U38">
        <v>6.64</v>
      </c>
      <c r="V38">
        <v>6.02</v>
      </c>
      <c r="W38">
        <v>7.24</v>
      </c>
      <c r="X38">
        <v>4.1500000000000004</v>
      </c>
      <c r="Y38">
        <v>7.25</v>
      </c>
      <c r="Z38">
        <v>5.64</v>
      </c>
      <c r="AA38">
        <v>1.8</v>
      </c>
      <c r="AB38">
        <v>1.85</v>
      </c>
      <c r="AC38">
        <v>3.12</v>
      </c>
      <c r="AD38">
        <v>3.52</v>
      </c>
      <c r="AE38">
        <v>3.58</v>
      </c>
      <c r="AF38">
        <v>3.77</v>
      </c>
      <c r="AG38">
        <v>4.58</v>
      </c>
      <c r="AH38">
        <v>2.76</v>
      </c>
      <c r="AI38">
        <v>4.1900000000000004</v>
      </c>
      <c r="AJ38">
        <v>3.41</v>
      </c>
      <c r="AL38" s="18" t="s">
        <v>100</v>
      </c>
      <c r="AM38">
        <v>46.5</v>
      </c>
      <c r="AN38">
        <v>51</v>
      </c>
      <c r="AO38">
        <v>50.5</v>
      </c>
      <c r="AP38">
        <v>48</v>
      </c>
      <c r="AQ38">
        <v>44.5</v>
      </c>
      <c r="AR38" s="17">
        <f t="shared" si="5"/>
        <v>40.083333333333336</v>
      </c>
      <c r="AS38" s="17">
        <f t="shared" si="9"/>
        <v>101.81166666666667</v>
      </c>
    </row>
    <row r="39" spans="1:45" x14ac:dyDescent="0.3">
      <c r="A39" t="s">
        <v>101</v>
      </c>
      <c r="B39" s="17">
        <f>(48+19+22)/3</f>
        <v>29.666666666666668</v>
      </c>
      <c r="C39" s="17">
        <f t="shared" si="10"/>
        <v>16.952380952380953</v>
      </c>
      <c r="D39" s="31">
        <f t="shared" si="8"/>
        <v>738445.71428571432</v>
      </c>
      <c r="F39">
        <v>125</v>
      </c>
      <c r="G39" s="16">
        <f t="shared" si="0"/>
        <v>453750.00000000006</v>
      </c>
      <c r="H39" s="30">
        <f t="shared" si="1"/>
        <v>61.446629213483149</v>
      </c>
      <c r="I39">
        <v>5.36</v>
      </c>
      <c r="J39">
        <v>3.5</v>
      </c>
      <c r="K39">
        <f t="shared" si="2"/>
        <v>1.8600000000000003</v>
      </c>
      <c r="L39" s="1">
        <v>31.59</v>
      </c>
      <c r="M39" s="30">
        <f t="shared" si="3"/>
        <v>4618.9063800000004</v>
      </c>
      <c r="N39" s="30">
        <f t="shared" si="4"/>
        <v>5.0914727467748753</v>
      </c>
      <c r="O39" s="27" t="s">
        <v>101</v>
      </c>
      <c r="P39" t="s">
        <v>181</v>
      </c>
      <c r="Q39">
        <v>5.86</v>
      </c>
      <c r="R39">
        <v>3.75</v>
      </c>
      <c r="S39">
        <v>4.42</v>
      </c>
      <c r="T39">
        <v>5.12</v>
      </c>
      <c r="U39">
        <v>3.97</v>
      </c>
      <c r="V39">
        <v>4.01</v>
      </c>
      <c r="W39">
        <v>5.36</v>
      </c>
      <c r="X39">
        <v>4.46</v>
      </c>
      <c r="Y39">
        <v>4.0599999999999996</v>
      </c>
      <c r="Z39">
        <v>6.68</v>
      </c>
      <c r="AA39">
        <v>4.2</v>
      </c>
      <c r="AB39">
        <v>2.4900000000000002</v>
      </c>
      <c r="AC39">
        <v>3.32</v>
      </c>
      <c r="AD39">
        <v>4.03</v>
      </c>
      <c r="AE39">
        <v>3.11</v>
      </c>
      <c r="AF39">
        <v>2.46</v>
      </c>
      <c r="AG39">
        <v>3.59</v>
      </c>
      <c r="AH39">
        <v>2.71</v>
      </c>
      <c r="AI39">
        <v>3.15</v>
      </c>
      <c r="AJ39">
        <v>4.34</v>
      </c>
      <c r="AL39" s="27" t="s">
        <v>101</v>
      </c>
      <c r="AM39">
        <v>45.5</v>
      </c>
      <c r="AN39">
        <v>50</v>
      </c>
      <c r="AO39">
        <v>40</v>
      </c>
      <c r="AP39">
        <v>47.5</v>
      </c>
      <c r="AQ39">
        <v>51</v>
      </c>
      <c r="AR39" s="17">
        <f t="shared" si="5"/>
        <v>39</v>
      </c>
      <c r="AS39" s="17">
        <f t="shared" si="9"/>
        <v>99.06</v>
      </c>
    </row>
    <row r="40" spans="1:45" x14ac:dyDescent="0.3">
      <c r="A40" t="s">
        <v>102</v>
      </c>
      <c r="B40" s="17">
        <f>(31+35+28)/3</f>
        <v>31.333333333333332</v>
      </c>
      <c r="C40" s="17">
        <f t="shared" si="10"/>
        <v>17.904761904761905</v>
      </c>
      <c r="D40" s="31">
        <f t="shared" si="8"/>
        <v>779931.42857142864</v>
      </c>
      <c r="F40">
        <v>148</v>
      </c>
      <c r="G40" s="16">
        <f t="shared" si="0"/>
        <v>537240</v>
      </c>
      <c r="H40" s="30">
        <f t="shared" si="1"/>
        <v>68.88297872340425</v>
      </c>
      <c r="I40">
        <v>4.32</v>
      </c>
      <c r="J40">
        <v>3.5</v>
      </c>
      <c r="K40">
        <f t="shared" si="2"/>
        <v>0.82000000000000028</v>
      </c>
      <c r="L40" s="1">
        <v>34.64</v>
      </c>
      <c r="M40" s="30">
        <f t="shared" si="3"/>
        <v>1945.5057600000009</v>
      </c>
      <c r="N40" s="30">
        <f t="shared" si="4"/>
        <v>2.1445530047165722</v>
      </c>
      <c r="O40" s="27" t="s">
        <v>102</v>
      </c>
      <c r="P40" t="s">
        <v>71</v>
      </c>
      <c r="Q40">
        <v>4.3499999999999996</v>
      </c>
      <c r="R40">
        <v>8.3800000000000008</v>
      </c>
      <c r="S40">
        <v>3.09</v>
      </c>
      <c r="T40">
        <v>3.07</v>
      </c>
      <c r="U40">
        <v>3.22</v>
      </c>
      <c r="V40">
        <v>2.5099999999999998</v>
      </c>
      <c r="W40">
        <v>3.55</v>
      </c>
      <c r="X40">
        <v>3.28</v>
      </c>
      <c r="Y40">
        <v>2.75</v>
      </c>
      <c r="Z40">
        <v>2.77</v>
      </c>
      <c r="AA40">
        <v>3.78</v>
      </c>
      <c r="AB40">
        <v>3.29</v>
      </c>
      <c r="AC40">
        <v>2.17</v>
      </c>
      <c r="AD40">
        <v>2.72</v>
      </c>
      <c r="AE40">
        <v>2.59</v>
      </c>
      <c r="AF40">
        <v>2.34</v>
      </c>
      <c r="AG40">
        <v>2.65</v>
      </c>
      <c r="AH40">
        <v>2.63</v>
      </c>
      <c r="AI40">
        <v>2.06</v>
      </c>
      <c r="AJ40">
        <v>2.0099999999999998</v>
      </c>
      <c r="AL40" s="27" t="s">
        <v>102</v>
      </c>
      <c r="AM40">
        <v>32</v>
      </c>
      <c r="AN40">
        <v>35.5</v>
      </c>
      <c r="AO40">
        <v>29.5</v>
      </c>
      <c r="AP40">
        <v>36</v>
      </c>
      <c r="AQ40">
        <v>33</v>
      </c>
      <c r="AR40" s="17">
        <f t="shared" si="5"/>
        <v>27.666666666666668</v>
      </c>
      <c r="AS40" s="17">
        <f t="shared" si="9"/>
        <v>70.273333333333341</v>
      </c>
    </row>
    <row r="41" spans="1:45" x14ac:dyDescent="0.3">
      <c r="A41" t="s">
        <v>103</v>
      </c>
      <c r="B41" s="17">
        <f>(52+45+46)/3</f>
        <v>47.666666666666664</v>
      </c>
      <c r="C41" s="17">
        <f t="shared" si="10"/>
        <v>27.238095238095237</v>
      </c>
      <c r="D41" s="31">
        <f t="shared" ref="D41:D72" si="11">(C41*43560)</f>
        <v>1186491.4285714286</v>
      </c>
      <c r="F41">
        <v>251</v>
      </c>
      <c r="G41" s="16">
        <f t="shared" si="0"/>
        <v>911130.00000000012</v>
      </c>
      <c r="H41" s="30">
        <f t="shared" si="1"/>
        <v>76.791958041958054</v>
      </c>
      <c r="I41">
        <v>5.78</v>
      </c>
      <c r="J41">
        <v>3.5</v>
      </c>
      <c r="K41">
        <f t="shared" si="2"/>
        <v>2.2800000000000002</v>
      </c>
      <c r="L41" s="1">
        <v>29.85</v>
      </c>
      <c r="M41" s="30">
        <f t="shared" si="3"/>
        <v>5805.8946000000014</v>
      </c>
      <c r="N41" s="30">
        <f t="shared" si="4"/>
        <v>6.3999032876148974</v>
      </c>
      <c r="O41" s="27" t="s">
        <v>103</v>
      </c>
      <c r="P41" t="s">
        <v>153</v>
      </c>
      <c r="Q41">
        <v>7.27</v>
      </c>
      <c r="R41">
        <v>4.17</v>
      </c>
      <c r="S41">
        <v>3.74</v>
      </c>
      <c r="T41">
        <v>3.45</v>
      </c>
      <c r="U41">
        <v>3.26</v>
      </c>
      <c r="V41">
        <v>3.69</v>
      </c>
      <c r="W41">
        <v>4.08</v>
      </c>
      <c r="X41">
        <v>4.87</v>
      </c>
      <c r="Y41">
        <v>4.63</v>
      </c>
      <c r="Z41">
        <v>6.8</v>
      </c>
      <c r="AA41">
        <v>5.66</v>
      </c>
      <c r="AB41">
        <v>2.4500000000000002</v>
      </c>
      <c r="AC41">
        <v>2.72</v>
      </c>
      <c r="AD41">
        <v>2.1800000000000002</v>
      </c>
      <c r="AE41">
        <v>2.14</v>
      </c>
      <c r="AF41">
        <v>2.31</v>
      </c>
      <c r="AG41">
        <v>2.44</v>
      </c>
      <c r="AH41">
        <v>3.58</v>
      </c>
      <c r="AI41">
        <v>3.45</v>
      </c>
      <c r="AJ41">
        <v>5.53</v>
      </c>
      <c r="AL41" s="27" t="s">
        <v>103</v>
      </c>
      <c r="AM41">
        <v>69</v>
      </c>
      <c r="AN41">
        <v>64.5</v>
      </c>
      <c r="AO41">
        <v>67</v>
      </c>
      <c r="AP41">
        <v>68</v>
      </c>
      <c r="AQ41">
        <v>62</v>
      </c>
      <c r="AR41" s="17">
        <f t="shared" si="5"/>
        <v>55.083333333333336</v>
      </c>
      <c r="AS41" s="17">
        <f t="shared" si="9"/>
        <v>139.91166666666666</v>
      </c>
    </row>
    <row r="42" spans="1:45" x14ac:dyDescent="0.3">
      <c r="A42" t="s">
        <v>104</v>
      </c>
      <c r="B42" s="17">
        <f>(61+52+73)/3</f>
        <v>62</v>
      </c>
      <c r="C42" s="17">
        <f t="shared" si="10"/>
        <v>35.428571428571431</v>
      </c>
      <c r="D42" s="31">
        <f t="shared" si="11"/>
        <v>1543268.5714285716</v>
      </c>
      <c r="F42">
        <v>194</v>
      </c>
      <c r="G42" s="16">
        <f t="shared" si="0"/>
        <v>704220.00000000012</v>
      </c>
      <c r="H42" s="30">
        <f t="shared" si="1"/>
        <v>45.631720430107528</v>
      </c>
      <c r="I42">
        <v>6</v>
      </c>
      <c r="J42">
        <v>3.5</v>
      </c>
      <c r="K42">
        <f t="shared" si="2"/>
        <v>2.5</v>
      </c>
      <c r="L42" s="1">
        <v>34.75</v>
      </c>
      <c r="M42" s="30">
        <f t="shared" si="3"/>
        <v>5921.4375000000009</v>
      </c>
      <c r="N42" s="30">
        <f t="shared" si="4"/>
        <v>6.5272675331819032</v>
      </c>
      <c r="O42" s="27" t="s">
        <v>104</v>
      </c>
      <c r="P42" t="s">
        <v>183</v>
      </c>
      <c r="Q42">
        <v>3.57</v>
      </c>
      <c r="R42">
        <v>4</v>
      </c>
      <c r="S42">
        <v>4.05</v>
      </c>
      <c r="T42">
        <v>3</v>
      </c>
      <c r="U42">
        <v>3.07</v>
      </c>
      <c r="V42">
        <v>4.04</v>
      </c>
      <c r="W42">
        <v>3.05</v>
      </c>
      <c r="X42">
        <v>3.87</v>
      </c>
      <c r="Y42">
        <v>3.87</v>
      </c>
      <c r="Z42">
        <v>4.7300000000000004</v>
      </c>
      <c r="AA42">
        <v>2.21</v>
      </c>
      <c r="AB42">
        <v>2.2999999999999998</v>
      </c>
      <c r="AC42">
        <v>2.72</v>
      </c>
      <c r="AD42">
        <v>1.91</v>
      </c>
      <c r="AE42">
        <v>1.59</v>
      </c>
      <c r="AF42">
        <v>2.57</v>
      </c>
      <c r="AG42">
        <v>1.69</v>
      </c>
      <c r="AH42">
        <v>2.77</v>
      </c>
      <c r="AI42">
        <v>2.2400000000000002</v>
      </c>
      <c r="AJ42">
        <v>3.27</v>
      </c>
      <c r="AL42" s="27" t="s">
        <v>104</v>
      </c>
      <c r="AM42">
        <v>50</v>
      </c>
      <c r="AN42">
        <v>56</v>
      </c>
      <c r="AO42">
        <v>53.5</v>
      </c>
      <c r="AP42">
        <v>51</v>
      </c>
      <c r="AQ42">
        <v>49</v>
      </c>
      <c r="AR42" s="17">
        <f t="shared" si="5"/>
        <v>43.25</v>
      </c>
      <c r="AS42" s="17">
        <f t="shared" si="9"/>
        <v>109.855</v>
      </c>
    </row>
    <row r="43" spans="1:45" x14ac:dyDescent="0.3">
      <c r="A43" t="s">
        <v>105</v>
      </c>
      <c r="B43" s="17">
        <f>(39+31+27)/3</f>
        <v>32.333333333333336</v>
      </c>
      <c r="C43" s="17">
        <f t="shared" si="10"/>
        <v>18.476190476190478</v>
      </c>
      <c r="D43" s="31">
        <f t="shared" si="11"/>
        <v>804822.85714285728</v>
      </c>
      <c r="F43">
        <v>160</v>
      </c>
      <c r="G43" s="16">
        <f t="shared" si="0"/>
        <v>580800</v>
      </c>
      <c r="H43" s="30">
        <f t="shared" si="1"/>
        <v>72.164948453608233</v>
      </c>
      <c r="I43">
        <v>4.6399999999999997</v>
      </c>
      <c r="J43">
        <v>3.5</v>
      </c>
      <c r="K43">
        <f t="shared" si="2"/>
        <v>1.1399999999999997</v>
      </c>
      <c r="L43" s="1">
        <v>30.34</v>
      </c>
      <c r="M43" s="30">
        <f t="shared" si="3"/>
        <v>2882.6701199999993</v>
      </c>
      <c r="N43" s="30">
        <f t="shared" si="4"/>
        <v>3.1775998789397968</v>
      </c>
      <c r="O43" s="27" t="s">
        <v>105</v>
      </c>
      <c r="P43" t="s">
        <v>175</v>
      </c>
      <c r="Q43">
        <v>3.01</v>
      </c>
      <c r="R43">
        <v>4.67</v>
      </c>
      <c r="S43">
        <v>3.14</v>
      </c>
      <c r="T43">
        <v>3.37</v>
      </c>
      <c r="U43">
        <v>2.09</v>
      </c>
      <c r="V43">
        <v>2.97</v>
      </c>
      <c r="W43">
        <v>3</v>
      </c>
      <c r="X43">
        <v>3.26</v>
      </c>
      <c r="Y43">
        <v>3.27</v>
      </c>
      <c r="Z43">
        <v>3.43</v>
      </c>
      <c r="AA43">
        <v>3.31</v>
      </c>
      <c r="AB43">
        <v>3.81</v>
      </c>
      <c r="AC43">
        <v>2.44</v>
      </c>
      <c r="AD43">
        <v>1.97</v>
      </c>
      <c r="AE43">
        <v>1.86</v>
      </c>
      <c r="AF43">
        <v>1.82</v>
      </c>
      <c r="AG43">
        <v>2.42</v>
      </c>
      <c r="AH43">
        <v>2.5499999999999998</v>
      </c>
      <c r="AI43">
        <v>2.5299999999999998</v>
      </c>
      <c r="AJ43">
        <v>2.34</v>
      </c>
      <c r="AL43" s="27" t="s">
        <v>105</v>
      </c>
      <c r="AM43">
        <v>35.5</v>
      </c>
      <c r="AN43">
        <v>38</v>
      </c>
      <c r="AO43">
        <v>41</v>
      </c>
      <c r="AP43">
        <v>43</v>
      </c>
      <c r="AQ43">
        <v>39</v>
      </c>
      <c r="AR43" s="17">
        <f t="shared" si="5"/>
        <v>32.75</v>
      </c>
      <c r="AS43" s="17">
        <f t="shared" si="9"/>
        <v>83.185000000000002</v>
      </c>
    </row>
    <row r="44" spans="1:45" x14ac:dyDescent="0.3">
      <c r="A44" t="s">
        <v>106</v>
      </c>
      <c r="B44" s="17">
        <f>(42+35+61)/3</f>
        <v>46</v>
      </c>
      <c r="C44" s="17">
        <f t="shared" si="10"/>
        <v>26.285714285714285</v>
      </c>
      <c r="D44" s="31">
        <f t="shared" si="11"/>
        <v>1145005.7142857143</v>
      </c>
      <c r="F44">
        <v>50</v>
      </c>
      <c r="G44" s="16">
        <f t="shared" si="0"/>
        <v>181500.00000000003</v>
      </c>
      <c r="H44" s="30">
        <f t="shared" si="1"/>
        <v>15.85144927536232</v>
      </c>
      <c r="I44">
        <v>4.5</v>
      </c>
      <c r="J44">
        <v>3.5</v>
      </c>
      <c r="K44">
        <f t="shared" si="2"/>
        <v>1</v>
      </c>
      <c r="L44" s="1">
        <v>31.4</v>
      </c>
      <c r="M44" s="30">
        <f t="shared" si="3"/>
        <v>2490.1799999999998</v>
      </c>
      <c r="N44" s="30">
        <f t="shared" si="4"/>
        <v>2.7449535802377225</v>
      </c>
      <c r="O44" s="27" t="s">
        <v>106</v>
      </c>
      <c r="P44" t="s">
        <v>176</v>
      </c>
      <c r="Q44">
        <v>3.55</v>
      </c>
      <c r="R44">
        <v>3.62</v>
      </c>
      <c r="S44">
        <v>3.98</v>
      </c>
      <c r="T44">
        <v>2.8</v>
      </c>
      <c r="U44">
        <v>3.38</v>
      </c>
      <c r="V44">
        <v>4.29</v>
      </c>
      <c r="W44">
        <v>3.31</v>
      </c>
      <c r="X44">
        <v>4.05</v>
      </c>
      <c r="Y44">
        <v>2.5299999999999998</v>
      </c>
      <c r="Z44">
        <v>3.48</v>
      </c>
      <c r="AA44">
        <v>3.31</v>
      </c>
      <c r="AB44">
        <v>3.61</v>
      </c>
      <c r="AC44">
        <v>3.43</v>
      </c>
      <c r="AD44">
        <v>2.58</v>
      </c>
      <c r="AE44">
        <v>3.48</v>
      </c>
      <c r="AF44">
        <v>3.48</v>
      </c>
      <c r="AG44">
        <v>2.92</v>
      </c>
      <c r="AH44">
        <v>3.27</v>
      </c>
      <c r="AI44">
        <v>2.41</v>
      </c>
      <c r="AJ44">
        <v>3.11</v>
      </c>
      <c r="AL44" s="27" t="s">
        <v>106</v>
      </c>
      <c r="AM44">
        <v>43</v>
      </c>
      <c r="AN44">
        <v>37.5</v>
      </c>
      <c r="AO44">
        <v>39</v>
      </c>
      <c r="AP44">
        <v>41.5</v>
      </c>
      <c r="AQ44">
        <v>38</v>
      </c>
      <c r="AR44" s="17">
        <f t="shared" si="5"/>
        <v>33.166666666666664</v>
      </c>
      <c r="AS44" s="17">
        <f t="shared" si="9"/>
        <v>84.243333333333325</v>
      </c>
    </row>
    <row r="45" spans="1:45" x14ac:dyDescent="0.3">
      <c r="A45" t="s">
        <v>107</v>
      </c>
      <c r="B45" s="17">
        <f>(33+20+24)/3</f>
        <v>25.666666666666668</v>
      </c>
      <c r="C45" s="17">
        <f t="shared" si="10"/>
        <v>14.666666666666668</v>
      </c>
      <c r="D45" s="31">
        <f t="shared" si="11"/>
        <v>638880</v>
      </c>
      <c r="F45">
        <v>91</v>
      </c>
      <c r="G45" s="16">
        <f t="shared" si="0"/>
        <v>330330.00000000006</v>
      </c>
      <c r="H45" s="30">
        <f t="shared" si="1"/>
        <v>51.70454545454546</v>
      </c>
      <c r="I45">
        <v>4.8600000000000003</v>
      </c>
      <c r="J45">
        <v>3.5</v>
      </c>
      <c r="K45">
        <f t="shared" si="2"/>
        <v>1.3600000000000003</v>
      </c>
      <c r="L45" s="1">
        <v>36.11</v>
      </c>
      <c r="M45" s="30">
        <f t="shared" si="3"/>
        <v>3154.1215200000011</v>
      </c>
      <c r="N45" s="30">
        <f t="shared" si="4"/>
        <v>3.4768238275260623</v>
      </c>
      <c r="O45" s="27" t="s">
        <v>107</v>
      </c>
      <c r="P45" t="s">
        <v>67</v>
      </c>
      <c r="Q45">
        <v>4.09</v>
      </c>
      <c r="R45">
        <v>3.31</v>
      </c>
      <c r="S45">
        <v>4.99</v>
      </c>
      <c r="T45">
        <v>3.67</v>
      </c>
      <c r="U45">
        <v>2.69</v>
      </c>
      <c r="V45">
        <v>4.12</v>
      </c>
      <c r="W45">
        <v>3.24</v>
      </c>
      <c r="X45">
        <v>2.06</v>
      </c>
      <c r="Y45">
        <v>4.01</v>
      </c>
      <c r="Z45">
        <v>2.88</v>
      </c>
      <c r="AA45">
        <v>3.34</v>
      </c>
      <c r="AB45">
        <v>2.71</v>
      </c>
      <c r="AC45">
        <v>3.61</v>
      </c>
      <c r="AD45">
        <v>3.04</v>
      </c>
      <c r="AE45">
        <v>1.97</v>
      </c>
      <c r="AF45">
        <v>3.65</v>
      </c>
      <c r="AG45">
        <v>2.81</v>
      </c>
      <c r="AH45">
        <v>1.44</v>
      </c>
      <c r="AI45">
        <v>3.22</v>
      </c>
      <c r="AJ45">
        <v>1.88</v>
      </c>
      <c r="AL45" s="27" t="s">
        <v>107</v>
      </c>
      <c r="AM45">
        <v>48</v>
      </c>
      <c r="AN45">
        <v>44.5</v>
      </c>
      <c r="AO45">
        <v>49</v>
      </c>
      <c r="AP45">
        <v>41</v>
      </c>
      <c r="AQ45">
        <v>43</v>
      </c>
      <c r="AR45" s="17">
        <f t="shared" si="5"/>
        <v>37.583333333333336</v>
      </c>
      <c r="AS45" s="17">
        <f t="shared" si="9"/>
        <v>95.461666666666673</v>
      </c>
    </row>
    <row r="46" spans="1:45" x14ac:dyDescent="0.3">
      <c r="A46" t="s">
        <v>108</v>
      </c>
      <c r="B46" s="17">
        <f>(21+16+9)/3</f>
        <v>15.333333333333334</v>
      </c>
      <c r="C46" s="17">
        <f t="shared" si="10"/>
        <v>8.7619047619047628</v>
      </c>
      <c r="D46" s="31">
        <f t="shared" si="11"/>
        <v>381668.57142857148</v>
      </c>
      <c r="F46">
        <v>115</v>
      </c>
      <c r="G46" s="16">
        <f t="shared" si="0"/>
        <v>417450.00000000006</v>
      </c>
      <c r="H46" s="30">
        <f t="shared" si="1"/>
        <v>109.375</v>
      </c>
      <c r="I46">
        <v>5.62</v>
      </c>
      <c r="J46">
        <v>3.5</v>
      </c>
      <c r="K46">
        <f t="shared" si="2"/>
        <v>2.12</v>
      </c>
      <c r="L46" s="1">
        <v>33.869999999999997</v>
      </c>
      <c r="M46" s="30">
        <f t="shared" si="3"/>
        <v>5089.1002799999997</v>
      </c>
      <c r="N46" s="30">
        <f t="shared" si="4"/>
        <v>5.6097728010725314</v>
      </c>
      <c r="O46" s="27" t="s">
        <v>108</v>
      </c>
      <c r="P46" t="s">
        <v>70</v>
      </c>
      <c r="Q46">
        <v>5</v>
      </c>
      <c r="R46">
        <v>4.25</v>
      </c>
      <c r="S46">
        <v>5.41</v>
      </c>
      <c r="T46">
        <v>6.61</v>
      </c>
      <c r="U46">
        <v>4.59</v>
      </c>
      <c r="V46">
        <v>6.61</v>
      </c>
      <c r="W46">
        <v>6.05</v>
      </c>
      <c r="X46">
        <v>6.02</v>
      </c>
      <c r="Y46">
        <v>3.68</v>
      </c>
      <c r="Z46">
        <v>5.08</v>
      </c>
      <c r="AA46">
        <v>3.95</v>
      </c>
      <c r="AB46">
        <v>3.16</v>
      </c>
      <c r="AC46">
        <v>3.82</v>
      </c>
      <c r="AD46">
        <v>2.82</v>
      </c>
      <c r="AE46">
        <v>3.18</v>
      </c>
      <c r="AF46">
        <v>5.14</v>
      </c>
      <c r="AG46">
        <v>4.2300000000000004</v>
      </c>
      <c r="AH46">
        <v>4.0199999999999996</v>
      </c>
      <c r="AI46">
        <v>2.4700000000000002</v>
      </c>
      <c r="AJ46">
        <v>4.24</v>
      </c>
      <c r="AL46" s="27" t="s">
        <v>108</v>
      </c>
      <c r="AM46">
        <v>35</v>
      </c>
      <c r="AN46">
        <v>38.5</v>
      </c>
      <c r="AO46">
        <v>43</v>
      </c>
      <c r="AP46">
        <v>46</v>
      </c>
      <c r="AQ46">
        <v>41.5</v>
      </c>
      <c r="AR46" s="17">
        <f t="shared" si="5"/>
        <v>34</v>
      </c>
      <c r="AS46" s="17">
        <f t="shared" si="9"/>
        <v>86.36</v>
      </c>
    </row>
    <row r="47" spans="1:45" x14ac:dyDescent="0.3">
      <c r="A47" t="s">
        <v>109</v>
      </c>
      <c r="B47" s="17">
        <f>(77+60+38)/3</f>
        <v>58.333333333333336</v>
      </c>
      <c r="C47" s="17">
        <f t="shared" si="10"/>
        <v>33.333333333333336</v>
      </c>
      <c r="D47" s="31">
        <f t="shared" si="11"/>
        <v>1452000</v>
      </c>
      <c r="F47">
        <v>309</v>
      </c>
      <c r="G47" s="16">
        <f t="shared" si="0"/>
        <v>1121670</v>
      </c>
      <c r="H47" s="30">
        <f t="shared" si="1"/>
        <v>77.25</v>
      </c>
      <c r="I47">
        <v>6.56</v>
      </c>
      <c r="J47">
        <v>3.5</v>
      </c>
      <c r="K47">
        <f t="shared" si="2"/>
        <v>3.0599999999999996</v>
      </c>
      <c r="L47" s="1">
        <v>34.700000000000003</v>
      </c>
      <c r="M47" s="30">
        <f t="shared" si="3"/>
        <v>7253.393399999999</v>
      </c>
      <c r="N47" s="30">
        <f t="shared" si="4"/>
        <v>7.9954975874043903</v>
      </c>
      <c r="O47" s="27" t="s">
        <v>109</v>
      </c>
      <c r="P47" t="s">
        <v>152</v>
      </c>
      <c r="Q47">
        <v>4.63</v>
      </c>
      <c r="R47">
        <v>6.77</v>
      </c>
      <c r="S47">
        <v>3.3</v>
      </c>
      <c r="T47">
        <v>2.7</v>
      </c>
      <c r="U47">
        <v>2.8</v>
      </c>
      <c r="V47">
        <v>7.24</v>
      </c>
      <c r="W47">
        <v>5.62</v>
      </c>
      <c r="X47">
        <v>5.73</v>
      </c>
      <c r="Y47">
        <v>3.8</v>
      </c>
      <c r="Z47">
        <v>3.34</v>
      </c>
      <c r="AA47">
        <v>2.23</v>
      </c>
      <c r="AB47">
        <v>5.3</v>
      </c>
      <c r="AC47">
        <v>2.16</v>
      </c>
      <c r="AD47">
        <v>1.45</v>
      </c>
      <c r="AE47">
        <v>1.97</v>
      </c>
      <c r="AF47">
        <v>5.54</v>
      </c>
      <c r="AG47">
        <v>4.04</v>
      </c>
      <c r="AH47">
        <v>3.75</v>
      </c>
      <c r="AI47">
        <v>2.4900000000000002</v>
      </c>
      <c r="AJ47">
        <v>1.82</v>
      </c>
      <c r="AL47" s="27" t="s">
        <v>109</v>
      </c>
      <c r="AM47">
        <v>47</v>
      </c>
      <c r="AN47">
        <v>48.5</v>
      </c>
      <c r="AO47">
        <v>51</v>
      </c>
      <c r="AP47">
        <v>54</v>
      </c>
      <c r="AQ47">
        <v>53</v>
      </c>
      <c r="AR47" s="17">
        <f t="shared" si="5"/>
        <v>42.25</v>
      </c>
      <c r="AS47" s="17">
        <f t="shared" si="9"/>
        <v>107.315</v>
      </c>
    </row>
    <row r="48" spans="1:45" x14ac:dyDescent="0.3">
      <c r="A48" t="s">
        <v>137</v>
      </c>
      <c r="B48" s="17">
        <f>(84+64+55)/3</f>
        <v>67.666666666666671</v>
      </c>
      <c r="C48" s="17">
        <f t="shared" si="10"/>
        <v>38.666666666666671</v>
      </c>
      <c r="D48" s="31">
        <f t="shared" si="11"/>
        <v>1684320.0000000002</v>
      </c>
      <c r="F48">
        <v>400</v>
      </c>
      <c r="G48" s="16">
        <f t="shared" si="0"/>
        <v>1452000.0000000002</v>
      </c>
      <c r="H48" s="30">
        <f t="shared" si="1"/>
        <v>86.206896551724142</v>
      </c>
      <c r="I48">
        <v>6.71</v>
      </c>
      <c r="J48">
        <v>3.5</v>
      </c>
      <c r="K48">
        <f t="shared" si="2"/>
        <v>3.21</v>
      </c>
      <c r="L48" s="1">
        <v>32.979999999999997</v>
      </c>
      <c r="M48" s="30">
        <f t="shared" si="3"/>
        <v>7809.3714600000012</v>
      </c>
      <c r="N48" s="30">
        <f t="shared" si="4"/>
        <v>8.6083584915681968</v>
      </c>
      <c r="O48" s="27" t="s">
        <v>137</v>
      </c>
      <c r="P48" t="s">
        <v>6</v>
      </c>
      <c r="Q48">
        <v>3.44</v>
      </c>
      <c r="R48">
        <v>6.74</v>
      </c>
      <c r="S48">
        <v>3.01</v>
      </c>
      <c r="T48">
        <v>4.43</v>
      </c>
      <c r="U48">
        <v>3.19</v>
      </c>
      <c r="V48">
        <v>3.11</v>
      </c>
      <c r="W48">
        <v>3.85</v>
      </c>
      <c r="X48">
        <v>4.07</v>
      </c>
      <c r="Y48">
        <v>5.16</v>
      </c>
      <c r="Z48">
        <v>3.26</v>
      </c>
      <c r="AA48">
        <v>2.17</v>
      </c>
      <c r="AB48">
        <v>4.33</v>
      </c>
      <c r="AC48">
        <v>1.61</v>
      </c>
      <c r="AD48">
        <v>2.7</v>
      </c>
      <c r="AE48">
        <v>2.06</v>
      </c>
      <c r="AF48">
        <v>1.51</v>
      </c>
      <c r="AG48">
        <v>1.77</v>
      </c>
      <c r="AH48">
        <v>2.74</v>
      </c>
      <c r="AI48">
        <v>3.14</v>
      </c>
      <c r="AJ48">
        <v>1.86</v>
      </c>
      <c r="AL48" s="27" t="s">
        <v>137</v>
      </c>
      <c r="AM48">
        <v>54.5</v>
      </c>
      <c r="AN48">
        <v>59</v>
      </c>
      <c r="AO48">
        <v>57</v>
      </c>
      <c r="AP48">
        <v>53</v>
      </c>
      <c r="AQ48">
        <v>55</v>
      </c>
      <c r="AR48" s="17">
        <f t="shared" si="5"/>
        <v>46.416666666666664</v>
      </c>
      <c r="AS48" s="17">
        <f t="shared" si="9"/>
        <v>117.89833333333333</v>
      </c>
    </row>
    <row r="49" spans="1:45" x14ac:dyDescent="0.3">
      <c r="A49" t="s">
        <v>110</v>
      </c>
      <c r="B49" s="17">
        <f>(53+60+80)/3</f>
        <v>64.333333333333329</v>
      </c>
      <c r="C49" s="17">
        <f t="shared" si="10"/>
        <v>36.761904761904759</v>
      </c>
      <c r="D49" s="31">
        <f t="shared" si="11"/>
        <v>1601348.5714285714</v>
      </c>
      <c r="F49">
        <v>310</v>
      </c>
      <c r="G49" s="16">
        <f t="shared" si="0"/>
        <v>1125300</v>
      </c>
      <c r="H49" s="30">
        <f t="shared" si="1"/>
        <v>70.2720207253886</v>
      </c>
      <c r="I49">
        <v>5.52</v>
      </c>
      <c r="J49">
        <v>3.5</v>
      </c>
      <c r="K49">
        <f t="shared" si="2"/>
        <v>2.0199999999999996</v>
      </c>
      <c r="L49" s="1">
        <v>34.35</v>
      </c>
      <c r="M49" s="30">
        <f t="shared" si="3"/>
        <v>4813.8518999999997</v>
      </c>
      <c r="N49" s="30">
        <f t="shared" si="4"/>
        <v>5.3063633984849137</v>
      </c>
      <c r="O49" s="27" t="s">
        <v>110</v>
      </c>
      <c r="P49" t="s">
        <v>76</v>
      </c>
      <c r="Q49">
        <v>5.75</v>
      </c>
      <c r="R49">
        <v>2.83</v>
      </c>
      <c r="S49">
        <v>2.4</v>
      </c>
      <c r="T49">
        <v>2.97</v>
      </c>
      <c r="U49">
        <v>4.18</v>
      </c>
      <c r="V49">
        <v>2.62</v>
      </c>
      <c r="W49">
        <v>2.81</v>
      </c>
      <c r="X49">
        <v>3.28</v>
      </c>
      <c r="Y49">
        <v>3.21</v>
      </c>
      <c r="Z49">
        <v>3.29</v>
      </c>
      <c r="AA49">
        <v>3.99</v>
      </c>
      <c r="AB49">
        <v>2.42</v>
      </c>
      <c r="AC49">
        <v>1.71</v>
      </c>
      <c r="AD49">
        <v>1.96</v>
      </c>
      <c r="AE49">
        <v>3.6</v>
      </c>
      <c r="AF49">
        <v>1.89</v>
      </c>
      <c r="AG49">
        <v>2.17</v>
      </c>
      <c r="AH49">
        <v>2.58</v>
      </c>
      <c r="AI49">
        <v>2.36</v>
      </c>
      <c r="AJ49">
        <v>2.68</v>
      </c>
      <c r="AL49" s="27" t="s">
        <v>110</v>
      </c>
      <c r="AM49">
        <v>53</v>
      </c>
      <c r="AN49">
        <v>48</v>
      </c>
      <c r="AO49">
        <v>50</v>
      </c>
      <c r="AP49">
        <v>51.5</v>
      </c>
      <c r="AQ49">
        <v>47</v>
      </c>
      <c r="AR49" s="17">
        <f t="shared" si="5"/>
        <v>41.583333333333336</v>
      </c>
      <c r="AS49" s="17">
        <f t="shared" si="9"/>
        <v>105.62166666666667</v>
      </c>
    </row>
    <row r="50" spans="1:45" x14ac:dyDescent="0.3">
      <c r="A50" t="s">
        <v>111</v>
      </c>
      <c r="B50" s="17">
        <f>(39+26+31)/3</f>
        <v>32</v>
      </c>
      <c r="C50" s="17">
        <f t="shared" si="10"/>
        <v>18.285714285714285</v>
      </c>
      <c r="D50" s="31">
        <f t="shared" si="11"/>
        <v>796525.7142857142</v>
      </c>
      <c r="F50">
        <v>223</v>
      </c>
      <c r="G50" s="16">
        <f t="shared" si="0"/>
        <v>809490.00000000012</v>
      </c>
      <c r="H50" s="30">
        <f t="shared" si="1"/>
        <v>101.6276041666667</v>
      </c>
      <c r="I50">
        <v>5.66</v>
      </c>
      <c r="J50">
        <v>3.5</v>
      </c>
      <c r="K50">
        <f t="shared" si="2"/>
        <v>2.16</v>
      </c>
      <c r="L50" s="1">
        <v>30.63</v>
      </c>
      <c r="M50" s="30">
        <f t="shared" si="3"/>
        <v>5439.1629600000015</v>
      </c>
      <c r="N50" s="30">
        <f t="shared" si="4"/>
        <v>5.9956508527690415</v>
      </c>
      <c r="O50" s="27" t="s">
        <v>111</v>
      </c>
      <c r="P50" t="s">
        <v>182</v>
      </c>
      <c r="Q50">
        <v>5.09</v>
      </c>
      <c r="R50">
        <v>6.15</v>
      </c>
      <c r="S50">
        <v>3.91</v>
      </c>
      <c r="T50">
        <v>3.5</v>
      </c>
      <c r="U50">
        <v>3.19</v>
      </c>
      <c r="V50">
        <v>4.07</v>
      </c>
      <c r="W50">
        <v>3.83</v>
      </c>
      <c r="X50">
        <v>5.62</v>
      </c>
      <c r="Y50">
        <v>5.0199999999999996</v>
      </c>
      <c r="Z50">
        <v>2.95</v>
      </c>
      <c r="AA50">
        <v>3.12</v>
      </c>
      <c r="AB50">
        <v>3.86</v>
      </c>
      <c r="AC50">
        <v>2.74</v>
      </c>
      <c r="AD50">
        <v>2.2799999999999998</v>
      </c>
      <c r="AE50">
        <v>2.14</v>
      </c>
      <c r="AF50">
        <v>2.52</v>
      </c>
      <c r="AG50">
        <v>2.5099999999999998</v>
      </c>
      <c r="AH50">
        <v>3.25</v>
      </c>
      <c r="AI50">
        <v>2.89</v>
      </c>
      <c r="AJ50">
        <v>2.2200000000000002</v>
      </c>
      <c r="AL50" s="27" t="s">
        <v>111</v>
      </c>
      <c r="AM50">
        <v>44</v>
      </c>
      <c r="AN50">
        <v>50</v>
      </c>
      <c r="AO50">
        <v>47</v>
      </c>
      <c r="AP50">
        <v>49</v>
      </c>
      <c r="AQ50">
        <v>44</v>
      </c>
      <c r="AR50" s="17">
        <f t="shared" si="5"/>
        <v>39</v>
      </c>
      <c r="AS50" s="17">
        <f t="shared" si="9"/>
        <v>99.06</v>
      </c>
    </row>
    <row r="51" spans="1:45" x14ac:dyDescent="0.3">
      <c r="A51" t="s">
        <v>112</v>
      </c>
      <c r="B51" s="17">
        <f>(63+57+75)/3</f>
        <v>65</v>
      </c>
      <c r="C51" s="17">
        <f t="shared" si="10"/>
        <v>37.142857142857146</v>
      </c>
      <c r="D51" s="31">
        <f t="shared" si="11"/>
        <v>1617942.8571428573</v>
      </c>
      <c r="F51">
        <v>192</v>
      </c>
      <c r="G51" s="16">
        <f t="shared" si="0"/>
        <v>696960.00000000012</v>
      </c>
      <c r="H51" s="30">
        <f t="shared" si="1"/>
        <v>43.07692307692308</v>
      </c>
      <c r="I51">
        <v>5.56</v>
      </c>
      <c r="J51">
        <v>3.5</v>
      </c>
      <c r="K51">
        <f t="shared" si="2"/>
        <v>2.0599999999999996</v>
      </c>
      <c r="L51" s="1">
        <v>34.06</v>
      </c>
      <c r="M51" s="30">
        <f t="shared" si="3"/>
        <v>4930.8613199999991</v>
      </c>
      <c r="N51" s="30">
        <f t="shared" si="4"/>
        <v>5.4353442056356167</v>
      </c>
      <c r="O51" s="27" t="s">
        <v>112</v>
      </c>
      <c r="P51" t="s">
        <v>184</v>
      </c>
      <c r="Q51">
        <v>2.63</v>
      </c>
      <c r="R51">
        <v>4.6100000000000003</v>
      </c>
      <c r="S51">
        <v>4.22</v>
      </c>
      <c r="T51">
        <v>3.73</v>
      </c>
      <c r="U51">
        <v>3.7</v>
      </c>
      <c r="V51">
        <v>3.62</v>
      </c>
      <c r="W51">
        <v>3.68</v>
      </c>
      <c r="X51">
        <v>3.24</v>
      </c>
      <c r="Y51">
        <v>4.26</v>
      </c>
      <c r="Z51">
        <v>3.54</v>
      </c>
      <c r="AA51">
        <v>2.11</v>
      </c>
      <c r="AB51">
        <v>3.22</v>
      </c>
      <c r="AC51">
        <v>2.7</v>
      </c>
      <c r="AD51">
        <v>2.4500000000000002</v>
      </c>
      <c r="AE51">
        <v>2.31</v>
      </c>
      <c r="AF51">
        <v>2.13</v>
      </c>
      <c r="AG51">
        <v>2.46</v>
      </c>
      <c r="AH51">
        <v>2.1800000000000002</v>
      </c>
      <c r="AI51">
        <v>3.41</v>
      </c>
      <c r="AJ51">
        <v>2.86</v>
      </c>
      <c r="AL51" s="27" t="s">
        <v>112</v>
      </c>
      <c r="AM51">
        <v>46</v>
      </c>
      <c r="AN51">
        <v>57</v>
      </c>
      <c r="AO51">
        <v>53</v>
      </c>
      <c r="AP51">
        <v>52.5</v>
      </c>
      <c r="AQ51">
        <v>50</v>
      </c>
      <c r="AR51" s="17">
        <f t="shared" si="5"/>
        <v>43.083333333333336</v>
      </c>
      <c r="AS51" s="17">
        <f t="shared" si="9"/>
        <v>109.43166666666667</v>
      </c>
    </row>
    <row r="52" spans="1:45" x14ac:dyDescent="0.3">
      <c r="A52" t="s">
        <v>113</v>
      </c>
      <c r="B52" s="17">
        <f>(55+40+33)/3</f>
        <v>42.666666666666664</v>
      </c>
      <c r="C52" s="17">
        <f t="shared" si="10"/>
        <v>24.38095238095238</v>
      </c>
      <c r="D52" s="31">
        <f t="shared" si="11"/>
        <v>1062034.2857142857</v>
      </c>
      <c r="F52">
        <v>230</v>
      </c>
      <c r="G52" s="16">
        <f t="shared" si="0"/>
        <v>834900.00000000012</v>
      </c>
      <c r="H52" s="30">
        <f t="shared" si="1"/>
        <v>78.613281250000014</v>
      </c>
      <c r="I52">
        <v>5.6</v>
      </c>
      <c r="J52">
        <v>3.5</v>
      </c>
      <c r="K52">
        <f t="shared" si="2"/>
        <v>2.0999999999999996</v>
      </c>
      <c r="L52" s="1">
        <v>31.59</v>
      </c>
      <c r="M52" s="30">
        <f t="shared" si="3"/>
        <v>5214.894299999999</v>
      </c>
      <c r="N52" s="30">
        <f t="shared" si="4"/>
        <v>5.7484369721651802</v>
      </c>
      <c r="O52" s="27" t="s">
        <v>113</v>
      </c>
      <c r="P52" t="s">
        <v>179</v>
      </c>
      <c r="Q52">
        <v>3.59</v>
      </c>
      <c r="R52">
        <v>3.18</v>
      </c>
      <c r="S52">
        <v>4.6100000000000003</v>
      </c>
      <c r="T52">
        <v>3.75</v>
      </c>
      <c r="U52">
        <v>5.34</v>
      </c>
      <c r="V52">
        <v>3.8</v>
      </c>
      <c r="W52">
        <v>5.62</v>
      </c>
      <c r="X52">
        <v>4.67</v>
      </c>
      <c r="Y52">
        <v>4.97</v>
      </c>
      <c r="Z52">
        <v>4.76</v>
      </c>
      <c r="AA52">
        <v>2.62</v>
      </c>
      <c r="AB52">
        <v>2.0299999999999998</v>
      </c>
      <c r="AC52">
        <v>3.22</v>
      </c>
      <c r="AD52">
        <v>2.94</v>
      </c>
      <c r="AE52">
        <v>3.67</v>
      </c>
      <c r="AF52">
        <v>2.59</v>
      </c>
      <c r="AG52">
        <v>4.12</v>
      </c>
      <c r="AH52">
        <v>3.67</v>
      </c>
      <c r="AI52">
        <v>2.83</v>
      </c>
      <c r="AJ52">
        <v>3.54</v>
      </c>
      <c r="AL52" s="27" t="s">
        <v>113</v>
      </c>
      <c r="AM52">
        <v>55</v>
      </c>
      <c r="AN52">
        <v>47.5</v>
      </c>
      <c r="AO52">
        <v>49</v>
      </c>
      <c r="AP52">
        <v>53</v>
      </c>
      <c r="AQ52">
        <v>50</v>
      </c>
      <c r="AR52" s="17">
        <f t="shared" si="5"/>
        <v>42.416666666666664</v>
      </c>
      <c r="AS52" s="17">
        <f t="shared" si="9"/>
        <v>107.73833333333333</v>
      </c>
    </row>
    <row r="53" spans="1:45" x14ac:dyDescent="0.3">
      <c r="A53" t="s">
        <v>114</v>
      </c>
      <c r="B53" s="17">
        <f>(13+19+10)/3</f>
        <v>14</v>
      </c>
      <c r="C53" s="17">
        <f t="shared" si="10"/>
        <v>8</v>
      </c>
      <c r="D53" s="31">
        <f t="shared" si="11"/>
        <v>348480</v>
      </c>
      <c r="F53">
        <v>230</v>
      </c>
      <c r="G53" s="16">
        <f t="shared" si="0"/>
        <v>834900.00000000012</v>
      </c>
      <c r="H53" s="30">
        <f t="shared" si="1"/>
        <v>239.58333333333334</v>
      </c>
      <c r="I53">
        <v>6.3</v>
      </c>
      <c r="J53">
        <v>3.5</v>
      </c>
      <c r="K53">
        <f t="shared" si="2"/>
        <v>2.8</v>
      </c>
      <c r="L53" s="1">
        <v>34.090000000000003</v>
      </c>
      <c r="M53" s="30">
        <f t="shared" si="3"/>
        <v>6699.0923999999995</v>
      </c>
      <c r="N53" s="30">
        <f t="shared" si="4"/>
        <v>7.3844853254476854</v>
      </c>
      <c r="O53" s="27" t="s">
        <v>114</v>
      </c>
      <c r="P53" t="s">
        <v>5</v>
      </c>
      <c r="Q53">
        <v>8.33</v>
      </c>
      <c r="R53">
        <v>3.11</v>
      </c>
      <c r="S53">
        <v>7.77</v>
      </c>
      <c r="T53">
        <v>9.01</v>
      </c>
      <c r="U53">
        <v>5.0599999999999996</v>
      </c>
      <c r="V53">
        <v>6.67</v>
      </c>
      <c r="W53">
        <v>6.44</v>
      </c>
      <c r="X53">
        <v>5.43</v>
      </c>
      <c r="Y53">
        <v>4.22</v>
      </c>
      <c r="Z53">
        <v>3.97</v>
      </c>
      <c r="AA53">
        <v>4.8</v>
      </c>
      <c r="AB53">
        <v>2.14</v>
      </c>
      <c r="AC53">
        <v>4.96</v>
      </c>
      <c r="AD53">
        <v>5.22</v>
      </c>
      <c r="AE53">
        <v>2.83</v>
      </c>
      <c r="AF53">
        <v>3.12</v>
      </c>
      <c r="AG53">
        <v>3.88</v>
      </c>
      <c r="AH53">
        <v>3.07</v>
      </c>
      <c r="AI53">
        <v>2.23</v>
      </c>
      <c r="AJ53">
        <v>2.6</v>
      </c>
      <c r="AL53" s="27" t="s">
        <v>114</v>
      </c>
      <c r="AM53">
        <v>81</v>
      </c>
      <c r="AN53">
        <v>74.5</v>
      </c>
      <c r="AO53">
        <v>83</v>
      </c>
      <c r="AP53">
        <v>76</v>
      </c>
      <c r="AQ53">
        <v>79.5</v>
      </c>
      <c r="AR53" s="17">
        <f t="shared" si="5"/>
        <v>65.666666666666671</v>
      </c>
      <c r="AS53" s="17">
        <f t="shared" si="9"/>
        <v>166.79333333333335</v>
      </c>
    </row>
    <row r="54" spans="1:45" x14ac:dyDescent="0.3">
      <c r="A54" t="s">
        <v>115</v>
      </c>
      <c r="B54" s="17">
        <f>(92+20+51)/3</f>
        <v>54.333333333333336</v>
      </c>
      <c r="C54" s="17">
        <f t="shared" si="10"/>
        <v>31.047619047619047</v>
      </c>
      <c r="D54" s="31">
        <f t="shared" si="11"/>
        <v>1352434.2857142857</v>
      </c>
      <c r="F54">
        <v>305</v>
      </c>
      <c r="G54" s="16">
        <f t="shared" si="0"/>
        <v>1107150</v>
      </c>
      <c r="H54" s="30">
        <f t="shared" si="1"/>
        <v>81.863496932515346</v>
      </c>
      <c r="I54">
        <v>6.26</v>
      </c>
      <c r="J54">
        <v>3.5</v>
      </c>
      <c r="K54">
        <f t="shared" si="2"/>
        <v>2.76</v>
      </c>
      <c r="L54" s="1">
        <v>33.799999999999997</v>
      </c>
      <c r="M54" s="30">
        <f t="shared" si="3"/>
        <v>6632.4456</v>
      </c>
      <c r="N54" s="30">
        <f t="shared" si="4"/>
        <v>7.311019803970769</v>
      </c>
      <c r="O54" s="27" t="s">
        <v>115</v>
      </c>
      <c r="P54" t="s">
        <v>177</v>
      </c>
      <c r="Q54">
        <v>2.6</v>
      </c>
      <c r="R54">
        <v>3.3</v>
      </c>
      <c r="S54">
        <v>3.58</v>
      </c>
      <c r="T54">
        <v>3.7</v>
      </c>
      <c r="U54">
        <v>2.7</v>
      </c>
      <c r="V54">
        <v>2.91</v>
      </c>
      <c r="W54">
        <v>3.49</v>
      </c>
      <c r="X54">
        <v>2.93</v>
      </c>
      <c r="Y54">
        <v>3.52</v>
      </c>
      <c r="Z54">
        <v>2.75</v>
      </c>
      <c r="AA54">
        <v>1.68</v>
      </c>
      <c r="AB54">
        <v>2.67</v>
      </c>
      <c r="AC54">
        <v>2.59</v>
      </c>
      <c r="AD54">
        <v>2.06</v>
      </c>
      <c r="AE54">
        <v>1.84</v>
      </c>
      <c r="AF54">
        <v>1.97</v>
      </c>
      <c r="AG54">
        <v>2.89</v>
      </c>
      <c r="AH54">
        <v>2.0299999999999998</v>
      </c>
      <c r="AI54">
        <v>2.0099999999999998</v>
      </c>
      <c r="AJ54">
        <v>1.75</v>
      </c>
      <c r="AL54" s="27" t="s">
        <v>115</v>
      </c>
      <c r="AM54">
        <v>49</v>
      </c>
      <c r="AN54">
        <v>42.5</v>
      </c>
      <c r="AO54">
        <v>43</v>
      </c>
      <c r="AP54">
        <v>48</v>
      </c>
      <c r="AQ54">
        <v>47</v>
      </c>
      <c r="AR54" s="17">
        <f t="shared" si="5"/>
        <v>38.25</v>
      </c>
      <c r="AS54" s="17">
        <f t="shared" si="9"/>
        <v>97.155000000000001</v>
      </c>
    </row>
    <row r="55" spans="1:45" x14ac:dyDescent="0.3">
      <c r="A55" t="s">
        <v>116</v>
      </c>
      <c r="B55" s="17">
        <f>(36+39+26)/3</f>
        <v>33.666666666666664</v>
      </c>
      <c r="C55" s="17">
        <f t="shared" si="10"/>
        <v>19.238095238095237</v>
      </c>
      <c r="D55" s="31">
        <f t="shared" si="11"/>
        <v>838011.42857142852</v>
      </c>
      <c r="F55">
        <v>176</v>
      </c>
      <c r="G55" s="16">
        <f t="shared" si="0"/>
        <v>638880</v>
      </c>
      <c r="H55" s="30">
        <f t="shared" si="1"/>
        <v>76.237623762376245</v>
      </c>
      <c r="I55">
        <v>5.4</v>
      </c>
      <c r="J55">
        <v>3.5</v>
      </c>
      <c r="K55">
        <f t="shared" si="2"/>
        <v>1.9000000000000004</v>
      </c>
      <c r="L55" s="1">
        <v>32.409999999999997</v>
      </c>
      <c r="M55" s="30">
        <f t="shared" si="3"/>
        <v>4661.6823000000013</v>
      </c>
      <c r="N55" s="30">
        <f t="shared" si="4"/>
        <v>5.1386251272260743</v>
      </c>
      <c r="O55" s="27" t="s">
        <v>116</v>
      </c>
      <c r="P55" t="s">
        <v>178</v>
      </c>
      <c r="Q55">
        <v>3.85</v>
      </c>
      <c r="R55">
        <v>6.31</v>
      </c>
      <c r="S55">
        <v>5.31</v>
      </c>
      <c r="T55">
        <v>5.86</v>
      </c>
      <c r="U55">
        <v>4.22</v>
      </c>
      <c r="V55">
        <v>5.35</v>
      </c>
      <c r="W55">
        <v>3.25</v>
      </c>
      <c r="X55">
        <v>3.43</v>
      </c>
      <c r="Y55">
        <v>3.3</v>
      </c>
      <c r="Z55">
        <v>2.84</v>
      </c>
      <c r="AA55">
        <v>2.2000000000000002</v>
      </c>
      <c r="AB55">
        <v>4.3</v>
      </c>
      <c r="AC55">
        <v>3.61</v>
      </c>
      <c r="AD55">
        <v>3.54</v>
      </c>
      <c r="AE55">
        <v>3.33</v>
      </c>
      <c r="AF55">
        <v>3.06</v>
      </c>
      <c r="AG55">
        <v>2.66</v>
      </c>
      <c r="AH55">
        <v>2.23</v>
      </c>
      <c r="AI55">
        <v>2.31</v>
      </c>
      <c r="AJ55">
        <v>1.91</v>
      </c>
      <c r="AL55" s="27" t="s">
        <v>116</v>
      </c>
      <c r="AM55">
        <v>39</v>
      </c>
      <c r="AN55">
        <v>48</v>
      </c>
      <c r="AO55">
        <v>44.5</v>
      </c>
      <c r="AP55">
        <v>45</v>
      </c>
      <c r="AQ55">
        <v>47</v>
      </c>
      <c r="AR55" s="17">
        <f t="shared" si="5"/>
        <v>37.25</v>
      </c>
      <c r="AS55" s="17">
        <f t="shared" si="9"/>
        <v>94.614999999999995</v>
      </c>
    </row>
    <row r="56" spans="1:45" x14ac:dyDescent="0.3">
      <c r="A56" t="s">
        <v>117</v>
      </c>
      <c r="B56" s="17">
        <f>(49+53+49)/3</f>
        <v>50.333333333333336</v>
      </c>
      <c r="C56" s="17">
        <f t="shared" si="10"/>
        <v>28.761904761904763</v>
      </c>
      <c r="D56" s="31">
        <f t="shared" si="11"/>
        <v>1252868.5714285714</v>
      </c>
      <c r="F56">
        <v>354</v>
      </c>
      <c r="G56" s="16">
        <f t="shared" si="0"/>
        <v>1285020</v>
      </c>
      <c r="H56" s="30">
        <f t="shared" si="1"/>
        <v>102.56622516556293</v>
      </c>
      <c r="I56">
        <v>7.14</v>
      </c>
      <c r="J56">
        <v>3.5</v>
      </c>
      <c r="K56">
        <f t="shared" si="2"/>
        <v>3.6399999999999997</v>
      </c>
      <c r="L56" s="1">
        <v>27.93</v>
      </c>
      <c r="M56" s="30">
        <f t="shared" si="3"/>
        <v>9522.75324</v>
      </c>
      <c r="N56" s="30">
        <f t="shared" si="4"/>
        <v>10.497038607593979</v>
      </c>
      <c r="O56" s="27" t="s">
        <v>117</v>
      </c>
      <c r="P56" t="s">
        <v>180</v>
      </c>
      <c r="Q56">
        <v>4.87</v>
      </c>
      <c r="R56">
        <v>4.99</v>
      </c>
      <c r="S56">
        <v>5.25</v>
      </c>
      <c r="T56">
        <v>4.46</v>
      </c>
      <c r="U56">
        <v>4.12</v>
      </c>
      <c r="V56">
        <v>4.37</v>
      </c>
      <c r="W56">
        <v>4.75</v>
      </c>
      <c r="X56">
        <v>3.42</v>
      </c>
      <c r="Y56">
        <v>4.84</v>
      </c>
      <c r="Z56">
        <v>2.9</v>
      </c>
      <c r="AA56">
        <v>2.2000000000000002</v>
      </c>
      <c r="AB56">
        <v>4.8</v>
      </c>
      <c r="AC56">
        <v>3.13</v>
      </c>
      <c r="AD56">
        <v>2.7</v>
      </c>
      <c r="AE56">
        <v>2.76</v>
      </c>
      <c r="AF56">
        <v>2.65</v>
      </c>
      <c r="AG56">
        <v>3.37</v>
      </c>
      <c r="AH56">
        <v>2.35</v>
      </c>
      <c r="AI56">
        <v>3.56</v>
      </c>
      <c r="AJ56">
        <v>1.58</v>
      </c>
      <c r="AL56" s="27" t="s">
        <v>117</v>
      </c>
      <c r="AM56">
        <v>58</v>
      </c>
      <c r="AN56">
        <v>52.5</v>
      </c>
      <c r="AO56">
        <v>57.5</v>
      </c>
      <c r="AP56">
        <v>59</v>
      </c>
      <c r="AQ56">
        <v>54</v>
      </c>
      <c r="AR56" s="17">
        <f t="shared" si="5"/>
        <v>46.833333333333336</v>
      </c>
      <c r="AS56" s="17">
        <f t="shared" si="9"/>
        <v>118.95666666666668</v>
      </c>
    </row>
    <row r="57" spans="1:45" x14ac:dyDescent="0.3">
      <c r="A57" t="s">
        <v>118</v>
      </c>
      <c r="B57" s="17">
        <f>(79+71+69)/3</f>
        <v>73</v>
      </c>
      <c r="C57" s="17">
        <f t="shared" si="10"/>
        <v>41.714285714285715</v>
      </c>
      <c r="D57" s="31">
        <f t="shared" si="11"/>
        <v>1817074.2857142857</v>
      </c>
      <c r="F57">
        <v>394</v>
      </c>
      <c r="G57" s="16">
        <f t="shared" si="0"/>
        <v>1430220.0000000002</v>
      </c>
      <c r="H57" s="30">
        <f t="shared" si="1"/>
        <v>78.71004566210047</v>
      </c>
      <c r="I57">
        <v>5.76</v>
      </c>
      <c r="J57">
        <v>3.5</v>
      </c>
      <c r="K57">
        <f t="shared" si="2"/>
        <v>2.2599999999999998</v>
      </c>
      <c r="L57" s="1">
        <v>36.03</v>
      </c>
      <c r="M57" s="30">
        <f t="shared" si="3"/>
        <v>5247.9708599999994</v>
      </c>
      <c r="N57" s="30">
        <f t="shared" si="4"/>
        <v>5.7848976383796504</v>
      </c>
      <c r="O57" s="21" t="s">
        <v>118</v>
      </c>
      <c r="P57" t="s">
        <v>76</v>
      </c>
      <c r="Q57">
        <v>7.12</v>
      </c>
      <c r="R57">
        <v>4.68</v>
      </c>
      <c r="S57">
        <v>4.07</v>
      </c>
      <c r="T57">
        <v>2</v>
      </c>
      <c r="U57">
        <v>3.65</v>
      </c>
      <c r="V57">
        <v>3.58</v>
      </c>
      <c r="W57">
        <v>3.08</v>
      </c>
      <c r="X57">
        <v>4.22</v>
      </c>
      <c r="Y57">
        <v>5.52</v>
      </c>
      <c r="Z57">
        <v>2.82</v>
      </c>
      <c r="AA57">
        <v>5.0999999999999996</v>
      </c>
      <c r="AB57">
        <v>2.93</v>
      </c>
      <c r="AC57">
        <v>2.6</v>
      </c>
      <c r="AD57">
        <v>1.33</v>
      </c>
      <c r="AE57">
        <v>2.36</v>
      </c>
      <c r="AF57">
        <v>2.83</v>
      </c>
      <c r="AG57">
        <v>1.57</v>
      </c>
      <c r="AH57">
        <v>3.35</v>
      </c>
      <c r="AI57">
        <v>3.49</v>
      </c>
      <c r="AJ57">
        <v>1.89</v>
      </c>
      <c r="AL57" s="21" t="s">
        <v>118</v>
      </c>
      <c r="AM57">
        <v>45</v>
      </c>
      <c r="AN57">
        <v>51.5</v>
      </c>
      <c r="AO57">
        <v>52</v>
      </c>
      <c r="AP57">
        <v>5</v>
      </c>
      <c r="AQ57">
        <v>47</v>
      </c>
      <c r="AR57" s="17">
        <f t="shared" si="5"/>
        <v>33.416666666666664</v>
      </c>
      <c r="AS57" s="17">
        <f t="shared" si="9"/>
        <v>84.87833333333333</v>
      </c>
    </row>
    <row r="58" spans="1:45" x14ac:dyDescent="0.3">
      <c r="A58" t="s">
        <v>119</v>
      </c>
      <c r="B58" s="17">
        <f>(63+77+77)/3</f>
        <v>72.333333333333329</v>
      </c>
      <c r="C58" s="17">
        <f t="shared" si="10"/>
        <v>41.333333333333329</v>
      </c>
      <c r="D58" s="31">
        <f t="shared" si="11"/>
        <v>1800479.9999999998</v>
      </c>
      <c r="F58">
        <v>313</v>
      </c>
      <c r="G58" s="16">
        <f t="shared" si="0"/>
        <v>1136190</v>
      </c>
      <c r="H58" s="30">
        <f t="shared" si="1"/>
        <v>63.104838709677423</v>
      </c>
      <c r="I58">
        <v>6.26</v>
      </c>
      <c r="J58">
        <v>3.5</v>
      </c>
      <c r="K58">
        <f t="shared" si="2"/>
        <v>2.76</v>
      </c>
      <c r="L58" s="1">
        <v>28.99</v>
      </c>
      <c r="M58" s="30">
        <f t="shared" si="3"/>
        <v>7114.3498800000007</v>
      </c>
      <c r="N58" s="30">
        <f t="shared" si="4"/>
        <v>7.8422283425976493</v>
      </c>
      <c r="O58" s="21" t="s">
        <v>119</v>
      </c>
      <c r="P58" t="s">
        <v>6</v>
      </c>
      <c r="Q58">
        <v>4.55</v>
      </c>
      <c r="R58">
        <v>3.76</v>
      </c>
      <c r="S58">
        <v>3.14</v>
      </c>
      <c r="T58">
        <v>5.26</v>
      </c>
      <c r="U58">
        <v>4.25</v>
      </c>
      <c r="V58">
        <v>5.2</v>
      </c>
      <c r="W58">
        <v>4.46</v>
      </c>
      <c r="X58">
        <v>2.76</v>
      </c>
      <c r="Y58">
        <v>3.08</v>
      </c>
      <c r="Z58">
        <v>4.72</v>
      </c>
      <c r="AA58">
        <v>2.98</v>
      </c>
      <c r="AB58">
        <v>2.11</v>
      </c>
      <c r="AC58">
        <v>1.68</v>
      </c>
      <c r="AD58">
        <v>3.6</v>
      </c>
      <c r="AE58">
        <v>1.94</v>
      </c>
      <c r="AF58">
        <v>2.4900000000000002</v>
      </c>
      <c r="AG58">
        <v>1.58</v>
      </c>
      <c r="AH58">
        <v>1.25</v>
      </c>
      <c r="AI58">
        <v>1.77</v>
      </c>
      <c r="AJ58">
        <v>2.4300000000000002</v>
      </c>
      <c r="AL58" s="21" t="s">
        <v>119</v>
      </c>
      <c r="AM58">
        <v>56</v>
      </c>
      <c r="AN58">
        <v>55.5</v>
      </c>
      <c r="AO58">
        <v>51</v>
      </c>
      <c r="AP58">
        <v>55</v>
      </c>
      <c r="AQ58">
        <v>57</v>
      </c>
      <c r="AR58" s="17">
        <f t="shared" si="5"/>
        <v>45.75</v>
      </c>
      <c r="AS58" s="17">
        <f t="shared" si="9"/>
        <v>116.205</v>
      </c>
    </row>
    <row r="59" spans="1:45" x14ac:dyDescent="0.3">
      <c r="A59" t="s">
        <v>120</v>
      </c>
      <c r="B59" s="17">
        <f>(64+42+45)/3</f>
        <v>50.333333333333336</v>
      </c>
      <c r="C59" s="17">
        <f t="shared" si="10"/>
        <v>28.761904761904763</v>
      </c>
      <c r="D59" s="31">
        <f t="shared" si="11"/>
        <v>1252868.5714285714</v>
      </c>
      <c r="F59">
        <v>133</v>
      </c>
      <c r="G59" s="16">
        <f t="shared" si="0"/>
        <v>482790.00000000006</v>
      </c>
      <c r="H59" s="30">
        <f t="shared" si="1"/>
        <v>38.534768211920536</v>
      </c>
      <c r="I59">
        <v>6.5</v>
      </c>
      <c r="J59">
        <v>3.5</v>
      </c>
      <c r="K59">
        <f t="shared" si="2"/>
        <v>3</v>
      </c>
      <c r="L59" s="1">
        <v>32.81</v>
      </c>
      <c r="M59" s="30">
        <f t="shared" si="3"/>
        <v>7316.991</v>
      </c>
      <c r="N59" s="30">
        <f t="shared" si="4"/>
        <v>8.0656019412320372</v>
      </c>
      <c r="O59" s="21" t="s">
        <v>120</v>
      </c>
      <c r="P59" t="s">
        <v>153</v>
      </c>
      <c r="Q59">
        <v>7.79</v>
      </c>
      <c r="R59">
        <v>4.4000000000000004</v>
      </c>
      <c r="S59">
        <v>6.37</v>
      </c>
      <c r="T59">
        <v>6.5</v>
      </c>
      <c r="U59">
        <v>5.72</v>
      </c>
      <c r="V59">
        <v>6.78</v>
      </c>
      <c r="W59">
        <v>6.5</v>
      </c>
      <c r="X59">
        <v>7.22</v>
      </c>
      <c r="Y59">
        <v>5.5</v>
      </c>
      <c r="Z59">
        <v>5.75</v>
      </c>
      <c r="AA59">
        <v>5.52</v>
      </c>
      <c r="AB59">
        <v>2.65</v>
      </c>
      <c r="AC59">
        <v>3.45</v>
      </c>
      <c r="AD59">
        <v>4.5199999999999996</v>
      </c>
      <c r="AE59">
        <v>4.13</v>
      </c>
      <c r="AF59">
        <v>4</v>
      </c>
      <c r="AG59">
        <v>4.1900000000000004</v>
      </c>
      <c r="AH59">
        <v>5.74</v>
      </c>
      <c r="AI59">
        <v>3.97</v>
      </c>
      <c r="AJ59">
        <v>3.33</v>
      </c>
      <c r="AL59" s="21" t="s">
        <v>120</v>
      </c>
      <c r="AM59">
        <v>68.5</v>
      </c>
      <c r="AN59">
        <v>69</v>
      </c>
      <c r="AO59">
        <v>71</v>
      </c>
      <c r="AP59">
        <v>64</v>
      </c>
      <c r="AQ59">
        <v>66.5</v>
      </c>
      <c r="AR59" s="17">
        <f t="shared" si="5"/>
        <v>56.5</v>
      </c>
      <c r="AS59" s="17">
        <f t="shared" si="9"/>
        <v>143.51</v>
      </c>
    </row>
    <row r="60" spans="1:45" x14ac:dyDescent="0.3">
      <c r="A60" t="s">
        <v>121</v>
      </c>
      <c r="B60" s="17">
        <f>(64+62+45)/3</f>
        <v>57</v>
      </c>
      <c r="C60" s="17">
        <f t="shared" si="10"/>
        <v>32.571428571428569</v>
      </c>
      <c r="D60" s="31">
        <f t="shared" si="11"/>
        <v>1418811.4285714284</v>
      </c>
      <c r="F60">
        <v>254</v>
      </c>
      <c r="G60" s="16">
        <f t="shared" si="0"/>
        <v>922020.00000000012</v>
      </c>
      <c r="H60" s="30">
        <f t="shared" si="1"/>
        <v>64.985380116959078</v>
      </c>
      <c r="I60">
        <v>6.4</v>
      </c>
      <c r="J60">
        <v>3.5</v>
      </c>
      <c r="K60">
        <f t="shared" si="2"/>
        <v>2.9000000000000004</v>
      </c>
      <c r="L60" s="1">
        <v>28.86</v>
      </c>
      <c r="M60" s="30">
        <f t="shared" si="3"/>
        <v>7488.9078000000027</v>
      </c>
      <c r="N60" s="30">
        <f t="shared" si="4"/>
        <v>8.2551077744099679</v>
      </c>
      <c r="O60" s="21" t="s">
        <v>121</v>
      </c>
      <c r="P60" t="s">
        <v>180</v>
      </c>
      <c r="Q60">
        <v>4.03</v>
      </c>
      <c r="R60">
        <v>4.17</v>
      </c>
      <c r="S60">
        <v>5.17</v>
      </c>
      <c r="T60">
        <v>5.33</v>
      </c>
      <c r="U60">
        <v>6.28</v>
      </c>
      <c r="V60">
        <v>5.68</v>
      </c>
      <c r="W60">
        <v>5.88</v>
      </c>
      <c r="X60">
        <v>3.85</v>
      </c>
      <c r="Y60">
        <v>3.81</v>
      </c>
      <c r="Z60">
        <v>5.24</v>
      </c>
      <c r="AA60">
        <v>2.87</v>
      </c>
      <c r="AB60">
        <v>2.54</v>
      </c>
      <c r="AC60">
        <v>2.73</v>
      </c>
      <c r="AD60">
        <v>3.2</v>
      </c>
      <c r="AE60">
        <v>3.35</v>
      </c>
      <c r="AF60">
        <v>3.34</v>
      </c>
      <c r="AG60">
        <v>3.47</v>
      </c>
      <c r="AH60">
        <v>2.46</v>
      </c>
      <c r="AI60">
        <v>2.11</v>
      </c>
      <c r="AJ60">
        <v>3.26</v>
      </c>
      <c r="AL60" s="21" t="s">
        <v>121</v>
      </c>
      <c r="AM60">
        <v>54.5</v>
      </c>
      <c r="AN60">
        <v>56</v>
      </c>
      <c r="AO60">
        <v>59</v>
      </c>
      <c r="AP60">
        <v>57</v>
      </c>
      <c r="AQ60">
        <v>58</v>
      </c>
      <c r="AR60" s="17">
        <f t="shared" si="5"/>
        <v>47.416666666666664</v>
      </c>
      <c r="AS60" s="17">
        <f t="shared" si="9"/>
        <v>120.43833333333333</v>
      </c>
    </row>
    <row r="61" spans="1:45" x14ac:dyDescent="0.3">
      <c r="A61" t="s">
        <v>122</v>
      </c>
      <c r="B61" s="17">
        <f>(51+39+40)/3</f>
        <v>43.333333333333336</v>
      </c>
      <c r="C61" s="17">
        <f t="shared" si="10"/>
        <v>24.761904761904763</v>
      </c>
      <c r="D61" s="31">
        <f t="shared" si="11"/>
        <v>1078628.5714285714</v>
      </c>
      <c r="F61">
        <v>235</v>
      </c>
      <c r="G61" s="16">
        <f t="shared" si="0"/>
        <v>853050.00000000012</v>
      </c>
      <c r="H61" s="30">
        <f t="shared" si="1"/>
        <v>79.086538461538481</v>
      </c>
      <c r="I61">
        <v>6.35</v>
      </c>
      <c r="J61">
        <v>3.5</v>
      </c>
      <c r="K61">
        <f t="shared" si="2"/>
        <v>2.8499999999999996</v>
      </c>
      <c r="L61" s="1">
        <v>29.64</v>
      </c>
      <c r="M61" s="30">
        <f t="shared" si="3"/>
        <v>7279.0937999999996</v>
      </c>
      <c r="N61" s="30">
        <f t="shared" si="4"/>
        <v>8.0238274290196721</v>
      </c>
      <c r="O61" s="21" t="s">
        <v>122</v>
      </c>
      <c r="P61" t="s">
        <v>182</v>
      </c>
      <c r="Q61">
        <v>4.03</v>
      </c>
      <c r="R61">
        <v>4.53</v>
      </c>
      <c r="S61">
        <v>4.79</v>
      </c>
      <c r="T61">
        <v>5.14</v>
      </c>
      <c r="U61">
        <v>6.13</v>
      </c>
      <c r="V61">
        <v>4.5599999999999996</v>
      </c>
      <c r="W61">
        <v>6.08</v>
      </c>
      <c r="X61">
        <v>4.7699999999999996</v>
      </c>
      <c r="Y61">
        <v>6.81</v>
      </c>
      <c r="Z61">
        <v>5.07</v>
      </c>
      <c r="AA61">
        <v>3.84</v>
      </c>
      <c r="AB61">
        <v>2.57</v>
      </c>
      <c r="AC61">
        <v>2.62</v>
      </c>
      <c r="AD61">
        <v>3.09</v>
      </c>
      <c r="AE61">
        <v>3.74</v>
      </c>
      <c r="AF61">
        <v>2.54</v>
      </c>
      <c r="AG61">
        <v>3.66</v>
      </c>
      <c r="AH61">
        <v>2.94</v>
      </c>
      <c r="AI61">
        <v>4.67</v>
      </c>
      <c r="AJ61">
        <v>2.13</v>
      </c>
      <c r="AL61" s="21" t="s">
        <v>122</v>
      </c>
      <c r="AM61">
        <v>44.5</v>
      </c>
      <c r="AN61">
        <v>46</v>
      </c>
      <c r="AO61">
        <v>51</v>
      </c>
      <c r="AP61">
        <v>50</v>
      </c>
      <c r="AQ61">
        <v>47.5</v>
      </c>
      <c r="AR61" s="17">
        <f t="shared" si="5"/>
        <v>39.833333333333336</v>
      </c>
      <c r="AS61" s="17">
        <f t="shared" si="9"/>
        <v>101.17666666666668</v>
      </c>
    </row>
    <row r="62" spans="1:45" x14ac:dyDescent="0.3">
      <c r="A62" t="s">
        <v>123</v>
      </c>
      <c r="B62" s="17">
        <f>(50+56+57)/3</f>
        <v>54.333333333333336</v>
      </c>
      <c r="C62" s="17">
        <f t="shared" si="10"/>
        <v>31.047619047619047</v>
      </c>
      <c r="D62" s="31">
        <f t="shared" si="11"/>
        <v>1352434.2857142857</v>
      </c>
      <c r="F62">
        <v>113</v>
      </c>
      <c r="G62" s="16">
        <f t="shared" si="0"/>
        <v>410190.00000000006</v>
      </c>
      <c r="H62" s="30">
        <f t="shared" si="1"/>
        <v>30.329754601226998</v>
      </c>
      <c r="I62">
        <v>6.08</v>
      </c>
      <c r="J62">
        <v>3.5</v>
      </c>
      <c r="K62">
        <f t="shared" si="2"/>
        <v>2.58</v>
      </c>
      <c r="L62" s="1">
        <v>29.55</v>
      </c>
      <c r="M62" s="30">
        <f t="shared" si="3"/>
        <v>6597.9243000000015</v>
      </c>
      <c r="N62" s="30">
        <f t="shared" si="4"/>
        <v>7.2729665845129565</v>
      </c>
      <c r="O62" s="21" t="s">
        <v>123</v>
      </c>
      <c r="P62" t="s">
        <v>178</v>
      </c>
      <c r="Q62">
        <v>5.09</v>
      </c>
      <c r="R62">
        <v>5.9</v>
      </c>
      <c r="S62">
        <v>5.46</v>
      </c>
      <c r="T62">
        <v>5.01</v>
      </c>
      <c r="U62">
        <v>4.3499999999999996</v>
      </c>
      <c r="V62">
        <v>3.81</v>
      </c>
      <c r="W62">
        <v>3.24</v>
      </c>
      <c r="X62">
        <v>4.5</v>
      </c>
      <c r="Y62">
        <v>4.4400000000000004</v>
      </c>
      <c r="Z62">
        <v>3.89</v>
      </c>
      <c r="AA62">
        <v>3.62</v>
      </c>
      <c r="AB62">
        <v>4.05</v>
      </c>
      <c r="AC62">
        <v>4.79</v>
      </c>
      <c r="AD62">
        <v>3.42</v>
      </c>
      <c r="AE62">
        <v>3.27</v>
      </c>
      <c r="AF62">
        <v>2.4300000000000002</v>
      </c>
      <c r="AG62">
        <v>2.0499999999999998</v>
      </c>
      <c r="AH62">
        <v>3.41</v>
      </c>
      <c r="AI62">
        <v>2.08</v>
      </c>
      <c r="AJ62">
        <v>2.88</v>
      </c>
      <c r="AL62" s="21" t="s">
        <v>123</v>
      </c>
      <c r="AM62">
        <v>38</v>
      </c>
      <c r="AN62">
        <v>46</v>
      </c>
      <c r="AO62">
        <v>44</v>
      </c>
      <c r="AP62">
        <v>45.5</v>
      </c>
      <c r="AQ62">
        <v>44</v>
      </c>
      <c r="AR62" s="17">
        <f t="shared" si="5"/>
        <v>36.25</v>
      </c>
      <c r="AS62" s="17">
        <f t="shared" si="9"/>
        <v>92.075000000000003</v>
      </c>
    </row>
    <row r="63" spans="1:45" x14ac:dyDescent="0.3">
      <c r="A63" t="s">
        <v>124</v>
      </c>
      <c r="B63" s="17">
        <f>(58+80+48)/3</f>
        <v>62</v>
      </c>
      <c r="C63" s="17">
        <f t="shared" ref="C63:C94" si="12">(B63*4)/7</f>
        <v>35.428571428571431</v>
      </c>
      <c r="D63" s="31">
        <f t="shared" si="11"/>
        <v>1543268.5714285716</v>
      </c>
      <c r="F63">
        <v>284</v>
      </c>
      <c r="G63" s="16">
        <f t="shared" si="0"/>
        <v>1030920.0000000001</v>
      </c>
      <c r="H63" s="30">
        <f t="shared" si="1"/>
        <v>66.8010752688172</v>
      </c>
      <c r="I63">
        <v>6.7</v>
      </c>
      <c r="J63">
        <v>3.5</v>
      </c>
      <c r="K63">
        <f t="shared" si="2"/>
        <v>3.2</v>
      </c>
      <c r="L63" s="1">
        <v>34.78</v>
      </c>
      <c r="M63" s="30">
        <f t="shared" si="3"/>
        <v>7575.9552000000003</v>
      </c>
      <c r="N63" s="30">
        <f t="shared" si="4"/>
        <v>8.3510611080165251</v>
      </c>
      <c r="O63" s="21" t="s">
        <v>124</v>
      </c>
      <c r="P63" t="s">
        <v>183</v>
      </c>
      <c r="Q63">
        <v>3.13</v>
      </c>
      <c r="R63">
        <v>4.04</v>
      </c>
      <c r="S63">
        <v>3.29</v>
      </c>
      <c r="T63">
        <v>3.1</v>
      </c>
      <c r="U63">
        <v>3.71</v>
      </c>
      <c r="V63">
        <v>4.07</v>
      </c>
      <c r="W63">
        <v>3.72</v>
      </c>
      <c r="X63">
        <v>4.59</v>
      </c>
      <c r="Y63">
        <v>3.1</v>
      </c>
      <c r="Z63">
        <v>3.06</v>
      </c>
      <c r="AA63">
        <v>1.92</v>
      </c>
      <c r="AB63">
        <v>2.91</v>
      </c>
      <c r="AC63">
        <v>2.17</v>
      </c>
      <c r="AD63">
        <v>2.08</v>
      </c>
      <c r="AE63">
        <v>1.92</v>
      </c>
      <c r="AF63">
        <v>1.85</v>
      </c>
      <c r="AG63">
        <v>2.06</v>
      </c>
      <c r="AH63">
        <v>2.5299999999999998</v>
      </c>
      <c r="AI63">
        <v>2</v>
      </c>
      <c r="AJ63">
        <v>2.1800000000000002</v>
      </c>
      <c r="AL63" s="21" t="s">
        <v>124</v>
      </c>
      <c r="AM63">
        <v>56</v>
      </c>
      <c r="AN63">
        <v>51.5</v>
      </c>
      <c r="AO63">
        <v>54</v>
      </c>
      <c r="AP63">
        <v>53.5</v>
      </c>
      <c r="AQ63">
        <v>50</v>
      </c>
      <c r="AR63" s="17">
        <f t="shared" si="5"/>
        <v>44.166666666666664</v>
      </c>
      <c r="AS63" s="17">
        <f t="shared" si="9"/>
        <v>112.18333333333332</v>
      </c>
    </row>
    <row r="64" spans="1:45" x14ac:dyDescent="0.3">
      <c r="A64" t="s">
        <v>125</v>
      </c>
      <c r="B64" s="17">
        <f>(42+54+30)/3</f>
        <v>42</v>
      </c>
      <c r="C64" s="17">
        <f t="shared" si="12"/>
        <v>24</v>
      </c>
      <c r="D64" s="31">
        <f t="shared" si="11"/>
        <v>1045440</v>
      </c>
      <c r="F64">
        <v>285</v>
      </c>
      <c r="G64" s="16">
        <f t="shared" si="0"/>
        <v>1034550.0000000001</v>
      </c>
      <c r="H64" s="30">
        <f t="shared" si="1"/>
        <v>98.958333333333343</v>
      </c>
      <c r="I64">
        <v>5.82</v>
      </c>
      <c r="J64">
        <v>3.5</v>
      </c>
      <c r="K64">
        <f t="shared" si="2"/>
        <v>2.3200000000000003</v>
      </c>
      <c r="L64" s="1">
        <v>36.94</v>
      </c>
      <c r="M64" s="30">
        <f t="shared" si="3"/>
        <v>5310.6609600000011</v>
      </c>
      <c r="N64" s="30">
        <f t="shared" si="4"/>
        <v>5.8540016446926337</v>
      </c>
      <c r="O64" s="21" t="s">
        <v>125</v>
      </c>
      <c r="P64" t="s">
        <v>152</v>
      </c>
      <c r="Q64">
        <v>2.97</v>
      </c>
      <c r="R64">
        <v>4.84</v>
      </c>
      <c r="S64">
        <v>3.54</v>
      </c>
      <c r="T64">
        <v>2.7</v>
      </c>
      <c r="U64">
        <v>4.91</v>
      </c>
      <c r="V64">
        <v>3.45</v>
      </c>
      <c r="W64">
        <v>4.1900000000000004</v>
      </c>
      <c r="X64">
        <v>6.13</v>
      </c>
      <c r="Y64">
        <v>2.2999999999999998</v>
      </c>
      <c r="Z64">
        <v>3.56</v>
      </c>
      <c r="AA64">
        <v>2.0699999999999998</v>
      </c>
      <c r="AB64">
        <v>2.0499999999999998</v>
      </c>
      <c r="AC64">
        <v>2.0299999999999998</v>
      </c>
      <c r="AD64">
        <v>3.12</v>
      </c>
      <c r="AE64">
        <v>2</v>
      </c>
      <c r="AF64">
        <v>2.54</v>
      </c>
      <c r="AG64">
        <v>4.63</v>
      </c>
      <c r="AH64">
        <v>1.34</v>
      </c>
      <c r="AI64">
        <v>1.89</v>
      </c>
      <c r="AL64" s="21" t="s">
        <v>125</v>
      </c>
      <c r="AM64">
        <v>55</v>
      </c>
      <c r="AN64">
        <v>49.5</v>
      </c>
      <c r="AO64">
        <v>50</v>
      </c>
      <c r="AP64">
        <v>51</v>
      </c>
      <c r="AQ64">
        <v>47</v>
      </c>
      <c r="AR64" s="17">
        <f t="shared" si="5"/>
        <v>42.083333333333336</v>
      </c>
      <c r="AS64" s="17">
        <f t="shared" si="9"/>
        <v>106.89166666666668</v>
      </c>
    </row>
    <row r="65" spans="1:45" x14ac:dyDescent="0.3">
      <c r="A65" t="s">
        <v>126</v>
      </c>
      <c r="B65" s="17">
        <f>(94+83+80)/3</f>
        <v>85.666666666666671</v>
      </c>
      <c r="C65" s="17">
        <f t="shared" si="12"/>
        <v>48.952380952380956</v>
      </c>
      <c r="D65" s="31">
        <f t="shared" si="11"/>
        <v>2132365.7142857146</v>
      </c>
      <c r="F65">
        <v>395</v>
      </c>
      <c r="G65" s="16">
        <f t="shared" si="0"/>
        <v>1433850.0000000002</v>
      </c>
      <c r="H65" s="30">
        <f t="shared" si="1"/>
        <v>67.242217898832692</v>
      </c>
      <c r="I65">
        <v>6.68</v>
      </c>
      <c r="J65">
        <v>3.5</v>
      </c>
      <c r="K65">
        <f t="shared" si="2"/>
        <v>3.1799999999999997</v>
      </c>
      <c r="L65" s="1">
        <v>31.11</v>
      </c>
      <c r="M65" s="30">
        <f t="shared" si="3"/>
        <v>7952.2482600000003</v>
      </c>
      <c r="N65" s="30">
        <f t="shared" si="4"/>
        <v>8.7658532042768798</v>
      </c>
      <c r="O65" s="21" t="s">
        <v>126</v>
      </c>
      <c r="P65" t="s">
        <v>184</v>
      </c>
      <c r="Q65">
        <v>5.34</v>
      </c>
      <c r="R65">
        <v>4</v>
      </c>
      <c r="S65">
        <v>4.79</v>
      </c>
      <c r="T65">
        <v>7.38</v>
      </c>
      <c r="U65">
        <v>3.22</v>
      </c>
      <c r="V65">
        <v>3.28</v>
      </c>
      <c r="W65">
        <v>3.9</v>
      </c>
      <c r="X65">
        <v>3.01</v>
      </c>
      <c r="Y65">
        <v>4.5</v>
      </c>
      <c r="Z65">
        <v>2.6</v>
      </c>
      <c r="AA65">
        <v>2.06</v>
      </c>
      <c r="AB65">
        <v>2.65</v>
      </c>
      <c r="AC65">
        <v>2.92</v>
      </c>
      <c r="AD65">
        <v>5.0599999999999996</v>
      </c>
      <c r="AE65">
        <v>2.11</v>
      </c>
      <c r="AF65">
        <v>2.27</v>
      </c>
      <c r="AG65">
        <v>2.52</v>
      </c>
      <c r="AH65">
        <v>2.27</v>
      </c>
      <c r="AI65">
        <v>3.84</v>
      </c>
      <c r="AJ65">
        <v>1.84</v>
      </c>
      <c r="AL65" s="21" t="s">
        <v>126</v>
      </c>
      <c r="AM65">
        <v>46</v>
      </c>
      <c r="AN65">
        <v>51.5</v>
      </c>
      <c r="AO65">
        <v>49</v>
      </c>
      <c r="AP65">
        <v>55</v>
      </c>
      <c r="AQ65">
        <v>54</v>
      </c>
      <c r="AR65" s="17">
        <f t="shared" si="5"/>
        <v>42.583333333333336</v>
      </c>
      <c r="AS65" s="17">
        <f t="shared" si="9"/>
        <v>108.16166666666668</v>
      </c>
    </row>
    <row r="66" spans="1:45" x14ac:dyDescent="0.3">
      <c r="A66" t="s">
        <v>127</v>
      </c>
      <c r="B66" s="17">
        <f>(49+26+47)/3</f>
        <v>40.666666666666664</v>
      </c>
      <c r="C66" s="17">
        <f t="shared" si="12"/>
        <v>23.238095238095237</v>
      </c>
      <c r="D66" s="31">
        <f t="shared" si="11"/>
        <v>1012251.4285714285</v>
      </c>
      <c r="F66">
        <v>188</v>
      </c>
      <c r="G66" s="16">
        <f t="shared" si="0"/>
        <v>682440.00000000012</v>
      </c>
      <c r="H66" s="30">
        <f t="shared" si="1"/>
        <v>67.418032786885263</v>
      </c>
      <c r="I66">
        <v>6.82</v>
      </c>
      <c r="J66">
        <v>3.5</v>
      </c>
      <c r="K66">
        <f t="shared" si="2"/>
        <v>3.3200000000000003</v>
      </c>
      <c r="L66" s="1">
        <v>28.04</v>
      </c>
      <c r="M66" s="30">
        <f t="shared" si="3"/>
        <v>8672.331360000002</v>
      </c>
      <c r="N66" s="30">
        <f t="shared" si="4"/>
        <v>9.5596089502123878</v>
      </c>
      <c r="O66" s="21" t="s">
        <v>127</v>
      </c>
      <c r="P66" t="s">
        <v>5</v>
      </c>
      <c r="Q66">
        <v>6.42</v>
      </c>
      <c r="R66">
        <v>5.2</v>
      </c>
      <c r="S66">
        <v>5.14</v>
      </c>
      <c r="T66">
        <v>4.4000000000000004</v>
      </c>
      <c r="U66">
        <v>5.36</v>
      </c>
      <c r="V66">
        <v>6.39</v>
      </c>
      <c r="W66">
        <v>4.2</v>
      </c>
      <c r="X66">
        <v>4.29</v>
      </c>
      <c r="Y66">
        <v>4.29</v>
      </c>
      <c r="Z66">
        <v>7.14</v>
      </c>
      <c r="AA66">
        <v>4.32</v>
      </c>
      <c r="AB66">
        <v>2.81</v>
      </c>
      <c r="AC66">
        <v>3.35</v>
      </c>
      <c r="AD66">
        <v>2.68</v>
      </c>
      <c r="AE66">
        <v>2.76</v>
      </c>
      <c r="AF66">
        <v>3.5</v>
      </c>
      <c r="AG66">
        <v>3.1</v>
      </c>
      <c r="AH66">
        <v>2.41</v>
      </c>
      <c r="AI66">
        <v>2.23</v>
      </c>
      <c r="AJ66">
        <v>5.22</v>
      </c>
      <c r="AL66" s="21" t="s">
        <v>127</v>
      </c>
      <c r="AM66">
        <v>79</v>
      </c>
      <c r="AN66">
        <v>84</v>
      </c>
      <c r="AO66">
        <v>76.5</v>
      </c>
      <c r="AP66">
        <v>79</v>
      </c>
      <c r="AQ66">
        <v>81</v>
      </c>
      <c r="AR66" s="17">
        <f t="shared" si="5"/>
        <v>66.583333333333329</v>
      </c>
      <c r="AS66" s="17">
        <f t="shared" si="9"/>
        <v>169.12166666666667</v>
      </c>
    </row>
    <row r="67" spans="1:45" x14ac:dyDescent="0.3">
      <c r="A67" t="s">
        <v>128</v>
      </c>
      <c r="B67" s="17">
        <f>(36+42+48)/3</f>
        <v>42</v>
      </c>
      <c r="C67" s="17">
        <f t="shared" si="12"/>
        <v>24</v>
      </c>
      <c r="D67" s="31">
        <f t="shared" si="11"/>
        <v>1045440</v>
      </c>
      <c r="F67">
        <v>132</v>
      </c>
      <c r="G67" s="16">
        <f t="shared" si="0"/>
        <v>479160.00000000006</v>
      </c>
      <c r="H67" s="30">
        <f t="shared" si="1"/>
        <v>45.833333333333336</v>
      </c>
      <c r="I67">
        <v>5.88</v>
      </c>
      <c r="J67">
        <v>3.5</v>
      </c>
      <c r="K67">
        <f t="shared" si="2"/>
        <v>2.38</v>
      </c>
      <c r="L67" s="1">
        <v>32.549999999999997</v>
      </c>
      <c r="M67" s="30">
        <f t="shared" si="3"/>
        <v>5827.2753000000002</v>
      </c>
      <c r="N67" s="30">
        <f t="shared" si="4"/>
        <v>6.423471475060377</v>
      </c>
      <c r="O67" s="21" t="s">
        <v>128</v>
      </c>
      <c r="P67" t="s">
        <v>179</v>
      </c>
      <c r="Q67">
        <v>6.16</v>
      </c>
      <c r="R67">
        <v>5.28</v>
      </c>
      <c r="S67">
        <v>5.2</v>
      </c>
      <c r="T67">
        <v>5.13</v>
      </c>
      <c r="U67">
        <v>4.05</v>
      </c>
      <c r="V67">
        <v>6.42</v>
      </c>
      <c r="W67">
        <v>5.27</v>
      </c>
      <c r="X67">
        <v>8.52</v>
      </c>
      <c r="Y67">
        <v>5.37</v>
      </c>
      <c r="Z67">
        <v>6.54</v>
      </c>
      <c r="AA67">
        <v>4.72</v>
      </c>
      <c r="AB67">
        <v>3.63</v>
      </c>
      <c r="AC67">
        <v>4.1500000000000004</v>
      </c>
      <c r="AD67">
        <v>3.39</v>
      </c>
      <c r="AE67">
        <v>2.81</v>
      </c>
      <c r="AF67">
        <v>3.87</v>
      </c>
      <c r="AG67">
        <v>2.85</v>
      </c>
      <c r="AH67">
        <v>7.15</v>
      </c>
      <c r="AI67">
        <v>3.19</v>
      </c>
      <c r="AJ67">
        <v>4.0599999999999996</v>
      </c>
      <c r="AL67" s="21" t="s">
        <v>128</v>
      </c>
      <c r="AM67">
        <v>54</v>
      </c>
      <c r="AN67">
        <v>49.5</v>
      </c>
      <c r="AO67">
        <v>51</v>
      </c>
      <c r="AP67">
        <v>53</v>
      </c>
      <c r="AQ67">
        <v>48</v>
      </c>
      <c r="AR67" s="17">
        <f t="shared" si="5"/>
        <v>42.583333333333336</v>
      </c>
      <c r="AS67" s="17">
        <f t="shared" si="9"/>
        <v>108.16166666666668</v>
      </c>
    </row>
    <row r="68" spans="1:45" x14ac:dyDescent="0.3">
      <c r="A68" t="s">
        <v>129</v>
      </c>
      <c r="B68" s="17">
        <f>(40+20+40)/3</f>
        <v>33.333333333333336</v>
      </c>
      <c r="C68" s="17">
        <f t="shared" si="12"/>
        <v>19.047619047619047</v>
      </c>
      <c r="D68" s="31">
        <f t="shared" si="11"/>
        <v>829714.28571428568</v>
      </c>
      <c r="F68">
        <v>216</v>
      </c>
      <c r="G68" s="16">
        <f t="shared" ref="G68:G106" si="13">+(F68/(12/43560))</f>
        <v>784080.00000000012</v>
      </c>
      <c r="H68" s="30">
        <f t="shared" ref="H68:H106" si="14">+G68/D68*100</f>
        <v>94.500000000000014</v>
      </c>
      <c r="I68">
        <v>5.18</v>
      </c>
      <c r="J68">
        <v>3.5</v>
      </c>
      <c r="K68">
        <f t="shared" ref="K68:K106" si="15">I68-J68</f>
        <v>1.6799999999999997</v>
      </c>
      <c r="L68" s="1">
        <v>30.07</v>
      </c>
      <c r="M68" s="30">
        <f t="shared" ref="M68:M106" si="16">+(K68*(100-L68)/100)/(12/43560)</f>
        <v>4264.6111200000005</v>
      </c>
      <c r="N68" s="30">
        <f t="shared" ref="N68:N106" si="17">+(M68*0.0011023113109244)</f>
        <v>4.7009290742699745</v>
      </c>
      <c r="O68" s="21" t="s">
        <v>129</v>
      </c>
      <c r="P68" t="s">
        <v>175</v>
      </c>
      <c r="Q68">
        <v>4.63</v>
      </c>
      <c r="R68">
        <v>4.1100000000000003</v>
      </c>
      <c r="S68">
        <v>3.36</v>
      </c>
      <c r="T68">
        <v>2.65</v>
      </c>
      <c r="U68">
        <v>2.4</v>
      </c>
      <c r="V68">
        <v>3.47</v>
      </c>
      <c r="W68">
        <v>2.44</v>
      </c>
      <c r="X68">
        <v>2.12</v>
      </c>
      <c r="Y68">
        <v>2.63</v>
      </c>
      <c r="Z68">
        <v>2.0499999999999998</v>
      </c>
      <c r="AA68">
        <v>3.44</v>
      </c>
      <c r="AB68">
        <v>2.91</v>
      </c>
      <c r="AC68">
        <v>3.09</v>
      </c>
      <c r="AD68">
        <v>2.27</v>
      </c>
      <c r="AE68">
        <v>2.2599999999999998</v>
      </c>
      <c r="AF68">
        <v>1.89</v>
      </c>
      <c r="AG68">
        <v>2.04</v>
      </c>
      <c r="AH68">
        <v>1.59</v>
      </c>
      <c r="AI68">
        <v>1.83</v>
      </c>
      <c r="AJ68">
        <v>1.24</v>
      </c>
      <c r="AL68" s="21" t="s">
        <v>129</v>
      </c>
      <c r="AM68">
        <v>36</v>
      </c>
      <c r="AN68">
        <v>41</v>
      </c>
      <c r="AO68">
        <v>47</v>
      </c>
      <c r="AP68">
        <v>44</v>
      </c>
      <c r="AQ68">
        <v>46.5</v>
      </c>
      <c r="AR68" s="17">
        <f t="shared" ref="AR68:AR74" si="18">(AVERAGE(AM68,AN68,AO68,AP68,AQ68,))</f>
        <v>35.75</v>
      </c>
      <c r="AS68" s="17">
        <f t="shared" si="9"/>
        <v>90.805000000000007</v>
      </c>
    </row>
    <row r="69" spans="1:45" x14ac:dyDescent="0.3">
      <c r="A69" t="s">
        <v>130</v>
      </c>
      <c r="B69" s="17">
        <f>(25+24+31)/3</f>
        <v>26.666666666666668</v>
      </c>
      <c r="C69" s="17">
        <f t="shared" si="12"/>
        <v>15.238095238095239</v>
      </c>
      <c r="D69" s="31">
        <f t="shared" si="11"/>
        <v>663771.42857142864</v>
      </c>
      <c r="F69">
        <v>133</v>
      </c>
      <c r="G69" s="16">
        <f t="shared" si="13"/>
        <v>482790.00000000006</v>
      </c>
      <c r="H69" s="30">
        <f t="shared" si="14"/>
        <v>72.734375</v>
      </c>
      <c r="I69">
        <v>5.8</v>
      </c>
      <c r="J69">
        <v>3.5</v>
      </c>
      <c r="K69">
        <f t="shared" si="15"/>
        <v>2.2999999999999998</v>
      </c>
      <c r="L69" s="1">
        <v>29.19</v>
      </c>
      <c r="M69" s="30">
        <f t="shared" si="16"/>
        <v>5911.9269000000004</v>
      </c>
      <c r="N69" s="30">
        <f t="shared" si="17"/>
        <v>6.5167838912282248</v>
      </c>
      <c r="O69" s="21" t="s">
        <v>130</v>
      </c>
      <c r="P69" t="s">
        <v>181</v>
      </c>
      <c r="Q69">
        <v>7.17</v>
      </c>
      <c r="R69">
        <v>4.41</v>
      </c>
      <c r="S69">
        <v>5.0599999999999996</v>
      </c>
      <c r="T69">
        <v>5.7</v>
      </c>
      <c r="U69">
        <v>5.97</v>
      </c>
      <c r="V69">
        <v>5.93</v>
      </c>
      <c r="W69">
        <v>3.68</v>
      </c>
      <c r="X69">
        <v>3.81</v>
      </c>
      <c r="Y69">
        <v>3.95</v>
      </c>
      <c r="Z69">
        <v>5.49</v>
      </c>
      <c r="AA69">
        <v>4.8499999999999996</v>
      </c>
      <c r="AB69">
        <v>247</v>
      </c>
      <c r="AC69">
        <v>3.22</v>
      </c>
      <c r="AD69">
        <v>2.91</v>
      </c>
      <c r="AE69">
        <v>3.6</v>
      </c>
      <c r="AF69">
        <v>3.44</v>
      </c>
      <c r="AG69">
        <v>2.6</v>
      </c>
      <c r="AH69">
        <v>2.15</v>
      </c>
      <c r="AI69">
        <v>2.0099999999999998</v>
      </c>
      <c r="AJ69">
        <v>3.11</v>
      </c>
      <c r="AL69" s="21" t="s">
        <v>130</v>
      </c>
      <c r="AM69">
        <v>50</v>
      </c>
      <c r="AN69">
        <v>41</v>
      </c>
      <c r="AO69">
        <v>47</v>
      </c>
      <c r="AP69">
        <v>44</v>
      </c>
      <c r="AQ69">
        <v>46.5</v>
      </c>
      <c r="AR69" s="17">
        <f t="shared" si="18"/>
        <v>38.083333333333336</v>
      </c>
      <c r="AS69" s="17">
        <f t="shared" si="9"/>
        <v>96.731666666666669</v>
      </c>
    </row>
    <row r="70" spans="1:45" x14ac:dyDescent="0.3">
      <c r="A70" t="s">
        <v>131</v>
      </c>
      <c r="B70" s="17">
        <f>(28+23+24)/3</f>
        <v>25</v>
      </c>
      <c r="C70" s="17">
        <f t="shared" si="12"/>
        <v>14.285714285714286</v>
      </c>
      <c r="D70" s="31">
        <f t="shared" si="11"/>
        <v>622285.71428571432</v>
      </c>
      <c r="F70">
        <v>179</v>
      </c>
      <c r="G70" s="16">
        <f t="shared" si="13"/>
        <v>649770.00000000012</v>
      </c>
      <c r="H70" s="30">
        <f t="shared" si="14"/>
        <v>104.41666666666667</v>
      </c>
      <c r="I70">
        <v>4.9800000000000004</v>
      </c>
      <c r="J70">
        <v>3.5</v>
      </c>
      <c r="K70">
        <f t="shared" si="15"/>
        <v>1.4800000000000004</v>
      </c>
      <c r="L70" s="1">
        <v>32.090000000000003</v>
      </c>
      <c r="M70" s="30">
        <f t="shared" si="16"/>
        <v>3648.3968400000012</v>
      </c>
      <c r="N70" s="30">
        <f t="shared" si="17"/>
        <v>4.0216691034728402</v>
      </c>
      <c r="O70" s="21" t="s">
        <v>131</v>
      </c>
      <c r="P70" t="s">
        <v>71</v>
      </c>
      <c r="Q70">
        <v>3.22</v>
      </c>
      <c r="R70">
        <v>3.09</v>
      </c>
      <c r="S70">
        <v>4.54</v>
      </c>
      <c r="T70">
        <v>3.43</v>
      </c>
      <c r="U70">
        <v>3.98</v>
      </c>
      <c r="V70">
        <v>5.04</v>
      </c>
      <c r="W70">
        <v>3.48</v>
      </c>
      <c r="X70">
        <v>4.08</v>
      </c>
      <c r="Y70">
        <v>4.58</v>
      </c>
      <c r="Z70">
        <v>3.95</v>
      </c>
      <c r="AA70">
        <v>2.82</v>
      </c>
      <c r="AB70">
        <v>2.1</v>
      </c>
      <c r="AC70">
        <v>3.93</v>
      </c>
      <c r="AD70">
        <v>2.97</v>
      </c>
      <c r="AE70">
        <v>3.69</v>
      </c>
      <c r="AF70">
        <v>4.37</v>
      </c>
      <c r="AG70">
        <v>2.5499999999999998</v>
      </c>
      <c r="AH70">
        <v>3.81</v>
      </c>
      <c r="AI70">
        <v>3</v>
      </c>
      <c r="AJ70">
        <v>8.83</v>
      </c>
      <c r="AL70" s="21" t="s">
        <v>131</v>
      </c>
      <c r="AM70">
        <v>32</v>
      </c>
      <c r="AN70">
        <v>33</v>
      </c>
      <c r="AO70">
        <v>29.5</v>
      </c>
      <c r="AP70">
        <v>36</v>
      </c>
      <c r="AQ70">
        <v>37</v>
      </c>
      <c r="AR70" s="17">
        <f t="shared" si="18"/>
        <v>27.916666666666668</v>
      </c>
      <c r="AS70" s="17">
        <f t="shared" si="9"/>
        <v>70.908333333333331</v>
      </c>
    </row>
    <row r="71" spans="1:45" x14ac:dyDescent="0.3">
      <c r="A71" t="s">
        <v>132</v>
      </c>
      <c r="B71" s="17">
        <f>(29+23+40)/3</f>
        <v>30.666666666666668</v>
      </c>
      <c r="C71" s="17">
        <f t="shared" si="12"/>
        <v>17.523809523809526</v>
      </c>
      <c r="D71" s="31">
        <f t="shared" si="11"/>
        <v>763337.14285714296</v>
      </c>
      <c r="G71" s="16">
        <f t="shared" si="13"/>
        <v>0</v>
      </c>
      <c r="H71" s="30">
        <f t="shared" si="14"/>
        <v>0</v>
      </c>
      <c r="L71" s="1"/>
      <c r="M71" s="30">
        <f t="shared" si="16"/>
        <v>0</v>
      </c>
      <c r="N71" s="30">
        <f t="shared" si="17"/>
        <v>0</v>
      </c>
      <c r="O71" s="21" t="s">
        <v>132</v>
      </c>
      <c r="P71" t="s">
        <v>67</v>
      </c>
      <c r="AL71" s="21" t="s">
        <v>132</v>
      </c>
      <c r="AM71" s="25" t="s">
        <v>172</v>
      </c>
      <c r="AN71" s="25" t="s">
        <v>172</v>
      </c>
      <c r="AO71" s="25" t="s">
        <v>172</v>
      </c>
      <c r="AP71" s="25" t="s">
        <v>172</v>
      </c>
      <c r="AQ71" s="25" t="s">
        <v>172</v>
      </c>
      <c r="AR71" s="26" t="s">
        <v>143</v>
      </c>
      <c r="AS71" s="26" t="s">
        <v>143</v>
      </c>
    </row>
    <row r="72" spans="1:45" x14ac:dyDescent="0.3">
      <c r="A72" t="s">
        <v>133</v>
      </c>
      <c r="B72" s="17">
        <f>(23+14+17)/3</f>
        <v>18</v>
      </c>
      <c r="C72" s="17">
        <f t="shared" si="12"/>
        <v>10.285714285714286</v>
      </c>
      <c r="D72" s="31">
        <f t="shared" si="11"/>
        <v>448045.71428571432</v>
      </c>
      <c r="F72">
        <v>134</v>
      </c>
      <c r="G72" s="16">
        <f t="shared" si="13"/>
        <v>486420.00000000006</v>
      </c>
      <c r="H72" s="30">
        <f t="shared" si="14"/>
        <v>108.56481481481481</v>
      </c>
      <c r="I72">
        <v>6.26</v>
      </c>
      <c r="J72">
        <v>3.5</v>
      </c>
      <c r="K72">
        <f t="shared" si="15"/>
        <v>2.76</v>
      </c>
      <c r="L72" s="1">
        <v>32.590000000000003</v>
      </c>
      <c r="M72" s="30">
        <f t="shared" si="16"/>
        <v>6753.6730799999996</v>
      </c>
      <c r="N72" s="30">
        <f t="shared" si="17"/>
        <v>7.4446502263696299</v>
      </c>
      <c r="O72" s="21" t="s">
        <v>133</v>
      </c>
      <c r="P72" t="s">
        <v>70</v>
      </c>
      <c r="Q72">
        <v>7.1</v>
      </c>
      <c r="R72">
        <v>6.01</v>
      </c>
      <c r="S72">
        <v>6.89</v>
      </c>
      <c r="T72">
        <v>5.38</v>
      </c>
      <c r="U72">
        <v>5.42</v>
      </c>
      <c r="V72">
        <v>6.61</v>
      </c>
      <c r="W72">
        <v>4</v>
      </c>
      <c r="X72">
        <v>6.48</v>
      </c>
      <c r="Y72">
        <v>4.8099999999999996</v>
      </c>
      <c r="Z72">
        <v>3.17</v>
      </c>
      <c r="AA72">
        <v>5.5</v>
      </c>
      <c r="AB72">
        <v>3.28</v>
      </c>
      <c r="AC72">
        <v>4.78</v>
      </c>
      <c r="AD72">
        <v>3.14</v>
      </c>
      <c r="AE72">
        <v>3.99</v>
      </c>
      <c r="AF72">
        <v>4.6500000000000004</v>
      </c>
      <c r="AG72">
        <v>2.48</v>
      </c>
      <c r="AH72">
        <v>3.52</v>
      </c>
      <c r="AI72">
        <v>3.57</v>
      </c>
      <c r="AJ72">
        <v>2.52</v>
      </c>
      <c r="AL72" s="21" t="s">
        <v>133</v>
      </c>
      <c r="AM72">
        <v>43</v>
      </c>
      <c r="AN72">
        <v>41</v>
      </c>
      <c r="AO72">
        <v>42</v>
      </c>
      <c r="AP72">
        <v>39.5</v>
      </c>
      <c r="AQ72">
        <v>45</v>
      </c>
      <c r="AR72" s="17">
        <f t="shared" si="18"/>
        <v>35.083333333333336</v>
      </c>
      <c r="AS72" s="17">
        <f t="shared" si="9"/>
        <v>89.111666666666679</v>
      </c>
    </row>
    <row r="73" spans="1:45" x14ac:dyDescent="0.3">
      <c r="A73" t="s">
        <v>134</v>
      </c>
      <c r="B73" s="17">
        <f>(41+62+15)/3</f>
        <v>39.333333333333336</v>
      </c>
      <c r="C73" s="17">
        <f t="shared" si="12"/>
        <v>22.476190476190478</v>
      </c>
      <c r="D73" s="31">
        <f t="shared" ref="D73:D104" si="19">(C73*43560)</f>
        <v>979062.85714285728</v>
      </c>
      <c r="F73">
        <v>259</v>
      </c>
      <c r="G73" s="16">
        <f t="shared" si="13"/>
        <v>940170.00000000012</v>
      </c>
      <c r="H73" s="30">
        <f t="shared" si="14"/>
        <v>96.027542372881356</v>
      </c>
      <c r="I73">
        <v>6.44</v>
      </c>
      <c r="J73">
        <v>3.5</v>
      </c>
      <c r="K73">
        <f t="shared" si="15"/>
        <v>2.9400000000000004</v>
      </c>
      <c r="L73" s="1">
        <v>33.42</v>
      </c>
      <c r="M73" s="30">
        <f t="shared" si="16"/>
        <v>7105.550760000001</v>
      </c>
      <c r="N73" s="30">
        <f t="shared" si="17"/>
        <v>7.8325289730954681</v>
      </c>
      <c r="O73" s="21" t="s">
        <v>134</v>
      </c>
      <c r="P73" t="s">
        <v>177</v>
      </c>
      <c r="Q73">
        <v>4.68</v>
      </c>
      <c r="R73">
        <v>3.37</v>
      </c>
      <c r="S73">
        <v>4.43</v>
      </c>
      <c r="T73">
        <v>4.7</v>
      </c>
      <c r="U73">
        <v>6.79</v>
      </c>
      <c r="V73">
        <v>4.22</v>
      </c>
      <c r="W73">
        <v>2.85</v>
      </c>
      <c r="X73">
        <v>5.38</v>
      </c>
      <c r="Y73">
        <v>3.25</v>
      </c>
      <c r="Z73">
        <v>5.25</v>
      </c>
      <c r="AA73">
        <v>2.84</v>
      </c>
      <c r="AB73">
        <v>1.85</v>
      </c>
      <c r="AC73">
        <v>2.57</v>
      </c>
      <c r="AD73">
        <v>2.84</v>
      </c>
      <c r="AE73">
        <v>4.45</v>
      </c>
      <c r="AF73">
        <v>2.97</v>
      </c>
      <c r="AG73">
        <v>1.62</v>
      </c>
      <c r="AH73">
        <v>3.14</v>
      </c>
      <c r="AI73">
        <v>2.09</v>
      </c>
      <c r="AJ73">
        <v>3.45</v>
      </c>
      <c r="AL73" s="21" t="s">
        <v>134</v>
      </c>
      <c r="AM73">
        <v>48</v>
      </c>
      <c r="AN73">
        <v>49.5</v>
      </c>
      <c r="AO73">
        <v>44</v>
      </c>
      <c r="AP73">
        <v>47</v>
      </c>
      <c r="AQ73">
        <v>48</v>
      </c>
      <c r="AR73" s="17">
        <f t="shared" si="18"/>
        <v>39.416666666666664</v>
      </c>
      <c r="AS73" s="17">
        <f t="shared" si="9"/>
        <v>100.11833333333333</v>
      </c>
    </row>
    <row r="74" spans="1:45" x14ac:dyDescent="0.3">
      <c r="A74" t="s">
        <v>135</v>
      </c>
      <c r="B74" s="17">
        <f>(20+14+8)/3</f>
        <v>14</v>
      </c>
      <c r="C74" s="17">
        <f t="shared" si="12"/>
        <v>8</v>
      </c>
      <c r="D74" s="31">
        <f t="shared" si="19"/>
        <v>348480</v>
      </c>
      <c r="F74">
        <v>52</v>
      </c>
      <c r="G74" s="16">
        <f t="shared" si="13"/>
        <v>188760.00000000003</v>
      </c>
      <c r="H74" s="30">
        <f t="shared" si="14"/>
        <v>54.166666666666671</v>
      </c>
      <c r="I74">
        <v>4.82</v>
      </c>
      <c r="J74">
        <v>3.5</v>
      </c>
      <c r="K74">
        <f t="shared" si="15"/>
        <v>1.3200000000000003</v>
      </c>
      <c r="L74" s="1">
        <v>29.4</v>
      </c>
      <c r="M74" s="30">
        <f t="shared" si="16"/>
        <v>3382.8696000000004</v>
      </c>
      <c r="N74" s="30">
        <f t="shared" si="17"/>
        <v>3.7289754234623014</v>
      </c>
      <c r="O74" s="21" t="s">
        <v>135</v>
      </c>
      <c r="P74" t="s">
        <v>176</v>
      </c>
      <c r="Q74">
        <v>6.43</v>
      </c>
      <c r="R74">
        <v>6.98</v>
      </c>
      <c r="S74">
        <v>4.08</v>
      </c>
      <c r="T74">
        <v>5.08</v>
      </c>
      <c r="U74">
        <v>4.8</v>
      </c>
      <c r="V74">
        <v>5.17</v>
      </c>
      <c r="W74">
        <v>5.81</v>
      </c>
      <c r="X74">
        <v>3.56</v>
      </c>
      <c r="Y74">
        <v>4.58</v>
      </c>
      <c r="Z74">
        <v>5.01</v>
      </c>
      <c r="AA74">
        <v>3.7</v>
      </c>
      <c r="AB74">
        <v>5.45</v>
      </c>
      <c r="AC74">
        <v>3.62</v>
      </c>
      <c r="AD74">
        <v>4.45</v>
      </c>
      <c r="AE74">
        <v>2.11</v>
      </c>
      <c r="AF74">
        <v>4.82</v>
      </c>
      <c r="AG74">
        <v>4.99</v>
      </c>
      <c r="AH74">
        <v>2.97</v>
      </c>
      <c r="AI74">
        <v>3.99</v>
      </c>
      <c r="AJ74">
        <v>4.74</v>
      </c>
      <c r="AL74" s="21" t="s">
        <v>135</v>
      </c>
      <c r="AM74">
        <v>40</v>
      </c>
      <c r="AN74">
        <v>45</v>
      </c>
      <c r="AO74">
        <v>46</v>
      </c>
      <c r="AP74">
        <v>41.5</v>
      </c>
      <c r="AQ74">
        <v>42</v>
      </c>
      <c r="AR74" s="17">
        <f t="shared" si="18"/>
        <v>35.75</v>
      </c>
      <c r="AS74" s="17">
        <f t="shared" si="9"/>
        <v>90.805000000000007</v>
      </c>
    </row>
    <row r="75" spans="1:45" x14ac:dyDescent="0.3">
      <c r="A75" t="s">
        <v>32</v>
      </c>
      <c r="B75" s="17">
        <f>(24+24+36)/3</f>
        <v>28</v>
      </c>
      <c r="C75" s="17">
        <f t="shared" si="12"/>
        <v>16</v>
      </c>
      <c r="D75" s="31">
        <f t="shared" si="19"/>
        <v>696960</v>
      </c>
      <c r="F75">
        <v>203</v>
      </c>
      <c r="G75" s="16">
        <f t="shared" si="13"/>
        <v>736890.00000000012</v>
      </c>
      <c r="H75" s="30">
        <f t="shared" si="14"/>
        <v>105.72916666666667</v>
      </c>
      <c r="I75">
        <v>5.38</v>
      </c>
      <c r="J75">
        <v>3.5</v>
      </c>
      <c r="K75">
        <f t="shared" si="15"/>
        <v>1.88</v>
      </c>
      <c r="L75" s="1">
        <v>33.380000000000003</v>
      </c>
      <c r="M75" s="30">
        <f t="shared" si="16"/>
        <v>4546.4152800000002</v>
      </c>
      <c r="N75" s="30">
        <f t="shared" si="17"/>
        <v>5.0115649873035233</v>
      </c>
      <c r="O75" s="22" t="s">
        <v>32</v>
      </c>
      <c r="P75" t="s">
        <v>154</v>
      </c>
      <c r="Q75">
        <v>5.85</v>
      </c>
      <c r="R75">
        <v>4.05</v>
      </c>
      <c r="S75">
        <v>3.15</v>
      </c>
      <c r="T75">
        <v>4.57</v>
      </c>
      <c r="U75">
        <v>4.13</v>
      </c>
      <c r="V75">
        <v>5.37</v>
      </c>
      <c r="W75">
        <v>4.97</v>
      </c>
      <c r="X75">
        <v>4.24</v>
      </c>
      <c r="Y75">
        <v>3.22</v>
      </c>
      <c r="Z75">
        <v>3.89</v>
      </c>
    </row>
    <row r="76" spans="1:45" x14ac:dyDescent="0.3">
      <c r="A76" t="s">
        <v>33</v>
      </c>
      <c r="B76" s="17">
        <f>(44+37+25)/3</f>
        <v>35.333333333333336</v>
      </c>
      <c r="C76" s="17">
        <f t="shared" si="12"/>
        <v>20.190476190476193</v>
      </c>
      <c r="D76" s="31">
        <f t="shared" si="19"/>
        <v>879497.14285714296</v>
      </c>
      <c r="F76">
        <v>302</v>
      </c>
      <c r="G76" s="16">
        <f t="shared" si="13"/>
        <v>1096260</v>
      </c>
      <c r="H76" s="30">
        <f t="shared" si="14"/>
        <v>124.64622641509433</v>
      </c>
      <c r="I76">
        <v>6.24</v>
      </c>
      <c r="J76">
        <v>3.5</v>
      </c>
      <c r="K76">
        <f t="shared" si="15"/>
        <v>2.74</v>
      </c>
      <c r="L76" s="1">
        <v>30.75</v>
      </c>
      <c r="M76" s="30">
        <f t="shared" si="16"/>
        <v>6887.7435000000005</v>
      </c>
      <c r="N76" s="30">
        <f t="shared" si="17"/>
        <v>7.5924375667960158</v>
      </c>
      <c r="O76" s="22" t="s">
        <v>33</v>
      </c>
      <c r="P76" t="s">
        <v>155</v>
      </c>
      <c r="Q76">
        <v>4.08</v>
      </c>
      <c r="R76">
        <v>6.17</v>
      </c>
      <c r="S76">
        <v>4.33</v>
      </c>
      <c r="T76">
        <v>4.9000000000000004</v>
      </c>
      <c r="U76">
        <v>4.88</v>
      </c>
      <c r="V76">
        <v>2.46</v>
      </c>
      <c r="W76">
        <v>4.1399999999999997</v>
      </c>
      <c r="X76">
        <v>3.92</v>
      </c>
      <c r="Y76">
        <v>4.47</v>
      </c>
      <c r="Z76">
        <v>7.51</v>
      </c>
    </row>
    <row r="77" spans="1:45" x14ac:dyDescent="0.3">
      <c r="A77" t="s">
        <v>34</v>
      </c>
      <c r="B77" s="17">
        <f>(9+20+62)/3</f>
        <v>30.333333333333332</v>
      </c>
      <c r="C77" s="17">
        <f t="shared" si="12"/>
        <v>17.333333333333332</v>
      </c>
      <c r="D77" s="31">
        <f t="shared" si="19"/>
        <v>755040</v>
      </c>
      <c r="F77">
        <v>164</v>
      </c>
      <c r="G77" s="16">
        <f t="shared" si="13"/>
        <v>595320</v>
      </c>
      <c r="H77" s="30">
        <f t="shared" si="14"/>
        <v>78.84615384615384</v>
      </c>
      <c r="I77">
        <v>5.2</v>
      </c>
      <c r="J77">
        <v>3.5</v>
      </c>
      <c r="K77">
        <f t="shared" si="15"/>
        <v>1.7000000000000002</v>
      </c>
      <c r="L77" s="1">
        <v>35.31</v>
      </c>
      <c r="M77" s="30">
        <f t="shared" si="16"/>
        <v>3992.0199000000007</v>
      </c>
      <c r="N77" s="30">
        <f t="shared" si="17"/>
        <v>4.4004486892052936</v>
      </c>
      <c r="O77" s="22" t="s">
        <v>34</v>
      </c>
      <c r="P77" t="s">
        <v>156</v>
      </c>
      <c r="Q77">
        <v>4.24</v>
      </c>
      <c r="R77">
        <v>3.14</v>
      </c>
      <c r="S77">
        <v>2.7</v>
      </c>
      <c r="T77">
        <v>7.21</v>
      </c>
      <c r="U77">
        <v>3.63</v>
      </c>
      <c r="V77">
        <v>6.06</v>
      </c>
      <c r="W77">
        <v>5.15</v>
      </c>
      <c r="X77">
        <v>3.49</v>
      </c>
      <c r="Y77">
        <v>3.2</v>
      </c>
      <c r="Z77">
        <v>4.1500000000000004</v>
      </c>
    </row>
    <row r="78" spans="1:45" x14ac:dyDescent="0.3">
      <c r="A78" t="s">
        <v>35</v>
      </c>
      <c r="B78" s="17">
        <f>(76+48+54)/3</f>
        <v>59.333333333333336</v>
      </c>
      <c r="C78" s="17">
        <f t="shared" si="12"/>
        <v>33.904761904761905</v>
      </c>
      <c r="D78" s="31">
        <f t="shared" si="19"/>
        <v>1476891.4285714286</v>
      </c>
      <c r="F78">
        <v>393</v>
      </c>
      <c r="G78" s="16">
        <f t="shared" si="13"/>
        <v>1426590.0000000002</v>
      </c>
      <c r="H78" s="30">
        <f t="shared" si="14"/>
        <v>96.594101123595522</v>
      </c>
      <c r="I78">
        <v>6.62</v>
      </c>
      <c r="J78">
        <v>3.5</v>
      </c>
      <c r="K78">
        <f t="shared" si="15"/>
        <v>3.12</v>
      </c>
      <c r="L78" s="1">
        <v>42.04</v>
      </c>
      <c r="M78" s="30">
        <f t="shared" si="16"/>
        <v>6564.3177600000008</v>
      </c>
      <c r="N78" s="30">
        <f t="shared" si="17"/>
        <v>7.2359217153499227</v>
      </c>
      <c r="O78" s="22" t="s">
        <v>35</v>
      </c>
      <c r="P78" t="s">
        <v>157</v>
      </c>
      <c r="Q78">
        <v>3.67</v>
      </c>
      <c r="R78">
        <v>4.92</v>
      </c>
      <c r="S78">
        <v>3.11</v>
      </c>
      <c r="T78">
        <v>3.74</v>
      </c>
      <c r="U78">
        <v>5.24</v>
      </c>
      <c r="V78">
        <v>4.1900000000000004</v>
      </c>
      <c r="W78">
        <v>3.55</v>
      </c>
      <c r="X78">
        <v>4.6900000000000004</v>
      </c>
      <c r="Y78">
        <v>5.19</v>
      </c>
      <c r="Z78">
        <v>4.3899999999999997</v>
      </c>
    </row>
    <row r="79" spans="1:45" x14ac:dyDescent="0.3">
      <c r="A79" t="s">
        <v>36</v>
      </c>
      <c r="B79" s="17">
        <f>(34+42+46)/3</f>
        <v>40.666666666666664</v>
      </c>
      <c r="C79" s="17">
        <f t="shared" si="12"/>
        <v>23.238095238095237</v>
      </c>
      <c r="D79" s="31">
        <f t="shared" si="19"/>
        <v>1012251.4285714285</v>
      </c>
      <c r="F79">
        <v>183</v>
      </c>
      <c r="G79" s="16">
        <f t="shared" si="13"/>
        <v>664290.00000000012</v>
      </c>
      <c r="H79" s="30">
        <f t="shared" si="14"/>
        <v>65.625000000000014</v>
      </c>
      <c r="I79">
        <v>6.12</v>
      </c>
      <c r="J79">
        <v>3.5</v>
      </c>
      <c r="K79">
        <f t="shared" si="15"/>
        <v>2.62</v>
      </c>
      <c r="L79" s="1">
        <v>35.520000000000003</v>
      </c>
      <c r="M79" s="30">
        <f t="shared" si="16"/>
        <v>6132.4348799999998</v>
      </c>
      <c r="N79" s="30">
        <f t="shared" si="17"/>
        <v>6.7598523317313157</v>
      </c>
      <c r="O79" s="22" t="s">
        <v>36</v>
      </c>
      <c r="P79" t="s">
        <v>158</v>
      </c>
      <c r="Q79">
        <v>4.3899999999999997</v>
      </c>
      <c r="R79">
        <v>4.4000000000000004</v>
      </c>
      <c r="S79">
        <v>5.27</v>
      </c>
      <c r="T79">
        <v>3.06</v>
      </c>
      <c r="U79">
        <v>6.08</v>
      </c>
      <c r="V79">
        <v>4.05</v>
      </c>
      <c r="W79">
        <v>4.82</v>
      </c>
      <c r="X79">
        <v>5.5</v>
      </c>
      <c r="Y79">
        <v>2.78</v>
      </c>
      <c r="Z79">
        <v>5.08</v>
      </c>
    </row>
    <row r="80" spans="1:45" x14ac:dyDescent="0.3">
      <c r="A80" t="s">
        <v>37</v>
      </c>
      <c r="B80" s="17">
        <f>(56+52+47)/3</f>
        <v>51.666666666666664</v>
      </c>
      <c r="C80" s="17">
        <f t="shared" si="12"/>
        <v>29.523809523809522</v>
      </c>
      <c r="D80" s="31">
        <f t="shared" si="19"/>
        <v>1286057.1428571427</v>
      </c>
      <c r="F80">
        <v>346</v>
      </c>
      <c r="G80" s="16">
        <f t="shared" si="13"/>
        <v>1255980</v>
      </c>
      <c r="H80" s="30">
        <f t="shared" si="14"/>
        <v>97.661290322580655</v>
      </c>
      <c r="I80">
        <v>6.86</v>
      </c>
      <c r="J80">
        <v>3.5</v>
      </c>
      <c r="K80">
        <f t="shared" si="15"/>
        <v>3.3600000000000003</v>
      </c>
      <c r="L80" s="1">
        <v>31.89</v>
      </c>
      <c r="M80" s="30">
        <f t="shared" si="16"/>
        <v>8307.2404800000022</v>
      </c>
      <c r="N80" s="30">
        <f t="shared" si="17"/>
        <v>9.1571651436730441</v>
      </c>
      <c r="O80" s="22" t="s">
        <v>37</v>
      </c>
      <c r="P80" t="s">
        <v>159</v>
      </c>
      <c r="Q80">
        <v>5.25</v>
      </c>
      <c r="R80">
        <v>3.55</v>
      </c>
      <c r="S80">
        <v>3.12</v>
      </c>
      <c r="T80">
        <v>3.72</v>
      </c>
      <c r="U80">
        <v>3.21</v>
      </c>
      <c r="V80">
        <v>3.37</v>
      </c>
      <c r="W80">
        <v>4.55</v>
      </c>
      <c r="X80">
        <v>3.5</v>
      </c>
      <c r="Y80">
        <v>5.23</v>
      </c>
      <c r="Z80">
        <v>2.23</v>
      </c>
    </row>
    <row r="81" spans="1:26" x14ac:dyDescent="0.3">
      <c r="A81" t="s">
        <v>38</v>
      </c>
      <c r="B81" s="17">
        <f>(41+31+32)/3</f>
        <v>34.666666666666664</v>
      </c>
      <c r="C81" s="17">
        <f t="shared" si="12"/>
        <v>19.809523809523807</v>
      </c>
      <c r="D81" s="31">
        <f t="shared" si="19"/>
        <v>862902.85714285704</v>
      </c>
      <c r="F81">
        <v>334</v>
      </c>
      <c r="G81" s="16">
        <f t="shared" si="13"/>
        <v>1212420</v>
      </c>
      <c r="H81" s="30">
        <f t="shared" si="14"/>
        <v>140.50480769230771</v>
      </c>
      <c r="I81">
        <v>6.98</v>
      </c>
      <c r="J81">
        <v>3.5</v>
      </c>
      <c r="K81">
        <f t="shared" si="15"/>
        <v>3.4800000000000004</v>
      </c>
      <c r="L81" s="1">
        <v>32.520000000000003</v>
      </c>
      <c r="M81" s="30">
        <f t="shared" si="16"/>
        <v>8524.3435200000022</v>
      </c>
      <c r="N81" s="30">
        <f t="shared" si="17"/>
        <v>9.3964802803011178</v>
      </c>
      <c r="O81" s="22" t="s">
        <v>38</v>
      </c>
      <c r="P81" t="s">
        <v>160</v>
      </c>
      <c r="Q81">
        <v>4.54</v>
      </c>
      <c r="R81">
        <v>5.74</v>
      </c>
      <c r="S81">
        <v>4.21</v>
      </c>
      <c r="T81">
        <v>4.2</v>
      </c>
      <c r="U81">
        <v>4.42</v>
      </c>
      <c r="V81">
        <v>4.7</v>
      </c>
      <c r="W81">
        <v>3.33</v>
      </c>
      <c r="X81">
        <v>2.8</v>
      </c>
      <c r="Y81">
        <v>3.64</v>
      </c>
      <c r="Z81">
        <v>1.38</v>
      </c>
    </row>
    <row r="82" spans="1:26" x14ac:dyDescent="0.3">
      <c r="A82" t="s">
        <v>39</v>
      </c>
      <c r="B82" s="17">
        <f>(93+84+103)/3</f>
        <v>93.333333333333329</v>
      </c>
      <c r="C82" s="17">
        <f t="shared" si="12"/>
        <v>53.333333333333329</v>
      </c>
      <c r="D82" s="31">
        <f t="shared" si="19"/>
        <v>2323200</v>
      </c>
      <c r="F82">
        <v>303</v>
      </c>
      <c r="G82" s="16">
        <f t="shared" si="13"/>
        <v>1099890</v>
      </c>
      <c r="H82" s="30">
        <f t="shared" si="14"/>
        <v>47.34375</v>
      </c>
      <c r="I82">
        <v>6.26</v>
      </c>
      <c r="J82">
        <v>3.5</v>
      </c>
      <c r="K82">
        <f t="shared" si="15"/>
        <v>2.76</v>
      </c>
      <c r="L82" s="1">
        <v>34.29</v>
      </c>
      <c r="M82" s="30">
        <f t="shared" si="16"/>
        <v>6583.3534800000007</v>
      </c>
      <c r="N82" s="30">
        <f t="shared" si="17"/>
        <v>7.2569050048175123</v>
      </c>
      <c r="O82" s="28" t="s">
        <v>39</v>
      </c>
      <c r="P82" t="s">
        <v>161</v>
      </c>
      <c r="Q82">
        <v>3.77</v>
      </c>
      <c r="R82">
        <v>5.24</v>
      </c>
      <c r="S82">
        <v>3.43</v>
      </c>
      <c r="T82">
        <v>5.86</v>
      </c>
      <c r="U82">
        <v>4.38</v>
      </c>
      <c r="V82">
        <v>2.86</v>
      </c>
      <c r="W82">
        <v>4.3099999999999996</v>
      </c>
      <c r="X82">
        <v>2.63</v>
      </c>
      <c r="Y82">
        <v>4.75</v>
      </c>
      <c r="Z82">
        <v>5.48</v>
      </c>
    </row>
    <row r="83" spans="1:26" x14ac:dyDescent="0.3">
      <c r="A83" t="s">
        <v>40</v>
      </c>
      <c r="B83" s="17">
        <f>(62+60+34)/3</f>
        <v>52</v>
      </c>
      <c r="C83" s="17">
        <f t="shared" si="12"/>
        <v>29.714285714285715</v>
      </c>
      <c r="D83" s="31">
        <f t="shared" si="19"/>
        <v>1294354.2857142857</v>
      </c>
      <c r="F83">
        <v>298</v>
      </c>
      <c r="G83" s="16">
        <f t="shared" si="13"/>
        <v>1081740</v>
      </c>
      <c r="H83" s="30">
        <f t="shared" si="14"/>
        <v>83.573717948717956</v>
      </c>
      <c r="I83">
        <v>6.38</v>
      </c>
      <c r="J83">
        <v>3.5</v>
      </c>
      <c r="K83">
        <f t="shared" si="15"/>
        <v>2.88</v>
      </c>
      <c r="L83" s="1">
        <v>34.9</v>
      </c>
      <c r="M83" s="30">
        <f t="shared" si="16"/>
        <v>6805.8143999999993</v>
      </c>
      <c r="N83" s="30">
        <f t="shared" si="17"/>
        <v>7.5021261931721588</v>
      </c>
      <c r="O83" s="24" t="s">
        <v>40</v>
      </c>
      <c r="P83" t="s">
        <v>161</v>
      </c>
      <c r="Q83">
        <v>3.15</v>
      </c>
      <c r="R83">
        <v>4.5199999999999996</v>
      </c>
      <c r="S83">
        <v>3.32</v>
      </c>
      <c r="T83">
        <v>4.1399999999999997</v>
      </c>
      <c r="U83">
        <v>3.33</v>
      </c>
      <c r="V83">
        <v>3.43</v>
      </c>
      <c r="W83">
        <v>3.89</v>
      </c>
      <c r="X83">
        <v>2.76</v>
      </c>
      <c r="Y83">
        <v>2.97</v>
      </c>
      <c r="Z83">
        <v>2.13</v>
      </c>
    </row>
    <row r="84" spans="1:26" x14ac:dyDescent="0.3">
      <c r="A84" t="s">
        <v>41</v>
      </c>
      <c r="B84" s="17">
        <f>(45+48+43)/3</f>
        <v>45.333333333333336</v>
      </c>
      <c r="C84" s="17">
        <f t="shared" si="12"/>
        <v>25.904761904761905</v>
      </c>
      <c r="D84" s="31">
        <f t="shared" si="19"/>
        <v>1128411.4285714286</v>
      </c>
      <c r="F84">
        <v>356</v>
      </c>
      <c r="G84" s="16">
        <f t="shared" si="13"/>
        <v>1292280.0000000002</v>
      </c>
      <c r="H84" s="30">
        <f t="shared" si="14"/>
        <v>114.52205882352942</v>
      </c>
      <c r="I84">
        <v>7.26</v>
      </c>
      <c r="J84">
        <v>3.5</v>
      </c>
      <c r="K84">
        <f t="shared" si="15"/>
        <v>3.76</v>
      </c>
      <c r="L84" s="1">
        <v>31.69</v>
      </c>
      <c r="M84" s="30">
        <f t="shared" si="16"/>
        <v>9323.495280000001</v>
      </c>
      <c r="N84" s="30">
        <f t="shared" si="17"/>
        <v>10.277394304494258</v>
      </c>
      <c r="O84" s="24" t="s">
        <v>41</v>
      </c>
      <c r="P84" t="s">
        <v>157</v>
      </c>
      <c r="Q84">
        <v>3.78</v>
      </c>
      <c r="R84">
        <v>4.29</v>
      </c>
      <c r="S84">
        <v>4.88</v>
      </c>
      <c r="T84">
        <v>4.13</v>
      </c>
      <c r="U84">
        <v>2.2799999999999998</v>
      </c>
      <c r="V84">
        <v>4.72</v>
      </c>
      <c r="W84">
        <v>5.32</v>
      </c>
      <c r="X84">
        <v>3.47</v>
      </c>
      <c r="Y84">
        <v>3.15</v>
      </c>
      <c r="Z84">
        <v>6.77</v>
      </c>
    </row>
    <row r="85" spans="1:26" x14ac:dyDescent="0.3">
      <c r="A85" t="s">
        <v>42</v>
      </c>
      <c r="B85" s="17">
        <f>(47+41+40)/3</f>
        <v>42.666666666666664</v>
      </c>
      <c r="C85" s="17">
        <f t="shared" si="12"/>
        <v>24.38095238095238</v>
      </c>
      <c r="D85" s="31">
        <f t="shared" si="19"/>
        <v>1062034.2857142857</v>
      </c>
      <c r="F85">
        <v>152</v>
      </c>
      <c r="G85" s="16">
        <f t="shared" si="13"/>
        <v>551760</v>
      </c>
      <c r="H85" s="30">
        <f t="shared" si="14"/>
        <v>51.953125</v>
      </c>
      <c r="I85">
        <v>6.82</v>
      </c>
      <c r="J85">
        <v>3.5</v>
      </c>
      <c r="K85">
        <f t="shared" si="15"/>
        <v>3.3200000000000003</v>
      </c>
      <c r="L85" s="1">
        <v>36.74</v>
      </c>
      <c r="M85" s="30">
        <f t="shared" si="16"/>
        <v>7623.8421600000011</v>
      </c>
      <c r="N85" s="30">
        <f t="shared" si="17"/>
        <v>8.4038474456703103</v>
      </c>
      <c r="O85" s="24" t="s">
        <v>42</v>
      </c>
      <c r="P85" t="s">
        <v>154</v>
      </c>
      <c r="Q85">
        <v>4.29</v>
      </c>
      <c r="R85">
        <v>6.96</v>
      </c>
      <c r="S85">
        <v>7.66</v>
      </c>
      <c r="T85">
        <v>5.85</v>
      </c>
      <c r="U85">
        <v>9.16</v>
      </c>
      <c r="V85">
        <v>5.69</v>
      </c>
      <c r="W85">
        <v>7.08</v>
      </c>
      <c r="X85">
        <v>4.8899999999999997</v>
      </c>
      <c r="Y85">
        <v>4.88</v>
      </c>
      <c r="Z85">
        <v>5.01</v>
      </c>
    </row>
    <row r="86" spans="1:26" x14ac:dyDescent="0.3">
      <c r="A86" t="s">
        <v>43</v>
      </c>
      <c r="B86" s="17">
        <f>(102+94+84)/3</f>
        <v>93.333333333333329</v>
      </c>
      <c r="C86" s="17">
        <f t="shared" si="12"/>
        <v>53.333333333333329</v>
      </c>
      <c r="D86" s="31">
        <f t="shared" si="19"/>
        <v>2323200</v>
      </c>
      <c r="F86">
        <v>298</v>
      </c>
      <c r="G86" s="16">
        <f t="shared" si="13"/>
        <v>1081740</v>
      </c>
      <c r="H86" s="30">
        <f t="shared" si="14"/>
        <v>46.5625</v>
      </c>
      <c r="I86">
        <v>7.28</v>
      </c>
      <c r="J86">
        <v>3.5</v>
      </c>
      <c r="K86">
        <f t="shared" si="15"/>
        <v>3.7800000000000002</v>
      </c>
      <c r="L86" s="1">
        <v>33.56</v>
      </c>
      <c r="M86" s="30">
        <f t="shared" si="16"/>
        <v>9116.498160000001</v>
      </c>
      <c r="N86" s="30">
        <f t="shared" si="17"/>
        <v>10.049219037789483</v>
      </c>
      <c r="O86" s="24" t="s">
        <v>43</v>
      </c>
      <c r="P86" t="s">
        <v>159</v>
      </c>
      <c r="Q86">
        <v>4.0599999999999996</v>
      </c>
      <c r="R86">
        <v>2.87</v>
      </c>
      <c r="S86">
        <v>3.76</v>
      </c>
      <c r="T86">
        <v>3.36</v>
      </c>
      <c r="U86">
        <v>3.07</v>
      </c>
      <c r="V86">
        <v>1.84</v>
      </c>
      <c r="W86">
        <v>5.44</v>
      </c>
      <c r="X86">
        <v>5.39</v>
      </c>
      <c r="Y86">
        <v>6.77</v>
      </c>
      <c r="Z86">
        <v>4.91</v>
      </c>
    </row>
    <row r="87" spans="1:26" x14ac:dyDescent="0.3">
      <c r="A87" t="s">
        <v>44</v>
      </c>
      <c r="B87" s="17">
        <f>(35+49+33)/3</f>
        <v>39</v>
      </c>
      <c r="C87" s="17">
        <f t="shared" si="12"/>
        <v>22.285714285714285</v>
      </c>
      <c r="D87" s="31">
        <f t="shared" si="19"/>
        <v>970765.7142857142</v>
      </c>
      <c r="F87">
        <v>184</v>
      </c>
      <c r="G87" s="16">
        <f t="shared" si="13"/>
        <v>667920.00000000012</v>
      </c>
      <c r="H87" s="30">
        <f t="shared" si="14"/>
        <v>68.803418803418822</v>
      </c>
      <c r="I87">
        <v>6.44</v>
      </c>
      <c r="J87">
        <v>3.5</v>
      </c>
      <c r="K87">
        <f t="shared" si="15"/>
        <v>2.9400000000000004</v>
      </c>
      <c r="L87" s="1">
        <v>40.07</v>
      </c>
      <c r="M87" s="30">
        <f t="shared" si="16"/>
        <v>6395.8494600000022</v>
      </c>
      <c r="N87" s="30">
        <f t="shared" si="17"/>
        <v>7.050217202727719</v>
      </c>
      <c r="O87" s="24" t="s">
        <v>44</v>
      </c>
      <c r="P87" t="s">
        <v>155</v>
      </c>
      <c r="Q87">
        <v>4.54</v>
      </c>
      <c r="R87">
        <v>6.67</v>
      </c>
      <c r="S87">
        <v>8.23</v>
      </c>
      <c r="T87">
        <v>3.04</v>
      </c>
      <c r="U87">
        <v>6.93</v>
      </c>
      <c r="V87">
        <v>3.81</v>
      </c>
      <c r="W87">
        <v>3.61</v>
      </c>
      <c r="X87">
        <v>4.3099999999999996</v>
      </c>
      <c r="Y87">
        <v>6.21</v>
      </c>
      <c r="Z87">
        <v>4.34</v>
      </c>
    </row>
    <row r="88" spans="1:26" x14ac:dyDescent="0.3">
      <c r="A88" t="s">
        <v>144</v>
      </c>
      <c r="B88" s="17" t="s">
        <v>142</v>
      </c>
      <c r="C88" s="17" t="s">
        <v>143</v>
      </c>
      <c r="D88" s="31" t="s">
        <v>143</v>
      </c>
      <c r="G88" s="16">
        <f t="shared" si="13"/>
        <v>0</v>
      </c>
      <c r="H88" s="30" t="e">
        <f t="shared" si="14"/>
        <v>#VALUE!</v>
      </c>
      <c r="L88" s="1"/>
      <c r="M88" s="30">
        <f t="shared" si="16"/>
        <v>0</v>
      </c>
      <c r="N88" s="30">
        <f t="shared" si="17"/>
        <v>0</v>
      </c>
      <c r="O88" s="24" t="s">
        <v>45</v>
      </c>
      <c r="P88" t="s">
        <v>158</v>
      </c>
    </row>
    <row r="89" spans="1:26" x14ac:dyDescent="0.3">
      <c r="A89" t="s">
        <v>46</v>
      </c>
      <c r="B89" s="17">
        <f>(43+46+59)/3</f>
        <v>49.333333333333336</v>
      </c>
      <c r="C89" s="17">
        <f t="shared" ref="C89:C106" si="20">(B89*4)/7</f>
        <v>28.190476190476193</v>
      </c>
      <c r="D89" s="31">
        <f t="shared" ref="D89:D106" si="21">(C89*43560)</f>
        <v>1227977.142857143</v>
      </c>
      <c r="F89">
        <v>284</v>
      </c>
      <c r="G89" s="16">
        <f t="shared" si="13"/>
        <v>1030920.0000000001</v>
      </c>
      <c r="H89" s="30">
        <f t="shared" si="14"/>
        <v>83.952702702702709</v>
      </c>
      <c r="I89">
        <v>6.22</v>
      </c>
      <c r="J89">
        <v>3.5</v>
      </c>
      <c r="K89">
        <f t="shared" si="15"/>
        <v>2.7199999999999998</v>
      </c>
      <c r="L89" s="1">
        <v>31.54</v>
      </c>
      <c r="M89" s="30">
        <f t="shared" si="16"/>
        <v>6759.4665600000008</v>
      </c>
      <c r="N89" s="30">
        <f t="shared" si="17"/>
        <v>7.451036444903246</v>
      </c>
      <c r="O89" s="24" t="s">
        <v>46</v>
      </c>
      <c r="P89" t="s">
        <v>160</v>
      </c>
      <c r="Q89">
        <v>4.78</v>
      </c>
      <c r="R89">
        <v>5.56</v>
      </c>
      <c r="S89">
        <v>2.91</v>
      </c>
      <c r="T89">
        <v>3.55</v>
      </c>
      <c r="U89">
        <v>2.7</v>
      </c>
      <c r="V89">
        <v>3.65</v>
      </c>
      <c r="W89">
        <v>5.71</v>
      </c>
      <c r="X89">
        <v>4.33</v>
      </c>
      <c r="Y89">
        <v>3.26</v>
      </c>
      <c r="Z89">
        <v>1.94</v>
      </c>
    </row>
    <row r="90" spans="1:26" x14ac:dyDescent="0.3">
      <c r="A90" t="s">
        <v>47</v>
      </c>
      <c r="B90" s="17">
        <f>(102+94+84)/3</f>
        <v>93.333333333333329</v>
      </c>
      <c r="C90" s="17">
        <f t="shared" si="20"/>
        <v>53.333333333333329</v>
      </c>
      <c r="D90" s="31">
        <f t="shared" si="21"/>
        <v>2323200</v>
      </c>
      <c r="F90">
        <v>173</v>
      </c>
      <c r="G90" s="16">
        <f t="shared" si="13"/>
        <v>627990</v>
      </c>
      <c r="H90" s="30">
        <f t="shared" si="14"/>
        <v>27.03125</v>
      </c>
      <c r="I90">
        <v>6.12</v>
      </c>
      <c r="J90">
        <v>3.5</v>
      </c>
      <c r="K90">
        <f t="shared" si="15"/>
        <v>2.62</v>
      </c>
      <c r="L90" s="1">
        <v>34.56</v>
      </c>
      <c r="M90" s="30">
        <f t="shared" si="16"/>
        <v>6223.736640000001</v>
      </c>
      <c r="N90" s="30">
        <f t="shared" si="17"/>
        <v>6.860495294486622</v>
      </c>
      <c r="O90" s="24" t="s">
        <v>47</v>
      </c>
      <c r="P90" t="s">
        <v>156</v>
      </c>
      <c r="Q90">
        <v>5.27</v>
      </c>
      <c r="R90">
        <v>6.31</v>
      </c>
      <c r="S90">
        <v>4.54</v>
      </c>
      <c r="T90">
        <v>5.56</v>
      </c>
      <c r="U90">
        <v>5.93</v>
      </c>
      <c r="V90">
        <v>5.08</v>
      </c>
      <c r="W90">
        <v>5.48</v>
      </c>
      <c r="X90">
        <v>5.94</v>
      </c>
      <c r="Y90">
        <v>5.13</v>
      </c>
      <c r="Z90">
        <v>5.66</v>
      </c>
    </row>
    <row r="91" spans="1:26" x14ac:dyDescent="0.3">
      <c r="A91" t="s">
        <v>136</v>
      </c>
      <c r="B91" s="17">
        <f>(39+6+16)/3</f>
        <v>20.333333333333332</v>
      </c>
      <c r="C91" s="17">
        <f t="shared" si="20"/>
        <v>11.619047619047619</v>
      </c>
      <c r="D91" s="31">
        <f t="shared" si="21"/>
        <v>506125.71428571426</v>
      </c>
      <c r="F91">
        <v>209</v>
      </c>
      <c r="G91" s="16">
        <f t="shared" si="13"/>
        <v>758670.00000000012</v>
      </c>
      <c r="H91" s="30">
        <f t="shared" si="14"/>
        <v>149.8975409836066</v>
      </c>
      <c r="I91">
        <v>6.56</v>
      </c>
      <c r="J91">
        <v>3.5</v>
      </c>
      <c r="K91">
        <f t="shared" si="15"/>
        <v>3.0599999999999996</v>
      </c>
      <c r="L91" s="1">
        <v>37.840000000000003</v>
      </c>
      <c r="M91" s="30">
        <f t="shared" si="16"/>
        <v>6904.608479999999</v>
      </c>
      <c r="N91" s="30">
        <f t="shared" si="17"/>
        <v>7.6110280250085278</v>
      </c>
      <c r="O91" s="29" t="s">
        <v>136</v>
      </c>
      <c r="P91" t="s">
        <v>156</v>
      </c>
      <c r="Q91">
        <v>2.85</v>
      </c>
      <c r="R91">
        <v>3.02</v>
      </c>
      <c r="S91">
        <v>5.87</v>
      </c>
      <c r="T91">
        <v>5.32</v>
      </c>
      <c r="U91">
        <v>4.6100000000000003</v>
      </c>
      <c r="V91">
        <v>3.99</v>
      </c>
      <c r="W91">
        <v>7.18</v>
      </c>
      <c r="X91">
        <v>3.91</v>
      </c>
      <c r="Y91">
        <v>5.0999999999999996</v>
      </c>
      <c r="Z91">
        <v>4.8099999999999996</v>
      </c>
    </row>
    <row r="92" spans="1:26" x14ac:dyDescent="0.3">
      <c r="A92" t="s">
        <v>48</v>
      </c>
      <c r="B92" s="17">
        <f>(98+87+90)/3</f>
        <v>91.666666666666671</v>
      </c>
      <c r="C92" s="17">
        <f t="shared" si="20"/>
        <v>52.380952380952387</v>
      </c>
      <c r="D92" s="31">
        <f t="shared" si="21"/>
        <v>2281714.2857142859</v>
      </c>
      <c r="F92">
        <v>492</v>
      </c>
      <c r="G92" s="16">
        <f t="shared" si="13"/>
        <v>1785960.0000000002</v>
      </c>
      <c r="H92" s="30">
        <f t="shared" si="14"/>
        <v>78.272727272727266</v>
      </c>
      <c r="I92">
        <v>7.44</v>
      </c>
      <c r="J92">
        <v>3.5</v>
      </c>
      <c r="K92">
        <f t="shared" si="15"/>
        <v>3.9400000000000004</v>
      </c>
      <c r="L92" s="1">
        <v>36.450000000000003</v>
      </c>
      <c r="M92" s="30">
        <f t="shared" si="16"/>
        <v>9089.0481000000018</v>
      </c>
      <c r="N92" s="30">
        <f t="shared" si="17"/>
        <v>10.01896052616593</v>
      </c>
      <c r="O92" s="29" t="s">
        <v>48</v>
      </c>
      <c r="P92" t="s">
        <v>157</v>
      </c>
      <c r="Q92">
        <v>6.27</v>
      </c>
      <c r="R92">
        <v>3.28</v>
      </c>
      <c r="S92">
        <v>5.71</v>
      </c>
      <c r="T92">
        <v>8.2100000000000009</v>
      </c>
      <c r="U92">
        <v>5.8</v>
      </c>
      <c r="V92">
        <v>4.2699999999999996</v>
      </c>
      <c r="W92">
        <v>3.68</v>
      </c>
      <c r="X92">
        <v>2.57</v>
      </c>
      <c r="Y92">
        <v>1.7</v>
      </c>
      <c r="Z92">
        <v>4.2300000000000004</v>
      </c>
    </row>
    <row r="93" spans="1:26" x14ac:dyDescent="0.3">
      <c r="A93" t="s">
        <v>49</v>
      </c>
      <c r="B93" s="17">
        <f>(46+31+48)/3</f>
        <v>41.666666666666664</v>
      </c>
      <c r="C93" s="17">
        <f t="shared" si="20"/>
        <v>23.809523809523807</v>
      </c>
      <c r="D93" s="31">
        <f t="shared" si="21"/>
        <v>1037142.857142857</v>
      </c>
      <c r="F93">
        <v>252</v>
      </c>
      <c r="G93" s="16">
        <f t="shared" si="13"/>
        <v>914760.00000000012</v>
      </c>
      <c r="H93" s="30">
        <f t="shared" si="14"/>
        <v>88.200000000000017</v>
      </c>
      <c r="I93">
        <v>6.3</v>
      </c>
      <c r="J93">
        <v>3.5</v>
      </c>
      <c r="K93">
        <f t="shared" si="15"/>
        <v>2.8</v>
      </c>
      <c r="L93" s="1">
        <v>30.98</v>
      </c>
      <c r="M93" s="30">
        <f t="shared" si="16"/>
        <v>7015.1927999999989</v>
      </c>
      <c r="N93" s="30">
        <f t="shared" si="17"/>
        <v>7.7329263717554113</v>
      </c>
      <c r="O93" s="29" t="s">
        <v>49</v>
      </c>
      <c r="P93" t="s">
        <v>155</v>
      </c>
      <c r="Q93">
        <v>4.57</v>
      </c>
      <c r="R93">
        <v>4.91</v>
      </c>
      <c r="S93">
        <v>4.5199999999999996</v>
      </c>
      <c r="T93">
        <v>3.24</v>
      </c>
      <c r="U93">
        <v>5.14</v>
      </c>
      <c r="V93">
        <v>3.16</v>
      </c>
      <c r="W93">
        <v>3.75</v>
      </c>
      <c r="X93">
        <v>5.86</v>
      </c>
      <c r="Y93">
        <v>3.89</v>
      </c>
      <c r="Z93">
        <v>4.12</v>
      </c>
    </row>
    <row r="94" spans="1:26" x14ac:dyDescent="0.3">
      <c r="A94" t="s">
        <v>50</v>
      </c>
      <c r="B94" s="17">
        <f>(63+20+61)/3</f>
        <v>48</v>
      </c>
      <c r="C94" s="17">
        <f t="shared" si="20"/>
        <v>27.428571428571427</v>
      </c>
      <c r="D94" s="31">
        <f t="shared" si="21"/>
        <v>1194788.5714285714</v>
      </c>
      <c r="F94">
        <v>297</v>
      </c>
      <c r="G94" s="16">
        <f t="shared" si="13"/>
        <v>1078110</v>
      </c>
      <c r="H94" s="30">
        <f t="shared" si="14"/>
        <v>90.234375</v>
      </c>
      <c r="I94">
        <v>6.66</v>
      </c>
      <c r="J94">
        <v>3.5</v>
      </c>
      <c r="K94">
        <f t="shared" si="15"/>
        <v>3.16</v>
      </c>
      <c r="L94" s="1">
        <v>31.17</v>
      </c>
      <c r="M94" s="30">
        <f t="shared" si="16"/>
        <v>7895.3516400000017</v>
      </c>
      <c r="N94" s="30">
        <f t="shared" si="17"/>
        <v>8.7031354164975134</v>
      </c>
      <c r="O94" s="29" t="s">
        <v>50</v>
      </c>
      <c r="P94" t="s">
        <v>159</v>
      </c>
      <c r="Q94">
        <v>3.1</v>
      </c>
      <c r="R94">
        <v>4.4000000000000004</v>
      </c>
      <c r="S94">
        <v>2.14</v>
      </c>
      <c r="T94">
        <v>2.96</v>
      </c>
      <c r="U94">
        <v>3.27</v>
      </c>
      <c r="V94">
        <v>1.06</v>
      </c>
      <c r="W94">
        <v>3.27</v>
      </c>
      <c r="X94">
        <v>3.09</v>
      </c>
      <c r="Y94">
        <v>2.85</v>
      </c>
      <c r="Z94">
        <v>4.1500000000000004</v>
      </c>
    </row>
    <row r="95" spans="1:26" x14ac:dyDescent="0.3">
      <c r="A95" t="s">
        <v>51</v>
      </c>
      <c r="B95" s="17">
        <f>(64+61+70)/3</f>
        <v>65</v>
      </c>
      <c r="C95" s="17">
        <f t="shared" si="20"/>
        <v>37.142857142857146</v>
      </c>
      <c r="D95" s="31">
        <f t="shared" si="21"/>
        <v>1617942.8571428573</v>
      </c>
      <c r="F95">
        <v>354</v>
      </c>
      <c r="G95" s="16">
        <f t="shared" si="13"/>
        <v>1285020</v>
      </c>
      <c r="H95" s="30">
        <f t="shared" si="14"/>
        <v>79.42307692307692</v>
      </c>
      <c r="I95">
        <v>6.33</v>
      </c>
      <c r="J95">
        <v>3.5</v>
      </c>
      <c r="K95">
        <f t="shared" si="15"/>
        <v>2.83</v>
      </c>
      <c r="L95" s="1">
        <v>31.62</v>
      </c>
      <c r="M95" s="30">
        <f t="shared" si="16"/>
        <v>7024.6090200000008</v>
      </c>
      <c r="N95" s="30">
        <f t="shared" si="17"/>
        <v>7.7433059775675659</v>
      </c>
      <c r="O95" s="29" t="s">
        <v>51</v>
      </c>
      <c r="P95" t="s">
        <v>160</v>
      </c>
      <c r="Q95">
        <v>3.76</v>
      </c>
      <c r="R95">
        <v>4.46</v>
      </c>
      <c r="S95">
        <v>3.63</v>
      </c>
      <c r="T95">
        <v>3.26</v>
      </c>
      <c r="U95">
        <v>5.57</v>
      </c>
      <c r="V95">
        <v>3.17</v>
      </c>
      <c r="W95">
        <v>2</v>
      </c>
      <c r="X95">
        <v>3.81</v>
      </c>
      <c r="Y95">
        <v>4.6399999999999997</v>
      </c>
      <c r="Z95">
        <v>2.82</v>
      </c>
    </row>
    <row r="96" spans="1:26" x14ac:dyDescent="0.3">
      <c r="A96" t="s">
        <v>52</v>
      </c>
      <c r="B96" s="17">
        <f>(132+94+110)/3</f>
        <v>112</v>
      </c>
      <c r="C96" s="17">
        <f t="shared" si="20"/>
        <v>64</v>
      </c>
      <c r="D96" s="31">
        <f t="shared" si="21"/>
        <v>2787840</v>
      </c>
      <c r="F96">
        <v>454</v>
      </c>
      <c r="G96" s="16">
        <f t="shared" si="13"/>
        <v>1648020.0000000002</v>
      </c>
      <c r="H96" s="30">
        <f t="shared" si="14"/>
        <v>59.114583333333336</v>
      </c>
      <c r="I96">
        <v>6.34</v>
      </c>
      <c r="J96">
        <v>3.5</v>
      </c>
      <c r="K96">
        <f t="shared" si="15"/>
        <v>2.84</v>
      </c>
      <c r="L96" s="1">
        <v>32.619999999999997</v>
      </c>
      <c r="M96" s="30">
        <f t="shared" si="16"/>
        <v>6946.33896</v>
      </c>
      <c r="N96" s="30">
        <f t="shared" si="17"/>
        <v>7.6570280051228341</v>
      </c>
      <c r="O96" s="29" t="s">
        <v>52</v>
      </c>
      <c r="P96" t="s">
        <v>161</v>
      </c>
      <c r="Q96">
        <v>2.41</v>
      </c>
      <c r="R96">
        <v>3.07</v>
      </c>
      <c r="S96">
        <v>3.56</v>
      </c>
      <c r="T96">
        <v>2.61</v>
      </c>
      <c r="U96">
        <v>2.29</v>
      </c>
      <c r="V96">
        <v>2.15</v>
      </c>
      <c r="W96">
        <v>2.97</v>
      </c>
      <c r="X96">
        <v>2.57</v>
      </c>
      <c r="Y96">
        <v>5.22</v>
      </c>
      <c r="Z96">
        <v>2.4900000000000002</v>
      </c>
    </row>
    <row r="97" spans="1:26" x14ac:dyDescent="0.3">
      <c r="A97" t="s">
        <v>53</v>
      </c>
      <c r="B97" s="17">
        <f>(37+42+53)/3</f>
        <v>44</v>
      </c>
      <c r="C97" s="17">
        <f t="shared" si="20"/>
        <v>25.142857142857142</v>
      </c>
      <c r="D97" s="31">
        <f t="shared" si="21"/>
        <v>1095222.857142857</v>
      </c>
      <c r="F97">
        <v>200</v>
      </c>
      <c r="G97" s="16">
        <f t="shared" si="13"/>
        <v>726000.00000000012</v>
      </c>
      <c r="H97" s="30">
        <f t="shared" si="14"/>
        <v>66.28787878787881</v>
      </c>
      <c r="I97">
        <v>6.38</v>
      </c>
      <c r="J97">
        <v>3.5</v>
      </c>
      <c r="K97">
        <f t="shared" si="15"/>
        <v>2.88</v>
      </c>
      <c r="L97" s="1">
        <v>34.33</v>
      </c>
      <c r="M97" s="30">
        <f t="shared" si="16"/>
        <v>6865.4044800000011</v>
      </c>
      <c r="N97" s="30">
        <f t="shared" si="17"/>
        <v>7.5678130123750504</v>
      </c>
      <c r="O97" s="29" t="s">
        <v>53</v>
      </c>
      <c r="P97" t="s">
        <v>154</v>
      </c>
      <c r="Q97">
        <v>3.94</v>
      </c>
      <c r="R97">
        <v>3.37</v>
      </c>
      <c r="S97">
        <v>3.47</v>
      </c>
      <c r="T97">
        <v>4.5999999999999996</v>
      </c>
      <c r="U97">
        <v>3.1</v>
      </c>
      <c r="V97">
        <v>4.1500000000000004</v>
      </c>
      <c r="W97">
        <v>6.22</v>
      </c>
      <c r="X97">
        <v>3.62</v>
      </c>
      <c r="Y97">
        <v>3.77</v>
      </c>
      <c r="Z97">
        <v>2.77</v>
      </c>
    </row>
    <row r="98" spans="1:26" x14ac:dyDescent="0.3">
      <c r="A98" t="s">
        <v>54</v>
      </c>
      <c r="B98" s="17">
        <f>(50+53+37)/3</f>
        <v>46.666666666666664</v>
      </c>
      <c r="C98" s="17">
        <f t="shared" si="20"/>
        <v>26.666666666666664</v>
      </c>
      <c r="D98" s="31">
        <f t="shared" si="21"/>
        <v>1161600</v>
      </c>
      <c r="F98">
        <v>203</v>
      </c>
      <c r="G98" s="16">
        <f t="shared" si="13"/>
        <v>736890.00000000012</v>
      </c>
      <c r="H98" s="30">
        <f t="shared" si="14"/>
        <v>63.437500000000014</v>
      </c>
      <c r="I98">
        <v>6.36</v>
      </c>
      <c r="J98">
        <v>3.5</v>
      </c>
      <c r="K98">
        <f t="shared" si="15"/>
        <v>2.8600000000000003</v>
      </c>
      <c r="L98" s="1">
        <v>29.37</v>
      </c>
      <c r="M98" s="30">
        <f t="shared" si="16"/>
        <v>7332.6653400000005</v>
      </c>
      <c r="N98" s="30">
        <f t="shared" si="17"/>
        <v>8.0828799435053131</v>
      </c>
      <c r="O98" s="29" t="s">
        <v>54</v>
      </c>
      <c r="P98" t="s">
        <v>158</v>
      </c>
      <c r="Q98">
        <v>3.87</v>
      </c>
      <c r="R98">
        <v>3.6</v>
      </c>
      <c r="S98">
        <v>3.01</v>
      </c>
      <c r="T98">
        <v>3.58</v>
      </c>
      <c r="U98">
        <v>3.86</v>
      </c>
      <c r="V98">
        <v>6.5</v>
      </c>
      <c r="W98">
        <v>5.24</v>
      </c>
      <c r="X98">
        <v>4.76</v>
      </c>
      <c r="Y98">
        <v>5.01</v>
      </c>
      <c r="Z98">
        <v>4.21</v>
      </c>
    </row>
    <row r="99" spans="1:26" x14ac:dyDescent="0.3">
      <c r="A99" t="s">
        <v>55</v>
      </c>
      <c r="B99" s="17">
        <f>(50+58+51)/3</f>
        <v>53</v>
      </c>
      <c r="C99" s="17">
        <f t="shared" si="20"/>
        <v>30.285714285714285</v>
      </c>
      <c r="D99" s="31">
        <f t="shared" si="21"/>
        <v>1319245.7142857143</v>
      </c>
      <c r="F99">
        <v>267</v>
      </c>
      <c r="G99" s="16">
        <f t="shared" si="13"/>
        <v>969210.00000000012</v>
      </c>
      <c r="H99" s="30">
        <f t="shared" si="14"/>
        <v>73.466981132075489</v>
      </c>
      <c r="I99">
        <v>6.14</v>
      </c>
      <c r="J99">
        <v>3.5</v>
      </c>
      <c r="K99">
        <f t="shared" si="15"/>
        <v>2.6399999999999997</v>
      </c>
      <c r="L99" s="1">
        <v>37.299999999999997</v>
      </c>
      <c r="M99" s="30">
        <f t="shared" si="16"/>
        <v>6008.6664000000001</v>
      </c>
      <c r="N99" s="30">
        <f t="shared" si="17"/>
        <v>6.6234209362913958</v>
      </c>
      <c r="O99" s="23" t="s">
        <v>55</v>
      </c>
      <c r="P99" t="s">
        <v>157</v>
      </c>
      <c r="Q99">
        <v>4.68</v>
      </c>
      <c r="R99">
        <v>5.14</v>
      </c>
      <c r="S99">
        <v>4.32</v>
      </c>
      <c r="T99">
        <v>3.65</v>
      </c>
      <c r="U99">
        <v>6.08</v>
      </c>
      <c r="V99">
        <v>6.21</v>
      </c>
      <c r="W99">
        <v>7.78</v>
      </c>
      <c r="X99">
        <v>2.54</v>
      </c>
      <c r="Y99">
        <v>4.3499999999999996</v>
      </c>
      <c r="Z99">
        <v>4.5199999999999996</v>
      </c>
    </row>
    <row r="100" spans="1:26" x14ac:dyDescent="0.3">
      <c r="A100" t="s">
        <v>56</v>
      </c>
      <c r="B100" s="17">
        <f>(75+66+41)/3</f>
        <v>60.666666666666664</v>
      </c>
      <c r="C100" s="17">
        <f t="shared" si="20"/>
        <v>34.666666666666664</v>
      </c>
      <c r="D100" s="31">
        <f t="shared" si="21"/>
        <v>1510080</v>
      </c>
      <c r="F100">
        <v>340</v>
      </c>
      <c r="G100" s="16">
        <f t="shared" si="13"/>
        <v>1234200</v>
      </c>
      <c r="H100" s="30">
        <f t="shared" si="14"/>
        <v>81.730769230769226</v>
      </c>
      <c r="I100">
        <v>6.56</v>
      </c>
      <c r="J100">
        <v>3.5</v>
      </c>
      <c r="K100">
        <f t="shared" si="15"/>
        <v>3.0599999999999996</v>
      </c>
      <c r="L100" s="1">
        <v>35.75</v>
      </c>
      <c r="M100" s="30">
        <f t="shared" si="16"/>
        <v>7136.7614999999996</v>
      </c>
      <c r="N100" s="30">
        <f t="shared" si="17"/>
        <v>7.8669329248197872</v>
      </c>
      <c r="O100" s="23" t="s">
        <v>56</v>
      </c>
      <c r="P100" t="s">
        <v>160</v>
      </c>
      <c r="Q100">
        <v>3.69</v>
      </c>
      <c r="R100">
        <v>5.05</v>
      </c>
      <c r="S100">
        <v>5.82</v>
      </c>
      <c r="T100">
        <v>4.1900000000000004</v>
      </c>
      <c r="U100">
        <v>3.92</v>
      </c>
      <c r="V100">
        <v>2.57</v>
      </c>
      <c r="W100">
        <v>2.73</v>
      </c>
      <c r="X100">
        <v>2.92</v>
      </c>
      <c r="Y100">
        <v>2.73</v>
      </c>
    </row>
    <row r="101" spans="1:26" x14ac:dyDescent="0.3">
      <c r="A101" t="s">
        <v>57</v>
      </c>
      <c r="B101" s="17">
        <f>(35+36+29)/3</f>
        <v>33.333333333333336</v>
      </c>
      <c r="C101" s="17">
        <f t="shared" si="20"/>
        <v>19.047619047619047</v>
      </c>
      <c r="D101" s="31">
        <f t="shared" si="21"/>
        <v>829714.28571428568</v>
      </c>
      <c r="F101">
        <v>170</v>
      </c>
      <c r="G101" s="16">
        <f t="shared" si="13"/>
        <v>617100</v>
      </c>
      <c r="H101" s="30">
        <f t="shared" si="14"/>
        <v>74.375</v>
      </c>
      <c r="I101">
        <v>6.48</v>
      </c>
      <c r="J101">
        <v>3.5</v>
      </c>
      <c r="K101">
        <f t="shared" si="15"/>
        <v>2.9800000000000004</v>
      </c>
      <c r="L101" s="1">
        <v>31.01</v>
      </c>
      <c r="M101" s="30">
        <f t="shared" si="16"/>
        <v>7462.9242600000007</v>
      </c>
      <c r="N101" s="30">
        <f t="shared" si="17"/>
        <v>8.2264658243701092</v>
      </c>
      <c r="O101" s="23" t="s">
        <v>57</v>
      </c>
      <c r="P101" t="s">
        <v>158</v>
      </c>
      <c r="Q101">
        <v>4.8</v>
      </c>
      <c r="R101">
        <v>3.45</v>
      </c>
      <c r="S101">
        <v>5.39</v>
      </c>
      <c r="T101">
        <v>3.88</v>
      </c>
      <c r="U101">
        <v>2.31</v>
      </c>
      <c r="V101">
        <v>2.08</v>
      </c>
      <c r="W101">
        <v>3.33</v>
      </c>
      <c r="X101">
        <v>7.04</v>
      </c>
      <c r="Y101">
        <v>4.91</v>
      </c>
    </row>
    <row r="102" spans="1:26" x14ac:dyDescent="0.3">
      <c r="A102" t="s">
        <v>58</v>
      </c>
      <c r="B102" s="17">
        <f>(71+48+49)/3</f>
        <v>56</v>
      </c>
      <c r="C102" s="17">
        <f t="shared" si="20"/>
        <v>32</v>
      </c>
      <c r="D102" s="31">
        <f t="shared" si="21"/>
        <v>1393920</v>
      </c>
      <c r="F102">
        <v>357</v>
      </c>
      <c r="G102" s="16">
        <f t="shared" si="13"/>
        <v>1295910.0000000002</v>
      </c>
      <c r="H102" s="30">
        <f t="shared" si="14"/>
        <v>92.968750000000028</v>
      </c>
      <c r="I102">
        <v>6.2</v>
      </c>
      <c r="J102">
        <v>3.5</v>
      </c>
      <c r="K102">
        <f t="shared" si="15"/>
        <v>2.7</v>
      </c>
      <c r="L102" s="1">
        <v>35.29</v>
      </c>
      <c r="M102" s="30">
        <f t="shared" si="16"/>
        <v>6342.2271000000019</v>
      </c>
      <c r="N102" s="30">
        <f t="shared" si="17"/>
        <v>6.9911086687812585</v>
      </c>
      <c r="O102" s="23" t="s">
        <v>58</v>
      </c>
      <c r="P102" t="s">
        <v>155</v>
      </c>
      <c r="Q102">
        <v>9.5399999999999991</v>
      </c>
      <c r="R102">
        <v>2.82</v>
      </c>
      <c r="S102">
        <v>3.24</v>
      </c>
      <c r="T102">
        <v>1.01</v>
      </c>
      <c r="U102">
        <v>3.35</v>
      </c>
      <c r="V102">
        <v>2.68</v>
      </c>
      <c r="W102">
        <v>6.41</v>
      </c>
      <c r="X102">
        <v>2.85</v>
      </c>
      <c r="Y102">
        <v>7.81</v>
      </c>
      <c r="Z102">
        <v>4.66</v>
      </c>
    </row>
    <row r="103" spans="1:26" x14ac:dyDescent="0.3">
      <c r="A103" t="s">
        <v>59</v>
      </c>
      <c r="B103" s="17">
        <f>(42+30+30)/3</f>
        <v>34</v>
      </c>
      <c r="C103" s="17">
        <f t="shared" si="20"/>
        <v>19.428571428571427</v>
      </c>
      <c r="D103" s="31">
        <f t="shared" si="21"/>
        <v>846308.57142857136</v>
      </c>
      <c r="F103">
        <v>195</v>
      </c>
      <c r="G103" s="16">
        <f t="shared" si="13"/>
        <v>707850.00000000012</v>
      </c>
      <c r="H103" s="30">
        <f t="shared" si="14"/>
        <v>83.63970588235297</v>
      </c>
      <c r="I103">
        <v>7.32</v>
      </c>
      <c r="J103">
        <v>3.5</v>
      </c>
      <c r="K103">
        <f t="shared" si="15"/>
        <v>3.8200000000000003</v>
      </c>
      <c r="L103" s="1">
        <v>30.59</v>
      </c>
      <c r="M103" s="30">
        <f t="shared" si="16"/>
        <v>9624.8070600000028</v>
      </c>
      <c r="N103" s="30">
        <f t="shared" si="17"/>
        <v>10.609533687703024</v>
      </c>
      <c r="O103" s="23" t="s">
        <v>59</v>
      </c>
      <c r="P103" t="s">
        <v>159</v>
      </c>
      <c r="Q103">
        <v>5.65</v>
      </c>
      <c r="R103">
        <v>5.91</v>
      </c>
      <c r="S103">
        <v>9.84</v>
      </c>
      <c r="T103">
        <v>6.08</v>
      </c>
      <c r="U103">
        <v>7.42</v>
      </c>
      <c r="V103">
        <v>3.35</v>
      </c>
      <c r="W103">
        <v>4.2300000000000004</v>
      </c>
      <c r="X103">
        <v>8.07</v>
      </c>
      <c r="Y103">
        <v>8.2899999999999991</v>
      </c>
      <c r="Z103">
        <v>7.31</v>
      </c>
    </row>
    <row r="104" spans="1:26" x14ac:dyDescent="0.3">
      <c r="A104" t="s">
        <v>60</v>
      </c>
      <c r="B104" s="17">
        <f>(42+38+49)/3</f>
        <v>43</v>
      </c>
      <c r="C104" s="17">
        <f t="shared" si="20"/>
        <v>24.571428571428573</v>
      </c>
      <c r="D104" s="31">
        <f t="shared" si="21"/>
        <v>1070331.4285714286</v>
      </c>
      <c r="F104">
        <v>217</v>
      </c>
      <c r="G104" s="16">
        <f t="shared" si="13"/>
        <v>787710.00000000012</v>
      </c>
      <c r="H104" s="30">
        <f t="shared" si="14"/>
        <v>73.594961240310084</v>
      </c>
      <c r="I104">
        <v>7.56</v>
      </c>
      <c r="J104">
        <v>3.5</v>
      </c>
      <c r="K104">
        <f t="shared" si="15"/>
        <v>4.0599999999999996</v>
      </c>
      <c r="L104" s="1">
        <v>39.42</v>
      </c>
      <c r="M104" s="30">
        <f t="shared" si="16"/>
        <v>8928.1592400000009</v>
      </c>
      <c r="N104" s="30">
        <f t="shared" si="17"/>
        <v>9.8416109159861964</v>
      </c>
      <c r="O104" s="23" t="s">
        <v>60</v>
      </c>
      <c r="P104" t="s">
        <v>156</v>
      </c>
      <c r="Q104">
        <v>5.77</v>
      </c>
      <c r="R104">
        <v>2.83</v>
      </c>
      <c r="S104">
        <v>6.23</v>
      </c>
      <c r="T104">
        <v>7.7</v>
      </c>
      <c r="U104">
        <v>5.38</v>
      </c>
      <c r="V104">
        <v>5.37</v>
      </c>
      <c r="W104">
        <v>4.25</v>
      </c>
      <c r="X104">
        <v>4.09</v>
      </c>
      <c r="Y104">
        <v>6.31</v>
      </c>
      <c r="Z104">
        <v>5.03</v>
      </c>
    </row>
    <row r="105" spans="1:26" x14ac:dyDescent="0.3">
      <c r="A105" t="s">
        <v>61</v>
      </c>
      <c r="B105" s="17">
        <f>(94+72+86)/3</f>
        <v>84</v>
      </c>
      <c r="C105" s="17">
        <f t="shared" si="20"/>
        <v>48</v>
      </c>
      <c r="D105" s="31">
        <f t="shared" si="21"/>
        <v>2090880</v>
      </c>
      <c r="F105">
        <v>295</v>
      </c>
      <c r="G105" s="16">
        <f t="shared" si="13"/>
        <v>1070850</v>
      </c>
      <c r="H105" s="30">
        <f t="shared" si="14"/>
        <v>51.215277777777779</v>
      </c>
      <c r="I105">
        <v>6.92</v>
      </c>
      <c r="J105">
        <v>3.5</v>
      </c>
      <c r="K105">
        <f t="shared" si="15"/>
        <v>3.42</v>
      </c>
      <c r="L105" s="1">
        <v>31.38</v>
      </c>
      <c r="M105" s="30">
        <f t="shared" si="16"/>
        <v>8518.8985200000006</v>
      </c>
      <c r="N105" s="30">
        <f t="shared" si="17"/>
        <v>9.3904781952131327</v>
      </c>
      <c r="O105" s="23" t="s">
        <v>61</v>
      </c>
      <c r="P105" t="s">
        <v>161</v>
      </c>
      <c r="Q105">
        <v>3.42</v>
      </c>
      <c r="R105">
        <v>6.95</v>
      </c>
      <c r="S105">
        <v>4.4000000000000004</v>
      </c>
      <c r="T105">
        <v>5.63</v>
      </c>
      <c r="U105">
        <v>2.5</v>
      </c>
      <c r="V105">
        <v>3.56</v>
      </c>
      <c r="W105">
        <v>4.83</v>
      </c>
      <c r="X105">
        <v>2.98</v>
      </c>
      <c r="Y105">
        <v>4.21</v>
      </c>
      <c r="Z105">
        <v>4.3099999999999996</v>
      </c>
    </row>
    <row r="106" spans="1:26" x14ac:dyDescent="0.3">
      <c r="A106" t="s">
        <v>62</v>
      </c>
      <c r="B106" s="17">
        <f>(20+28+36)/3</f>
        <v>28</v>
      </c>
      <c r="C106" s="17">
        <f t="shared" si="20"/>
        <v>16</v>
      </c>
      <c r="D106" s="31">
        <f t="shared" si="21"/>
        <v>696960</v>
      </c>
      <c r="F106">
        <v>242</v>
      </c>
      <c r="G106" s="16">
        <f t="shared" si="13"/>
        <v>878460.00000000012</v>
      </c>
      <c r="H106" s="30">
        <f t="shared" si="14"/>
        <v>126.04166666666667</v>
      </c>
      <c r="I106">
        <v>7.6</v>
      </c>
      <c r="J106">
        <v>3.5</v>
      </c>
      <c r="K106">
        <f t="shared" si="15"/>
        <v>4.0999999999999996</v>
      </c>
      <c r="L106" s="1">
        <v>38.369999999999997</v>
      </c>
      <c r="M106" s="30">
        <f t="shared" si="16"/>
        <v>9172.3929000000007</v>
      </c>
      <c r="N106" s="30">
        <f t="shared" si="17"/>
        <v>10.11083244191266</v>
      </c>
      <c r="O106" s="23" t="s">
        <v>62</v>
      </c>
      <c r="P106" t="s">
        <v>154</v>
      </c>
      <c r="Q106">
        <v>4.38</v>
      </c>
      <c r="R106">
        <v>5.65</v>
      </c>
      <c r="S106">
        <v>4.5</v>
      </c>
      <c r="T106">
        <v>7.36</v>
      </c>
      <c r="U106">
        <v>5.7</v>
      </c>
      <c r="V106">
        <v>3.53</v>
      </c>
      <c r="W106">
        <v>4.72</v>
      </c>
      <c r="X106">
        <v>6.35</v>
      </c>
      <c r="Y106">
        <v>6.74</v>
      </c>
      <c r="Z106">
        <v>6.93</v>
      </c>
    </row>
  </sheetData>
  <sortState xmlns:xlrd2="http://schemas.microsoft.com/office/spreadsheetml/2017/richdata2" ref="A3:D105">
    <sortCondition ref="A3:A105"/>
  </sortState>
  <mergeCells count="2">
    <mergeCell ref="Q1:Z1"/>
    <mergeCell ref="AA1:A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F4E5-E57A-426F-BFCD-30028FB762E6}">
  <dimension ref="C3:H107"/>
  <sheetViews>
    <sheetView tabSelected="1" workbookViewId="0">
      <selection activeCell="I6" sqref="I6"/>
    </sheetView>
  </sheetViews>
  <sheetFormatPr defaultRowHeight="14.4" x14ac:dyDescent="0.3"/>
  <cols>
    <col min="3" max="3" width="6.6640625" bestFit="1" customWidth="1"/>
    <col min="4" max="4" width="10.88671875" bestFit="1" customWidth="1"/>
    <col min="5" max="5" width="12.5546875" style="35" bestFit="1" customWidth="1"/>
  </cols>
  <sheetData>
    <row r="3" spans="3:8" x14ac:dyDescent="0.3">
      <c r="C3" t="s">
        <v>138</v>
      </c>
      <c r="D3" t="s">
        <v>147</v>
      </c>
      <c r="E3" s="35" t="s">
        <v>191</v>
      </c>
    </row>
    <row r="4" spans="3:8" x14ac:dyDescent="0.3">
      <c r="C4" t="s">
        <v>12</v>
      </c>
      <c r="D4" t="s">
        <v>176</v>
      </c>
      <c r="E4" s="35">
        <v>2.19756342021364</v>
      </c>
    </row>
    <row r="5" spans="3:8" x14ac:dyDescent="0.3">
      <c r="C5" t="s">
        <v>92</v>
      </c>
      <c r="D5" t="s">
        <v>176</v>
      </c>
      <c r="E5" s="35">
        <v>1.5864711304557604</v>
      </c>
    </row>
    <row r="6" spans="3:8" x14ac:dyDescent="0.3">
      <c r="C6" t="s">
        <v>106</v>
      </c>
      <c r="D6" t="s">
        <v>176</v>
      </c>
      <c r="E6" s="35">
        <v>2.7449535802377225</v>
      </c>
      <c r="H6" t="s">
        <v>176</v>
      </c>
    </row>
    <row r="7" spans="3:8" x14ac:dyDescent="0.3">
      <c r="C7" t="s">
        <v>135</v>
      </c>
      <c r="D7" t="s">
        <v>176</v>
      </c>
      <c r="E7" s="35">
        <v>3.7289754234623014</v>
      </c>
      <c r="H7" s="35">
        <v>2.19756342021364</v>
      </c>
    </row>
    <row r="8" spans="3:8" x14ac:dyDescent="0.3">
      <c r="C8" t="s">
        <v>80</v>
      </c>
      <c r="D8" t="s">
        <v>152</v>
      </c>
      <c r="E8" s="35">
        <v>7.3454637695956775</v>
      </c>
      <c r="H8" s="35">
        <v>1.5864711304557604</v>
      </c>
    </row>
    <row r="9" spans="3:8" x14ac:dyDescent="0.3">
      <c r="C9" t="s">
        <v>89</v>
      </c>
      <c r="D9" t="s">
        <v>152</v>
      </c>
      <c r="E9" s="35">
        <v>7.2627710426435019</v>
      </c>
      <c r="H9" s="35">
        <v>2.7449535802377225</v>
      </c>
    </row>
    <row r="10" spans="3:8" x14ac:dyDescent="0.3">
      <c r="C10" t="s">
        <v>109</v>
      </c>
      <c r="D10" t="s">
        <v>152</v>
      </c>
      <c r="E10" s="35">
        <v>7.9954975874043903</v>
      </c>
      <c r="H10" s="35">
        <v>3.7289754234623014</v>
      </c>
    </row>
    <row r="11" spans="3:8" x14ac:dyDescent="0.3">
      <c r="C11" t="s">
        <v>125</v>
      </c>
      <c r="D11" t="s">
        <v>152</v>
      </c>
      <c r="E11" s="35">
        <v>5.8540016446926337</v>
      </c>
    </row>
    <row r="12" spans="3:8" x14ac:dyDescent="0.3">
      <c r="C12" t="s">
        <v>77</v>
      </c>
      <c r="D12" t="s">
        <v>5</v>
      </c>
      <c r="E12" s="35">
        <v>10.437978090328222</v>
      </c>
    </row>
    <row r="13" spans="3:8" x14ac:dyDescent="0.3">
      <c r="C13" t="s">
        <v>86</v>
      </c>
      <c r="D13" t="s">
        <v>5</v>
      </c>
      <c r="E13" s="35">
        <v>10.220990710227449</v>
      </c>
    </row>
    <row r="14" spans="3:8" x14ac:dyDescent="0.3">
      <c r="C14" t="s">
        <v>114</v>
      </c>
      <c r="D14" t="s">
        <v>5</v>
      </c>
      <c r="E14" s="35">
        <v>7.3844853254476854</v>
      </c>
    </row>
    <row r="15" spans="3:8" x14ac:dyDescent="0.3">
      <c r="C15" t="s">
        <v>127</v>
      </c>
      <c r="D15" t="s">
        <v>5</v>
      </c>
      <c r="E15" s="35">
        <v>9.5596089502123878</v>
      </c>
    </row>
    <row r="16" spans="3:8" x14ac:dyDescent="0.3">
      <c r="C16" t="s">
        <v>14</v>
      </c>
      <c r="D16" t="s">
        <v>71</v>
      </c>
      <c r="E16" s="35">
        <v>2.8010770772004245</v>
      </c>
    </row>
    <row r="17" spans="3:5" x14ac:dyDescent="0.3">
      <c r="C17" t="s">
        <v>95</v>
      </c>
      <c r="D17" t="s">
        <v>71</v>
      </c>
      <c r="E17" s="35">
        <v>2.3969927007370355</v>
      </c>
    </row>
    <row r="18" spans="3:5" x14ac:dyDescent="0.3">
      <c r="C18" t="s">
        <v>102</v>
      </c>
      <c r="D18" t="s">
        <v>71</v>
      </c>
      <c r="E18" s="35">
        <v>2.1445530047165722</v>
      </c>
    </row>
    <row r="19" spans="3:5" x14ac:dyDescent="0.3">
      <c r="C19" t="s">
        <v>131</v>
      </c>
      <c r="D19" t="s">
        <v>71</v>
      </c>
      <c r="E19" s="35">
        <v>4.0216691034728402</v>
      </c>
    </row>
    <row r="20" spans="3:5" x14ac:dyDescent="0.3">
      <c r="C20" t="s">
        <v>11</v>
      </c>
      <c r="D20" t="s">
        <v>175</v>
      </c>
      <c r="E20" s="35">
        <v>1.6314787658355185</v>
      </c>
    </row>
    <row r="21" spans="3:5" x14ac:dyDescent="0.3">
      <c r="C21" t="s">
        <v>94</v>
      </c>
      <c r="D21" t="s">
        <v>175</v>
      </c>
      <c r="E21" s="35">
        <v>3.3566860924049875</v>
      </c>
    </row>
    <row r="22" spans="3:5" x14ac:dyDescent="0.3">
      <c r="C22" t="s">
        <v>105</v>
      </c>
      <c r="D22" t="s">
        <v>175</v>
      </c>
      <c r="E22" s="35">
        <v>3.1775998789397968</v>
      </c>
    </row>
    <row r="23" spans="3:5" x14ac:dyDescent="0.3">
      <c r="C23" t="s">
        <v>129</v>
      </c>
      <c r="D23" t="s">
        <v>175</v>
      </c>
      <c r="E23" s="35">
        <v>4.7009290742699745</v>
      </c>
    </row>
    <row r="24" spans="3:5" x14ac:dyDescent="0.3">
      <c r="C24" t="s">
        <v>78</v>
      </c>
      <c r="D24" t="s">
        <v>6</v>
      </c>
      <c r="E24" s="35">
        <v>8.7280560737828186</v>
      </c>
    </row>
    <row r="25" spans="3:5" x14ac:dyDescent="0.3">
      <c r="C25" t="s">
        <v>99</v>
      </c>
      <c r="D25" t="s">
        <v>6</v>
      </c>
      <c r="E25" s="35">
        <v>10.905804610425999</v>
      </c>
    </row>
    <row r="26" spans="3:5" x14ac:dyDescent="0.3">
      <c r="C26" t="s">
        <v>137</v>
      </c>
      <c r="D26" t="s">
        <v>6</v>
      </c>
      <c r="E26" s="35">
        <v>8.6083584915681968</v>
      </c>
    </row>
    <row r="27" spans="3:5" x14ac:dyDescent="0.3">
      <c r="C27" t="s">
        <v>119</v>
      </c>
      <c r="D27" t="s">
        <v>6</v>
      </c>
      <c r="E27" s="35">
        <v>7.8422283425976493</v>
      </c>
    </row>
    <row r="28" spans="3:5" x14ac:dyDescent="0.3">
      <c r="C28" t="s">
        <v>81</v>
      </c>
      <c r="D28" t="s">
        <v>184</v>
      </c>
      <c r="E28" s="35">
        <v>6.9302235176487539</v>
      </c>
    </row>
    <row r="29" spans="3:5" x14ac:dyDescent="0.3">
      <c r="C29" t="s">
        <v>98</v>
      </c>
      <c r="D29" t="s">
        <v>184</v>
      </c>
      <c r="E29" s="35">
        <v>8.3344713448333376</v>
      </c>
    </row>
    <row r="30" spans="3:5" x14ac:dyDescent="0.3">
      <c r="C30" t="s">
        <v>112</v>
      </c>
      <c r="D30" t="s">
        <v>184</v>
      </c>
      <c r="E30" s="35">
        <v>5.4353442056356167</v>
      </c>
    </row>
    <row r="31" spans="3:5" x14ac:dyDescent="0.3">
      <c r="C31" t="s">
        <v>126</v>
      </c>
      <c r="D31" t="s">
        <v>184</v>
      </c>
      <c r="E31" s="35">
        <v>8.7658532042768798</v>
      </c>
    </row>
    <row r="32" spans="3:5" x14ac:dyDescent="0.3">
      <c r="C32" t="s">
        <v>36</v>
      </c>
      <c r="D32" t="s">
        <v>158</v>
      </c>
      <c r="E32" s="35">
        <v>6.7598523317313157</v>
      </c>
    </row>
    <row r="33" spans="3:5" x14ac:dyDescent="0.3">
      <c r="C33" t="s">
        <v>45</v>
      </c>
      <c r="D33" t="s">
        <v>158</v>
      </c>
      <c r="E33" s="35">
        <v>0</v>
      </c>
    </row>
    <row r="34" spans="3:5" x14ac:dyDescent="0.3">
      <c r="C34" t="s">
        <v>54</v>
      </c>
      <c r="D34" t="s">
        <v>158</v>
      </c>
      <c r="E34" s="35">
        <v>8.0828799435053131</v>
      </c>
    </row>
    <row r="35" spans="3:5" x14ac:dyDescent="0.3">
      <c r="C35" t="s">
        <v>57</v>
      </c>
      <c r="D35" t="s">
        <v>158</v>
      </c>
      <c r="E35" s="35">
        <v>8.2264658243701092</v>
      </c>
    </row>
    <row r="36" spans="3:5" x14ac:dyDescent="0.3">
      <c r="C36" t="s">
        <v>37</v>
      </c>
      <c r="D36" t="s">
        <v>159</v>
      </c>
      <c r="E36" s="35">
        <v>9.1571651436730441</v>
      </c>
    </row>
    <row r="37" spans="3:5" x14ac:dyDescent="0.3">
      <c r="C37" t="s">
        <v>43</v>
      </c>
      <c r="D37" t="s">
        <v>159</v>
      </c>
      <c r="E37" s="35">
        <v>10.049219037789483</v>
      </c>
    </row>
    <row r="38" spans="3:5" x14ac:dyDescent="0.3">
      <c r="C38" t="s">
        <v>50</v>
      </c>
      <c r="D38" t="s">
        <v>159</v>
      </c>
      <c r="E38" s="35">
        <v>8.7031354164975134</v>
      </c>
    </row>
    <row r="39" spans="3:5" x14ac:dyDescent="0.3">
      <c r="C39" t="s">
        <v>59</v>
      </c>
      <c r="D39" t="s">
        <v>159</v>
      </c>
      <c r="E39" s="35">
        <v>10.609533687703024</v>
      </c>
    </row>
    <row r="40" spans="3:5" x14ac:dyDescent="0.3">
      <c r="C40" t="s">
        <v>38</v>
      </c>
      <c r="D40" t="s">
        <v>160</v>
      </c>
      <c r="E40" s="35">
        <v>9.3964802803011178</v>
      </c>
    </row>
    <row r="41" spans="3:5" x14ac:dyDescent="0.3">
      <c r="C41" t="s">
        <v>46</v>
      </c>
      <c r="D41" t="s">
        <v>160</v>
      </c>
      <c r="E41" s="35">
        <v>7.451036444903246</v>
      </c>
    </row>
    <row r="42" spans="3:5" x14ac:dyDescent="0.3">
      <c r="C42" t="s">
        <v>51</v>
      </c>
      <c r="D42" t="s">
        <v>160</v>
      </c>
      <c r="E42" s="35">
        <v>7.7433059775675659</v>
      </c>
    </row>
    <row r="43" spans="3:5" x14ac:dyDescent="0.3">
      <c r="C43" t="s">
        <v>56</v>
      </c>
      <c r="D43" t="s">
        <v>160</v>
      </c>
      <c r="E43" s="35">
        <v>7.8669329248197872</v>
      </c>
    </row>
    <row r="44" spans="3:5" x14ac:dyDescent="0.3">
      <c r="C44" t="s">
        <v>39</v>
      </c>
      <c r="D44" t="s">
        <v>161</v>
      </c>
      <c r="E44" s="35">
        <v>7.2569050048175123</v>
      </c>
    </row>
    <row r="45" spans="3:5" x14ac:dyDescent="0.3">
      <c r="C45" t="s">
        <v>40</v>
      </c>
      <c r="D45" t="s">
        <v>161</v>
      </c>
      <c r="E45" s="35">
        <v>7.5021261931721588</v>
      </c>
    </row>
    <row r="46" spans="3:5" x14ac:dyDescent="0.3">
      <c r="C46" t="s">
        <v>52</v>
      </c>
      <c r="D46" t="s">
        <v>161</v>
      </c>
      <c r="E46" s="35">
        <v>7.6570280051228341</v>
      </c>
    </row>
    <row r="47" spans="3:5" x14ac:dyDescent="0.3">
      <c r="C47" t="s">
        <v>61</v>
      </c>
      <c r="D47" t="s">
        <v>161</v>
      </c>
      <c r="E47" s="35">
        <v>9.3904781952131327</v>
      </c>
    </row>
    <row r="48" spans="3:5" x14ac:dyDescent="0.3">
      <c r="C48" t="s">
        <v>82</v>
      </c>
      <c r="D48" t="s">
        <v>76</v>
      </c>
      <c r="E48" s="35">
        <v>7.7233870578555788</v>
      </c>
    </row>
    <row r="49" spans="3:5" x14ac:dyDescent="0.3">
      <c r="C49" t="s">
        <v>93</v>
      </c>
      <c r="D49" t="s">
        <v>76</v>
      </c>
      <c r="E49" s="35">
        <v>5.865197534076751</v>
      </c>
    </row>
    <row r="50" spans="3:5" x14ac:dyDescent="0.3">
      <c r="C50" t="s">
        <v>110</v>
      </c>
      <c r="D50" t="s">
        <v>76</v>
      </c>
      <c r="E50" s="35">
        <v>5.3063633984849137</v>
      </c>
    </row>
    <row r="51" spans="3:5" x14ac:dyDescent="0.3">
      <c r="C51" t="s">
        <v>118</v>
      </c>
      <c r="D51" t="s">
        <v>76</v>
      </c>
      <c r="E51" s="35">
        <v>5.7848976383796504</v>
      </c>
    </row>
    <row r="52" spans="3:5" x14ac:dyDescent="0.3">
      <c r="C52" t="s">
        <v>18</v>
      </c>
      <c r="D52" t="s">
        <v>180</v>
      </c>
      <c r="E52" s="35">
        <v>10.730767803700171</v>
      </c>
    </row>
    <row r="53" spans="3:5" x14ac:dyDescent="0.3">
      <c r="C53" t="s">
        <v>88</v>
      </c>
      <c r="D53" t="s">
        <v>180</v>
      </c>
      <c r="E53" s="35">
        <v>10.059302540737294</v>
      </c>
    </row>
    <row r="54" spans="3:5" x14ac:dyDescent="0.3">
      <c r="C54" t="s">
        <v>117</v>
      </c>
      <c r="D54" t="s">
        <v>180</v>
      </c>
      <c r="E54" s="35">
        <v>10.497038607593979</v>
      </c>
    </row>
    <row r="55" spans="3:5" x14ac:dyDescent="0.3">
      <c r="C55" t="s">
        <v>121</v>
      </c>
      <c r="D55" t="s">
        <v>180</v>
      </c>
      <c r="E55" s="35">
        <v>8.2551077744099679</v>
      </c>
    </row>
    <row r="56" spans="3:5" x14ac:dyDescent="0.3">
      <c r="C56" t="s">
        <v>21</v>
      </c>
      <c r="D56" t="s">
        <v>183</v>
      </c>
      <c r="E56" s="35">
        <v>8.2416070843520615</v>
      </c>
    </row>
    <row r="57" spans="3:5" x14ac:dyDescent="0.3">
      <c r="C57" t="s">
        <v>84</v>
      </c>
      <c r="D57" t="s">
        <v>183</v>
      </c>
      <c r="E57" s="35">
        <v>10.291383164139317</v>
      </c>
    </row>
    <row r="58" spans="3:5" x14ac:dyDescent="0.3">
      <c r="C58" t="s">
        <v>104</v>
      </c>
      <c r="D58" t="s">
        <v>183</v>
      </c>
      <c r="E58" s="35">
        <v>6.5272675331819032</v>
      </c>
    </row>
    <row r="59" spans="3:5" x14ac:dyDescent="0.3">
      <c r="C59" t="s">
        <v>124</v>
      </c>
      <c r="D59" t="s">
        <v>183</v>
      </c>
      <c r="E59" s="35">
        <v>8.3510611080165251</v>
      </c>
    </row>
    <row r="60" spans="3:5" x14ac:dyDescent="0.3">
      <c r="C60" t="s">
        <v>10</v>
      </c>
      <c r="D60" t="s">
        <v>67</v>
      </c>
      <c r="E60" s="35">
        <v>2.4365744511972562</v>
      </c>
    </row>
    <row r="61" spans="3:5" x14ac:dyDescent="0.3">
      <c r="C61" t="s">
        <v>87</v>
      </c>
      <c r="D61" t="s">
        <v>67</v>
      </c>
      <c r="E61" s="35">
        <v>6.1736486881382762</v>
      </c>
    </row>
    <row r="62" spans="3:5" x14ac:dyDescent="0.3">
      <c r="C62" t="s">
        <v>107</v>
      </c>
      <c r="D62" t="s">
        <v>67</v>
      </c>
      <c r="E62" s="35">
        <v>3.4768238275260623</v>
      </c>
    </row>
    <row r="63" spans="3:5" x14ac:dyDescent="0.3">
      <c r="C63" t="s">
        <v>132</v>
      </c>
      <c r="D63" t="s">
        <v>67</v>
      </c>
      <c r="E63" s="35">
        <v>0</v>
      </c>
    </row>
    <row r="64" spans="3:5" x14ac:dyDescent="0.3">
      <c r="C64" t="s">
        <v>16</v>
      </c>
      <c r="D64" t="s">
        <v>178</v>
      </c>
      <c r="E64" s="35">
        <v>6.1043766234428301</v>
      </c>
    </row>
    <row r="65" spans="3:5" x14ac:dyDescent="0.3">
      <c r="C65" t="s">
        <v>96</v>
      </c>
      <c r="D65" t="s">
        <v>178</v>
      </c>
      <c r="E65" s="35">
        <v>8.948916799460374</v>
      </c>
    </row>
    <row r="66" spans="3:5" x14ac:dyDescent="0.3">
      <c r="C66" t="s">
        <v>116</v>
      </c>
      <c r="D66" t="s">
        <v>178</v>
      </c>
      <c r="E66" s="35">
        <v>5.1386251272260743</v>
      </c>
    </row>
    <row r="67" spans="3:5" x14ac:dyDescent="0.3">
      <c r="C67" t="s">
        <v>123</v>
      </c>
      <c r="D67" t="s">
        <v>178</v>
      </c>
      <c r="E67" s="35">
        <v>7.2729665845129565</v>
      </c>
    </row>
    <row r="68" spans="3:5" x14ac:dyDescent="0.3">
      <c r="C68" t="s">
        <v>17</v>
      </c>
      <c r="D68" t="s">
        <v>179</v>
      </c>
      <c r="E68" s="35">
        <v>6.8480669769644358</v>
      </c>
    </row>
    <row r="69" spans="3:5" x14ac:dyDescent="0.3">
      <c r="C69" t="s">
        <v>91</v>
      </c>
      <c r="D69" t="s">
        <v>179</v>
      </c>
      <c r="E69" s="35">
        <v>8.8404951344310412</v>
      </c>
    </row>
    <row r="70" spans="3:5" x14ac:dyDescent="0.3">
      <c r="C70" t="s">
        <v>113</v>
      </c>
      <c r="D70" t="s">
        <v>179</v>
      </c>
      <c r="E70" s="35">
        <v>5.7484369721651802</v>
      </c>
    </row>
    <row r="71" spans="3:5" x14ac:dyDescent="0.3">
      <c r="C71" t="s">
        <v>128</v>
      </c>
      <c r="D71" t="s">
        <v>179</v>
      </c>
      <c r="E71" s="35">
        <v>6.423471475060377</v>
      </c>
    </row>
    <row r="72" spans="3:5" x14ac:dyDescent="0.3">
      <c r="C72" t="s">
        <v>19</v>
      </c>
      <c r="D72" t="s">
        <v>181</v>
      </c>
      <c r="E72" s="35">
        <v>5.8634129141105911</v>
      </c>
    </row>
    <row r="73" spans="3:5" x14ac:dyDescent="0.3">
      <c r="C73" t="s">
        <v>90</v>
      </c>
      <c r="D73" t="s">
        <v>181</v>
      </c>
      <c r="E73" s="35">
        <v>6.6196516268561423</v>
      </c>
    </row>
    <row r="74" spans="3:5" x14ac:dyDescent="0.3">
      <c r="C74" t="s">
        <v>101</v>
      </c>
      <c r="D74" t="s">
        <v>181</v>
      </c>
      <c r="E74" s="35">
        <v>5.0914727467748753</v>
      </c>
    </row>
    <row r="75" spans="3:5" x14ac:dyDescent="0.3">
      <c r="C75" t="s">
        <v>130</v>
      </c>
      <c r="D75" t="s">
        <v>181</v>
      </c>
      <c r="E75" s="35">
        <v>6.5167838912282248</v>
      </c>
    </row>
    <row r="76" spans="3:5" x14ac:dyDescent="0.3">
      <c r="C76" t="s">
        <v>20</v>
      </c>
      <c r="D76" t="s">
        <v>182</v>
      </c>
      <c r="E76" s="35">
        <v>6.4265525454055439</v>
      </c>
    </row>
    <row r="77" spans="3:5" x14ac:dyDescent="0.3">
      <c r="C77" t="s">
        <v>100</v>
      </c>
      <c r="D77" t="s">
        <v>182</v>
      </c>
      <c r="E77" s="35">
        <v>7.158230725971066</v>
      </c>
    </row>
    <row r="78" spans="3:5" x14ac:dyDescent="0.3">
      <c r="C78" t="s">
        <v>111</v>
      </c>
      <c r="D78" t="s">
        <v>182</v>
      </c>
      <c r="E78" s="35">
        <v>5.9956508527690415</v>
      </c>
    </row>
    <row r="79" spans="3:5" x14ac:dyDescent="0.3">
      <c r="C79" t="s">
        <v>122</v>
      </c>
      <c r="D79" t="s">
        <v>182</v>
      </c>
      <c r="E79" s="35">
        <v>8.0238274290196721</v>
      </c>
    </row>
    <row r="80" spans="3:5" x14ac:dyDescent="0.3">
      <c r="C80" t="s">
        <v>15</v>
      </c>
      <c r="D80" t="s">
        <v>177</v>
      </c>
      <c r="E80" s="35">
        <v>8.8549241469825528</v>
      </c>
    </row>
    <row r="81" spans="3:5" x14ac:dyDescent="0.3">
      <c r="C81" t="s">
        <v>83</v>
      </c>
      <c r="D81" t="s">
        <v>177</v>
      </c>
      <c r="E81" s="35">
        <v>7.9084913619689861</v>
      </c>
    </row>
    <row r="82" spans="3:5" x14ac:dyDescent="0.3">
      <c r="C82" t="s">
        <v>115</v>
      </c>
      <c r="D82" t="s">
        <v>177</v>
      </c>
      <c r="E82" s="35">
        <v>7.311019803970769</v>
      </c>
    </row>
    <row r="83" spans="3:5" x14ac:dyDescent="0.3">
      <c r="C83" t="s">
        <v>134</v>
      </c>
      <c r="D83" t="s">
        <v>177</v>
      </c>
      <c r="E83" s="35">
        <v>7.8325289730954681</v>
      </c>
    </row>
    <row r="84" spans="3:5" x14ac:dyDescent="0.3">
      <c r="C84" t="s">
        <v>79</v>
      </c>
      <c r="D84" t="s">
        <v>153</v>
      </c>
      <c r="E84" s="35">
        <v>8.5490498881188035</v>
      </c>
    </row>
    <row r="85" spans="3:5" x14ac:dyDescent="0.3">
      <c r="C85" t="s">
        <v>97</v>
      </c>
      <c r="D85" t="s">
        <v>153</v>
      </c>
      <c r="E85" s="35">
        <v>6.6669960740301555</v>
      </c>
    </row>
    <row r="86" spans="3:5" x14ac:dyDescent="0.3">
      <c r="C86" t="s">
        <v>103</v>
      </c>
      <c r="D86" t="s">
        <v>153</v>
      </c>
      <c r="E86" s="35">
        <v>6.3999032876148974</v>
      </c>
    </row>
    <row r="87" spans="3:5" x14ac:dyDescent="0.3">
      <c r="C87" t="s">
        <v>120</v>
      </c>
      <c r="D87" t="s">
        <v>153</v>
      </c>
      <c r="E87" s="35">
        <v>8.0656019412320372</v>
      </c>
    </row>
    <row r="88" spans="3:5" x14ac:dyDescent="0.3">
      <c r="C88" t="s">
        <v>32</v>
      </c>
      <c r="D88" t="s">
        <v>154</v>
      </c>
      <c r="E88" s="35">
        <v>5.0115649873035233</v>
      </c>
    </row>
    <row r="89" spans="3:5" x14ac:dyDescent="0.3">
      <c r="C89" t="s">
        <v>42</v>
      </c>
      <c r="D89" t="s">
        <v>154</v>
      </c>
      <c r="E89" s="35">
        <v>8.4038474456703103</v>
      </c>
    </row>
    <row r="90" spans="3:5" x14ac:dyDescent="0.3">
      <c r="C90" t="s">
        <v>53</v>
      </c>
      <c r="D90" t="s">
        <v>154</v>
      </c>
      <c r="E90" s="35">
        <v>7.5678130123750504</v>
      </c>
    </row>
    <row r="91" spans="3:5" x14ac:dyDescent="0.3">
      <c r="C91" t="s">
        <v>62</v>
      </c>
      <c r="D91" t="s">
        <v>154</v>
      </c>
      <c r="E91" s="35">
        <v>10.11083244191266</v>
      </c>
    </row>
    <row r="92" spans="3:5" x14ac:dyDescent="0.3">
      <c r="C92" t="s">
        <v>33</v>
      </c>
      <c r="D92" t="s">
        <v>155</v>
      </c>
      <c r="E92" s="35">
        <v>7.5924375667960158</v>
      </c>
    </row>
    <row r="93" spans="3:5" x14ac:dyDescent="0.3">
      <c r="C93" t="s">
        <v>44</v>
      </c>
      <c r="D93" t="s">
        <v>155</v>
      </c>
      <c r="E93" s="35">
        <v>7.050217202727719</v>
      </c>
    </row>
    <row r="94" spans="3:5" x14ac:dyDescent="0.3">
      <c r="C94" t="s">
        <v>49</v>
      </c>
      <c r="D94" t="s">
        <v>155</v>
      </c>
      <c r="E94" s="35">
        <v>7.7329263717554113</v>
      </c>
    </row>
    <row r="95" spans="3:5" x14ac:dyDescent="0.3">
      <c r="C95" t="s">
        <v>58</v>
      </c>
      <c r="D95" t="s">
        <v>155</v>
      </c>
      <c r="E95" s="35">
        <v>6.9911086687812585</v>
      </c>
    </row>
    <row r="96" spans="3:5" x14ac:dyDescent="0.3">
      <c r="C96" t="s">
        <v>34</v>
      </c>
      <c r="D96" t="s">
        <v>156</v>
      </c>
      <c r="E96" s="35">
        <v>4.4004486892052936</v>
      </c>
    </row>
    <row r="97" spans="3:5" x14ac:dyDescent="0.3">
      <c r="C97" t="s">
        <v>47</v>
      </c>
      <c r="D97" t="s">
        <v>156</v>
      </c>
      <c r="E97" s="35">
        <v>6.860495294486622</v>
      </c>
    </row>
    <row r="98" spans="3:5" x14ac:dyDescent="0.3">
      <c r="C98" t="s">
        <v>136</v>
      </c>
      <c r="D98" t="s">
        <v>156</v>
      </c>
      <c r="E98" s="35">
        <v>7.6110280250085278</v>
      </c>
    </row>
    <row r="99" spans="3:5" x14ac:dyDescent="0.3">
      <c r="C99" t="s">
        <v>60</v>
      </c>
      <c r="D99" t="s">
        <v>156</v>
      </c>
      <c r="E99" s="35">
        <v>9.8416109159861964</v>
      </c>
    </row>
    <row r="100" spans="3:5" x14ac:dyDescent="0.3">
      <c r="C100" t="s">
        <v>35</v>
      </c>
      <c r="D100" t="s">
        <v>157</v>
      </c>
      <c r="E100" s="35">
        <v>7.2359217153499227</v>
      </c>
    </row>
    <row r="101" spans="3:5" x14ac:dyDescent="0.3">
      <c r="C101" t="s">
        <v>41</v>
      </c>
      <c r="D101" t="s">
        <v>157</v>
      </c>
      <c r="E101" s="35">
        <v>10.277394304494258</v>
      </c>
    </row>
    <row r="102" spans="3:5" x14ac:dyDescent="0.3">
      <c r="C102" t="s">
        <v>48</v>
      </c>
      <c r="D102" t="s">
        <v>157</v>
      </c>
      <c r="E102" s="35">
        <v>10.01896052616593</v>
      </c>
    </row>
    <row r="103" spans="3:5" x14ac:dyDescent="0.3">
      <c r="C103" t="s">
        <v>55</v>
      </c>
      <c r="D103" t="s">
        <v>157</v>
      </c>
      <c r="E103" s="35">
        <v>6.6234209362913958</v>
      </c>
    </row>
    <row r="104" spans="3:5" x14ac:dyDescent="0.3">
      <c r="C104" t="s">
        <v>13</v>
      </c>
      <c r="D104" t="s">
        <v>70</v>
      </c>
      <c r="E104" s="35">
        <v>4.6759043808431437</v>
      </c>
    </row>
    <row r="105" spans="3:5" x14ac:dyDescent="0.3">
      <c r="C105" t="s">
        <v>85</v>
      </c>
      <c r="D105" t="s">
        <v>70</v>
      </c>
      <c r="E105" s="35">
        <v>5.3516271228284262</v>
      </c>
    </row>
    <row r="106" spans="3:5" x14ac:dyDescent="0.3">
      <c r="C106" t="s">
        <v>108</v>
      </c>
      <c r="D106" t="s">
        <v>70</v>
      </c>
      <c r="E106" s="35">
        <v>5.6097728010725314</v>
      </c>
    </row>
    <row r="107" spans="3:5" x14ac:dyDescent="0.3">
      <c r="C107" t="s">
        <v>133</v>
      </c>
      <c r="D107" t="s">
        <v>70</v>
      </c>
      <c r="E107" s="35">
        <v>7.4446502263696299</v>
      </c>
    </row>
  </sheetData>
  <sortState xmlns:xlrd2="http://schemas.microsoft.com/office/spreadsheetml/2017/richdata2" ref="B4:D107">
    <sortCondition ref="D4:D107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6C59-7B6B-4F70-85B4-9258F44EBF4B}">
  <dimension ref="A1:O105"/>
  <sheetViews>
    <sheetView topLeftCell="D1" zoomScale="81" workbookViewId="0">
      <selection activeCell="H1" sqref="H1:O73"/>
    </sheetView>
  </sheetViews>
  <sheetFormatPr defaultRowHeight="14.4" x14ac:dyDescent="0.3"/>
  <cols>
    <col min="2" max="2" width="10.77734375" bestFit="1" customWidth="1"/>
    <col min="3" max="3" width="10.21875" bestFit="1" customWidth="1"/>
    <col min="4" max="4" width="13.88671875" bestFit="1" customWidth="1"/>
    <col min="5" max="5" width="14.21875" bestFit="1" customWidth="1"/>
    <col min="6" max="6" width="15.88671875" bestFit="1" customWidth="1"/>
    <col min="9" max="11" width="8.6640625" bestFit="1" customWidth="1"/>
    <col min="14" max="14" width="12.88671875" bestFit="1" customWidth="1"/>
    <col min="15" max="15" width="13.77734375" bestFit="1" customWidth="1"/>
  </cols>
  <sheetData>
    <row r="1" spans="1:15" s="16" customFormat="1" x14ac:dyDescent="0.3">
      <c r="A1" s="16" t="s">
        <v>138</v>
      </c>
      <c r="B1" s="16" t="s">
        <v>147</v>
      </c>
      <c r="C1" s="16" t="s">
        <v>145</v>
      </c>
      <c r="D1" s="16" t="s">
        <v>148</v>
      </c>
      <c r="E1" s="16" t="s">
        <v>164</v>
      </c>
      <c r="F1" s="16" t="s">
        <v>185</v>
      </c>
      <c r="H1" s="16" t="s">
        <v>167</v>
      </c>
      <c r="I1" s="16" t="s">
        <v>168</v>
      </c>
      <c r="J1" s="16" t="s">
        <v>169</v>
      </c>
      <c r="K1" s="16" t="s">
        <v>170</v>
      </c>
      <c r="L1" s="16" t="s">
        <v>173</v>
      </c>
      <c r="M1" s="16" t="s">
        <v>174</v>
      </c>
      <c r="N1" s="16" t="s">
        <v>146</v>
      </c>
      <c r="O1" s="16" t="s">
        <v>165</v>
      </c>
    </row>
    <row r="2" spans="1:15" x14ac:dyDescent="0.3">
      <c r="A2" s="20" t="s">
        <v>10</v>
      </c>
      <c r="B2" t="s">
        <v>67</v>
      </c>
      <c r="C2">
        <v>56</v>
      </c>
      <c r="D2">
        <v>4.4400000000000004</v>
      </c>
      <c r="E2">
        <v>3.5</v>
      </c>
      <c r="F2">
        <f>D2-E2</f>
        <v>0.94000000000000039</v>
      </c>
      <c r="H2" s="20" t="s">
        <v>10</v>
      </c>
      <c r="I2">
        <v>40</v>
      </c>
      <c r="J2">
        <v>49</v>
      </c>
      <c r="K2">
        <v>42.5</v>
      </c>
      <c r="L2">
        <v>38</v>
      </c>
      <c r="M2">
        <v>42</v>
      </c>
      <c r="N2" s="17">
        <f>(AVERAGE(I2,J2,K2,L2,M2,))</f>
        <v>35.25</v>
      </c>
      <c r="O2" s="17">
        <f>N2*2.54</f>
        <v>89.534999999999997</v>
      </c>
    </row>
    <row r="3" spans="1:15" x14ac:dyDescent="0.3">
      <c r="A3" s="20" t="s">
        <v>11</v>
      </c>
      <c r="B3" t="s">
        <v>175</v>
      </c>
      <c r="C3">
        <v>95</v>
      </c>
      <c r="D3">
        <v>4.18</v>
      </c>
      <c r="E3">
        <v>3.5</v>
      </c>
      <c r="F3">
        <f t="shared" ref="F3:F66" si="0">D3-E3</f>
        <v>0.67999999999999972</v>
      </c>
      <c r="H3" s="20" t="s">
        <v>11</v>
      </c>
      <c r="I3">
        <v>35</v>
      </c>
      <c r="J3">
        <v>37.5</v>
      </c>
      <c r="K3">
        <v>41.5</v>
      </c>
      <c r="L3">
        <v>38</v>
      </c>
      <c r="M3">
        <v>40.5</v>
      </c>
      <c r="N3" s="17">
        <f t="shared" ref="N3:N63" si="1">(AVERAGE(I3,J3,K3,L3,M3,))</f>
        <v>32.083333333333336</v>
      </c>
      <c r="O3" s="17">
        <f t="shared" ref="O3:O19" si="2">N3*2.54</f>
        <v>81.491666666666674</v>
      </c>
    </row>
    <row r="4" spans="1:15" x14ac:dyDescent="0.3">
      <c r="A4" s="20" t="s">
        <v>12</v>
      </c>
      <c r="B4" t="s">
        <v>176</v>
      </c>
      <c r="C4">
        <v>41</v>
      </c>
      <c r="D4">
        <v>4.3</v>
      </c>
      <c r="E4">
        <v>3.5</v>
      </c>
      <c r="F4">
        <f t="shared" si="0"/>
        <v>0.79999999999999982</v>
      </c>
      <c r="H4" s="20" t="s">
        <v>12</v>
      </c>
      <c r="I4">
        <v>44</v>
      </c>
      <c r="J4">
        <v>37</v>
      </c>
      <c r="K4">
        <v>37.5</v>
      </c>
      <c r="L4">
        <v>39</v>
      </c>
      <c r="M4">
        <v>41.5</v>
      </c>
      <c r="N4" s="17">
        <f t="shared" si="1"/>
        <v>33.166666666666664</v>
      </c>
      <c r="O4" s="17">
        <f t="shared" si="2"/>
        <v>84.243333333333325</v>
      </c>
    </row>
    <row r="5" spans="1:15" x14ac:dyDescent="0.3">
      <c r="A5" s="20" t="s">
        <v>13</v>
      </c>
      <c r="B5" t="s">
        <v>70</v>
      </c>
      <c r="C5">
        <v>144</v>
      </c>
      <c r="D5">
        <v>5.28</v>
      </c>
      <c r="E5">
        <v>3.5</v>
      </c>
      <c r="F5">
        <f t="shared" si="0"/>
        <v>1.7800000000000002</v>
      </c>
      <c r="H5" s="20" t="s">
        <v>13</v>
      </c>
      <c r="I5">
        <v>35</v>
      </c>
      <c r="J5">
        <v>38</v>
      </c>
      <c r="K5">
        <v>44.5</v>
      </c>
      <c r="L5">
        <v>39</v>
      </c>
      <c r="M5">
        <v>42.5</v>
      </c>
      <c r="N5" s="17">
        <f t="shared" si="1"/>
        <v>33.166666666666664</v>
      </c>
      <c r="O5" s="17">
        <f t="shared" si="2"/>
        <v>84.243333333333325</v>
      </c>
    </row>
    <row r="6" spans="1:15" x14ac:dyDescent="0.3">
      <c r="A6" s="20" t="s">
        <v>14</v>
      </c>
      <c r="B6" t="s">
        <v>71</v>
      </c>
      <c r="C6">
        <v>102</v>
      </c>
      <c r="D6">
        <v>4.5199999999999996</v>
      </c>
      <c r="E6">
        <v>3.5</v>
      </c>
      <c r="F6">
        <f t="shared" si="0"/>
        <v>1.0199999999999996</v>
      </c>
      <c r="H6" s="20" t="s">
        <v>14</v>
      </c>
      <c r="I6">
        <v>32</v>
      </c>
      <c r="J6">
        <v>32.5</v>
      </c>
      <c r="K6">
        <v>29</v>
      </c>
      <c r="L6">
        <v>33</v>
      </c>
      <c r="M6">
        <v>31.5</v>
      </c>
      <c r="N6" s="17">
        <f t="shared" si="1"/>
        <v>26.333333333333332</v>
      </c>
      <c r="O6" s="17">
        <f t="shared" si="2"/>
        <v>66.88666666666667</v>
      </c>
    </row>
    <row r="7" spans="1:15" x14ac:dyDescent="0.3">
      <c r="A7" s="20" t="s">
        <v>15</v>
      </c>
      <c r="B7" t="s">
        <v>177</v>
      </c>
      <c r="C7">
        <v>227</v>
      </c>
      <c r="D7">
        <v>6.68</v>
      </c>
      <c r="E7">
        <v>3.5</v>
      </c>
      <c r="F7">
        <f t="shared" si="0"/>
        <v>3.1799999999999997</v>
      </c>
      <c r="H7" s="20" t="s">
        <v>15</v>
      </c>
      <c r="I7">
        <v>48.5</v>
      </c>
      <c r="J7">
        <v>46</v>
      </c>
      <c r="K7">
        <v>41</v>
      </c>
      <c r="L7">
        <v>47</v>
      </c>
      <c r="M7">
        <v>48.5</v>
      </c>
      <c r="N7" s="17">
        <f t="shared" si="1"/>
        <v>38.5</v>
      </c>
      <c r="O7" s="17">
        <f t="shared" si="2"/>
        <v>97.79</v>
      </c>
    </row>
    <row r="8" spans="1:15" x14ac:dyDescent="0.3">
      <c r="A8" s="20" t="s">
        <v>16</v>
      </c>
      <c r="B8" t="s">
        <v>178</v>
      </c>
      <c r="C8">
        <v>152</v>
      </c>
      <c r="D8">
        <v>5.68</v>
      </c>
      <c r="E8">
        <v>3.5</v>
      </c>
      <c r="F8">
        <f t="shared" si="0"/>
        <v>2.1799999999999997</v>
      </c>
      <c r="H8" s="20" t="s">
        <v>16</v>
      </c>
      <c r="I8">
        <v>46</v>
      </c>
      <c r="J8">
        <v>44.5</v>
      </c>
      <c r="K8">
        <v>39</v>
      </c>
      <c r="L8">
        <v>44</v>
      </c>
      <c r="M8">
        <v>43.5</v>
      </c>
      <c r="N8" s="17">
        <f t="shared" si="1"/>
        <v>36.166666666666664</v>
      </c>
      <c r="O8" s="17">
        <f t="shared" si="2"/>
        <v>91.86333333333333</v>
      </c>
    </row>
    <row r="9" spans="1:15" x14ac:dyDescent="0.3">
      <c r="A9" s="20" t="s">
        <v>17</v>
      </c>
      <c r="B9" t="s">
        <v>179</v>
      </c>
      <c r="C9">
        <v>253</v>
      </c>
      <c r="D9">
        <v>5.96</v>
      </c>
      <c r="E9">
        <v>3.5</v>
      </c>
      <c r="F9">
        <f t="shared" si="0"/>
        <v>2.46</v>
      </c>
      <c r="H9" s="20" t="s">
        <v>17</v>
      </c>
      <c r="I9">
        <v>47</v>
      </c>
      <c r="J9">
        <v>45</v>
      </c>
      <c r="K9">
        <v>52</v>
      </c>
      <c r="L9">
        <v>53.5</v>
      </c>
      <c r="M9">
        <v>49.5</v>
      </c>
      <c r="N9" s="17">
        <f t="shared" si="1"/>
        <v>41.166666666666664</v>
      </c>
      <c r="O9" s="17">
        <f t="shared" si="2"/>
        <v>104.56333333333333</v>
      </c>
    </row>
    <row r="10" spans="1:15" x14ac:dyDescent="0.3">
      <c r="A10" s="20" t="s">
        <v>18</v>
      </c>
      <c r="B10" t="s">
        <v>180</v>
      </c>
      <c r="C10">
        <v>339</v>
      </c>
      <c r="D10">
        <v>7.2</v>
      </c>
      <c r="E10">
        <v>3.5</v>
      </c>
      <c r="F10">
        <f t="shared" si="0"/>
        <v>3.7</v>
      </c>
      <c r="H10" s="20" t="s">
        <v>18</v>
      </c>
      <c r="I10">
        <v>52</v>
      </c>
      <c r="J10">
        <v>54</v>
      </c>
      <c r="K10">
        <v>58.5</v>
      </c>
      <c r="L10">
        <v>57.5</v>
      </c>
      <c r="M10">
        <v>55.5</v>
      </c>
      <c r="N10" s="17">
        <f t="shared" si="1"/>
        <v>46.25</v>
      </c>
      <c r="O10" s="17">
        <f t="shared" si="2"/>
        <v>117.47500000000001</v>
      </c>
    </row>
    <row r="11" spans="1:15" x14ac:dyDescent="0.3">
      <c r="A11" s="20" t="s">
        <v>19</v>
      </c>
      <c r="B11" t="s">
        <v>181</v>
      </c>
      <c r="C11">
        <v>196</v>
      </c>
      <c r="D11">
        <v>5.62</v>
      </c>
      <c r="E11">
        <v>3.5</v>
      </c>
      <c r="F11">
        <f t="shared" si="0"/>
        <v>2.12</v>
      </c>
      <c r="H11" s="20" t="s">
        <v>19</v>
      </c>
      <c r="I11">
        <v>43</v>
      </c>
      <c r="J11">
        <v>47.5</v>
      </c>
      <c r="K11">
        <v>38</v>
      </c>
      <c r="L11">
        <v>41</v>
      </c>
      <c r="M11">
        <v>52</v>
      </c>
      <c r="N11" s="17">
        <f t="shared" si="1"/>
        <v>36.916666666666664</v>
      </c>
      <c r="O11" s="17">
        <f t="shared" si="2"/>
        <v>93.768333333333331</v>
      </c>
    </row>
    <row r="12" spans="1:15" x14ac:dyDescent="0.3">
      <c r="A12" s="20" t="s">
        <v>20</v>
      </c>
      <c r="B12" t="s">
        <v>182</v>
      </c>
      <c r="C12">
        <v>179</v>
      </c>
      <c r="D12">
        <v>5.74</v>
      </c>
      <c r="E12">
        <v>3.5</v>
      </c>
      <c r="F12">
        <f t="shared" si="0"/>
        <v>2.2400000000000002</v>
      </c>
      <c r="H12" s="20" t="s">
        <v>20</v>
      </c>
      <c r="I12">
        <v>44</v>
      </c>
      <c r="J12">
        <v>43</v>
      </c>
      <c r="K12">
        <v>46</v>
      </c>
      <c r="L12">
        <v>50</v>
      </c>
      <c r="M12">
        <v>50</v>
      </c>
      <c r="N12" s="17">
        <f t="shared" si="1"/>
        <v>38.833333333333336</v>
      </c>
      <c r="O12" s="17">
        <f t="shared" si="2"/>
        <v>98.63666666666667</v>
      </c>
    </row>
    <row r="13" spans="1:15" x14ac:dyDescent="0.3">
      <c r="A13" s="20" t="s">
        <v>21</v>
      </c>
      <c r="B13" t="s">
        <v>183</v>
      </c>
      <c r="C13">
        <v>337</v>
      </c>
      <c r="D13">
        <v>6.68</v>
      </c>
      <c r="E13">
        <v>3.5</v>
      </c>
      <c r="F13">
        <f t="shared" si="0"/>
        <v>3.1799999999999997</v>
      </c>
      <c r="H13" s="20" t="s">
        <v>21</v>
      </c>
      <c r="I13">
        <v>50</v>
      </c>
      <c r="J13">
        <v>53</v>
      </c>
      <c r="K13">
        <v>50</v>
      </c>
      <c r="L13">
        <v>51.5</v>
      </c>
      <c r="M13">
        <v>55</v>
      </c>
      <c r="N13" s="17">
        <f t="shared" si="1"/>
        <v>43.25</v>
      </c>
      <c r="O13" s="17">
        <f t="shared" si="2"/>
        <v>109.855</v>
      </c>
    </row>
    <row r="14" spans="1:15" x14ac:dyDescent="0.3">
      <c r="A14" s="20" t="s">
        <v>77</v>
      </c>
      <c r="B14" t="s">
        <v>5</v>
      </c>
      <c r="C14">
        <v>182</v>
      </c>
      <c r="D14">
        <v>7.36</v>
      </c>
      <c r="E14">
        <v>3.5</v>
      </c>
      <c r="F14">
        <f t="shared" si="0"/>
        <v>3.8600000000000003</v>
      </c>
      <c r="H14" s="20" t="s">
        <v>77</v>
      </c>
      <c r="I14">
        <v>76</v>
      </c>
      <c r="J14">
        <v>73.5</v>
      </c>
      <c r="K14">
        <v>82.5</v>
      </c>
      <c r="L14">
        <v>67</v>
      </c>
      <c r="M14">
        <v>79</v>
      </c>
      <c r="N14" s="17">
        <f t="shared" si="1"/>
        <v>63</v>
      </c>
      <c r="O14" s="17">
        <f t="shared" si="2"/>
        <v>160.02000000000001</v>
      </c>
    </row>
    <row r="15" spans="1:15" x14ac:dyDescent="0.3">
      <c r="A15" s="20" t="s">
        <v>78</v>
      </c>
      <c r="B15" t="s">
        <v>6</v>
      </c>
      <c r="C15">
        <v>376</v>
      </c>
      <c r="D15">
        <v>6.58</v>
      </c>
      <c r="E15">
        <v>3.5</v>
      </c>
      <c r="F15">
        <f t="shared" si="0"/>
        <v>3.08</v>
      </c>
      <c r="H15" s="20" t="s">
        <v>78</v>
      </c>
      <c r="I15">
        <v>58</v>
      </c>
      <c r="J15">
        <v>52</v>
      </c>
      <c r="K15">
        <v>53</v>
      </c>
      <c r="L15">
        <v>54</v>
      </c>
      <c r="M15">
        <v>55.5</v>
      </c>
      <c r="N15" s="17">
        <f t="shared" si="1"/>
        <v>45.416666666666664</v>
      </c>
      <c r="O15" s="17">
        <f t="shared" si="2"/>
        <v>115.35833333333333</v>
      </c>
    </row>
    <row r="16" spans="1:15" x14ac:dyDescent="0.3">
      <c r="A16" s="20" t="s">
        <v>79</v>
      </c>
      <c r="B16" t="s">
        <v>153</v>
      </c>
      <c r="C16">
        <v>136</v>
      </c>
      <c r="D16">
        <v>6.6</v>
      </c>
      <c r="E16">
        <v>3.5</v>
      </c>
      <c r="F16">
        <f t="shared" si="0"/>
        <v>3.0999999999999996</v>
      </c>
      <c r="H16" s="20" t="s">
        <v>79</v>
      </c>
      <c r="I16">
        <v>67</v>
      </c>
      <c r="J16">
        <v>64.5</v>
      </c>
      <c r="K16">
        <v>69.5</v>
      </c>
      <c r="L16">
        <v>66</v>
      </c>
      <c r="M16">
        <v>65</v>
      </c>
      <c r="N16" s="17">
        <f t="shared" si="1"/>
        <v>55.333333333333336</v>
      </c>
      <c r="O16" s="17">
        <f t="shared" si="2"/>
        <v>140.54666666666668</v>
      </c>
    </row>
    <row r="17" spans="1:15" x14ac:dyDescent="0.3">
      <c r="A17" s="20" t="s">
        <v>80</v>
      </c>
      <c r="B17" t="s">
        <v>152</v>
      </c>
      <c r="C17">
        <v>332</v>
      </c>
      <c r="D17">
        <v>6.22</v>
      </c>
      <c r="E17">
        <v>3.5</v>
      </c>
      <c r="F17">
        <f t="shared" si="0"/>
        <v>2.7199999999999998</v>
      </c>
      <c r="H17" s="20" t="s">
        <v>80</v>
      </c>
      <c r="I17">
        <v>47</v>
      </c>
      <c r="J17">
        <v>48</v>
      </c>
      <c r="K17">
        <v>55</v>
      </c>
      <c r="L17">
        <v>50.5</v>
      </c>
      <c r="M17">
        <v>49</v>
      </c>
      <c r="N17" s="17">
        <f t="shared" si="1"/>
        <v>41.583333333333336</v>
      </c>
      <c r="O17" s="17">
        <f t="shared" si="2"/>
        <v>105.62166666666667</v>
      </c>
    </row>
    <row r="18" spans="1:15" x14ac:dyDescent="0.3">
      <c r="A18" s="20" t="s">
        <v>81</v>
      </c>
      <c r="B18" t="s">
        <v>184</v>
      </c>
      <c r="C18">
        <v>336</v>
      </c>
      <c r="D18">
        <v>6.24</v>
      </c>
      <c r="E18">
        <v>3.5</v>
      </c>
      <c r="F18">
        <f t="shared" si="0"/>
        <v>2.74</v>
      </c>
      <c r="H18" s="20" t="s">
        <v>81</v>
      </c>
      <c r="I18">
        <v>46</v>
      </c>
      <c r="J18">
        <v>51</v>
      </c>
      <c r="K18">
        <v>54</v>
      </c>
      <c r="L18">
        <v>57.5</v>
      </c>
      <c r="M18">
        <v>55</v>
      </c>
      <c r="N18" s="17">
        <f t="shared" si="1"/>
        <v>43.916666666666664</v>
      </c>
      <c r="O18" s="17">
        <f t="shared" si="2"/>
        <v>111.54833333333333</v>
      </c>
    </row>
    <row r="19" spans="1:15" x14ac:dyDescent="0.3">
      <c r="A19" s="20" t="s">
        <v>82</v>
      </c>
      <c r="B19" t="s">
        <v>76</v>
      </c>
      <c r="C19">
        <v>366</v>
      </c>
      <c r="D19">
        <v>6.38</v>
      </c>
      <c r="E19">
        <v>3.5</v>
      </c>
      <c r="F19">
        <f t="shared" si="0"/>
        <v>2.88</v>
      </c>
      <c r="H19" s="20" t="s">
        <v>82</v>
      </c>
      <c r="I19">
        <v>46.5</v>
      </c>
      <c r="J19">
        <v>52</v>
      </c>
      <c r="K19">
        <v>48.5</v>
      </c>
      <c r="L19">
        <v>49</v>
      </c>
      <c r="M19">
        <v>50</v>
      </c>
      <c r="N19" s="17">
        <f t="shared" si="1"/>
        <v>41</v>
      </c>
      <c r="O19" s="17">
        <f t="shared" si="2"/>
        <v>104.14</v>
      </c>
    </row>
    <row r="20" spans="1:15" x14ac:dyDescent="0.3">
      <c r="A20" s="18" t="s">
        <v>83</v>
      </c>
      <c r="B20" t="s">
        <v>177</v>
      </c>
      <c r="C20">
        <v>294</v>
      </c>
      <c r="D20">
        <v>6.58</v>
      </c>
      <c r="E20">
        <v>3.5</v>
      </c>
      <c r="F20">
        <f t="shared" si="0"/>
        <v>3.08</v>
      </c>
      <c r="H20" s="18" t="s">
        <v>83</v>
      </c>
      <c r="I20">
        <v>49</v>
      </c>
      <c r="J20">
        <v>42.5</v>
      </c>
      <c r="K20">
        <v>44</v>
      </c>
      <c r="L20">
        <v>46</v>
      </c>
      <c r="M20">
        <v>48.5</v>
      </c>
      <c r="N20" s="17">
        <f t="shared" si="1"/>
        <v>38.333333333333336</v>
      </c>
      <c r="O20" s="17">
        <f>N20*2.54</f>
        <v>97.366666666666674</v>
      </c>
    </row>
    <row r="21" spans="1:15" x14ac:dyDescent="0.3">
      <c r="A21" s="18" t="s">
        <v>84</v>
      </c>
      <c r="B21" t="s">
        <v>183</v>
      </c>
      <c r="C21">
        <v>154</v>
      </c>
      <c r="D21">
        <v>7.18</v>
      </c>
      <c r="E21">
        <v>3.5</v>
      </c>
      <c r="F21">
        <f t="shared" si="0"/>
        <v>3.6799999999999997</v>
      </c>
      <c r="H21" s="18" t="s">
        <v>84</v>
      </c>
      <c r="I21">
        <v>51</v>
      </c>
      <c r="J21">
        <v>54.5</v>
      </c>
      <c r="K21">
        <v>49</v>
      </c>
      <c r="L21">
        <v>52</v>
      </c>
      <c r="M21">
        <v>53.5</v>
      </c>
      <c r="N21" s="17">
        <f t="shared" si="1"/>
        <v>43.333333333333336</v>
      </c>
      <c r="O21" s="17">
        <f t="shared" ref="O21:O73" si="3">N21*2.54</f>
        <v>110.06666666666668</v>
      </c>
    </row>
    <row r="22" spans="1:15" x14ac:dyDescent="0.3">
      <c r="A22" s="18" t="s">
        <v>85</v>
      </c>
      <c r="B22" t="s">
        <v>70</v>
      </c>
      <c r="C22">
        <v>139</v>
      </c>
      <c r="D22">
        <v>5.52</v>
      </c>
      <c r="E22">
        <v>3.5</v>
      </c>
      <c r="F22">
        <f t="shared" si="0"/>
        <v>2.0199999999999996</v>
      </c>
      <c r="H22" s="18" t="s">
        <v>85</v>
      </c>
      <c r="I22">
        <v>35</v>
      </c>
      <c r="J22">
        <v>39</v>
      </c>
      <c r="K22">
        <v>37.5</v>
      </c>
      <c r="L22">
        <v>32</v>
      </c>
      <c r="M22">
        <v>45.5</v>
      </c>
      <c r="N22" s="17">
        <f t="shared" si="1"/>
        <v>31.5</v>
      </c>
      <c r="O22" s="17">
        <f t="shared" si="3"/>
        <v>80.010000000000005</v>
      </c>
    </row>
    <row r="23" spans="1:15" x14ac:dyDescent="0.3">
      <c r="A23" s="18" t="s">
        <v>86</v>
      </c>
      <c r="B23" t="s">
        <v>5</v>
      </c>
      <c r="C23">
        <v>115</v>
      </c>
      <c r="D23">
        <v>7.3</v>
      </c>
      <c r="E23">
        <v>3.5</v>
      </c>
      <c r="F23">
        <f t="shared" si="0"/>
        <v>3.8</v>
      </c>
      <c r="H23" s="18" t="s">
        <v>86</v>
      </c>
      <c r="I23">
        <v>79</v>
      </c>
      <c r="J23">
        <v>76.5</v>
      </c>
      <c r="K23">
        <v>74</v>
      </c>
      <c r="L23">
        <v>77</v>
      </c>
      <c r="M23">
        <v>80.5</v>
      </c>
      <c r="N23" s="17">
        <f t="shared" si="1"/>
        <v>64.5</v>
      </c>
      <c r="O23" s="17">
        <f t="shared" si="3"/>
        <v>163.83000000000001</v>
      </c>
    </row>
    <row r="24" spans="1:15" x14ac:dyDescent="0.3">
      <c r="A24" s="18" t="s">
        <v>87</v>
      </c>
      <c r="B24" t="s">
        <v>67</v>
      </c>
      <c r="C24">
        <v>154</v>
      </c>
      <c r="D24">
        <v>5.78</v>
      </c>
      <c r="E24">
        <v>3.5</v>
      </c>
      <c r="F24">
        <f t="shared" si="0"/>
        <v>2.2800000000000002</v>
      </c>
      <c r="H24" s="18" t="s">
        <v>87</v>
      </c>
      <c r="I24">
        <v>42</v>
      </c>
      <c r="J24">
        <v>47.5</v>
      </c>
      <c r="K24">
        <v>50</v>
      </c>
      <c r="L24">
        <v>44</v>
      </c>
      <c r="M24">
        <v>43</v>
      </c>
      <c r="N24" s="17">
        <f t="shared" si="1"/>
        <v>37.75</v>
      </c>
      <c r="O24" s="17">
        <f t="shared" si="3"/>
        <v>95.885000000000005</v>
      </c>
    </row>
    <row r="25" spans="1:15" x14ac:dyDescent="0.3">
      <c r="A25" s="18" t="s">
        <v>88</v>
      </c>
      <c r="B25" t="s">
        <v>180</v>
      </c>
      <c r="C25">
        <v>189</v>
      </c>
      <c r="D25">
        <v>6.98</v>
      </c>
      <c r="E25">
        <v>3.5</v>
      </c>
      <c r="F25">
        <f t="shared" si="0"/>
        <v>3.4800000000000004</v>
      </c>
      <c r="H25" s="18" t="s">
        <v>88</v>
      </c>
      <c r="I25">
        <v>55</v>
      </c>
      <c r="J25">
        <v>58</v>
      </c>
      <c r="K25">
        <v>53.5</v>
      </c>
      <c r="L25">
        <v>54</v>
      </c>
      <c r="M25">
        <v>51.5</v>
      </c>
      <c r="N25" s="17">
        <f t="shared" si="1"/>
        <v>45.333333333333336</v>
      </c>
      <c r="O25" s="17">
        <f t="shared" si="3"/>
        <v>115.14666666666668</v>
      </c>
    </row>
    <row r="26" spans="1:15" x14ac:dyDescent="0.3">
      <c r="A26" s="18" t="s">
        <v>89</v>
      </c>
      <c r="B26" t="s">
        <v>152</v>
      </c>
      <c r="C26">
        <v>293</v>
      </c>
      <c r="D26">
        <v>6.28</v>
      </c>
      <c r="E26">
        <v>3.5</v>
      </c>
      <c r="F26">
        <f t="shared" si="0"/>
        <v>2.7800000000000002</v>
      </c>
      <c r="H26" s="18" t="s">
        <v>89</v>
      </c>
      <c r="I26">
        <v>47</v>
      </c>
      <c r="J26">
        <v>51</v>
      </c>
      <c r="K26">
        <v>52.5</v>
      </c>
      <c r="L26">
        <v>49.5</v>
      </c>
      <c r="M26">
        <v>48</v>
      </c>
      <c r="N26" s="17">
        <f t="shared" si="1"/>
        <v>41.333333333333336</v>
      </c>
      <c r="O26" s="17">
        <f t="shared" si="3"/>
        <v>104.98666666666668</v>
      </c>
    </row>
    <row r="27" spans="1:15" x14ac:dyDescent="0.3">
      <c r="A27" s="18" t="s">
        <v>90</v>
      </c>
      <c r="B27" t="s">
        <v>181</v>
      </c>
      <c r="C27">
        <v>136</v>
      </c>
      <c r="D27">
        <v>5.88</v>
      </c>
      <c r="E27">
        <v>3.5</v>
      </c>
      <c r="F27">
        <f t="shared" si="0"/>
        <v>2.38</v>
      </c>
      <c r="H27" s="18" t="s">
        <v>90</v>
      </c>
      <c r="I27">
        <v>45</v>
      </c>
      <c r="J27">
        <v>47.5</v>
      </c>
      <c r="K27">
        <v>50</v>
      </c>
      <c r="L27">
        <v>50.5</v>
      </c>
      <c r="M27">
        <v>48</v>
      </c>
      <c r="N27" s="17">
        <f t="shared" si="1"/>
        <v>40.166666666666664</v>
      </c>
      <c r="O27" s="17">
        <f t="shared" si="3"/>
        <v>102.02333333333333</v>
      </c>
    </row>
    <row r="28" spans="1:15" x14ac:dyDescent="0.3">
      <c r="A28" s="18" t="s">
        <v>91</v>
      </c>
      <c r="B28" t="s">
        <v>179</v>
      </c>
      <c r="C28">
        <v>214</v>
      </c>
      <c r="D28">
        <v>6.74</v>
      </c>
      <c r="E28">
        <v>3.5</v>
      </c>
      <c r="F28">
        <f t="shared" si="0"/>
        <v>3.24</v>
      </c>
      <c r="H28" s="18" t="s">
        <v>91</v>
      </c>
      <c r="I28">
        <v>49</v>
      </c>
      <c r="J28">
        <v>48.5</v>
      </c>
      <c r="K28">
        <v>46</v>
      </c>
      <c r="L28">
        <v>53</v>
      </c>
      <c r="M28">
        <v>52.5</v>
      </c>
      <c r="N28" s="17">
        <f t="shared" si="1"/>
        <v>41.5</v>
      </c>
      <c r="O28" s="17">
        <f t="shared" si="3"/>
        <v>105.41</v>
      </c>
    </row>
    <row r="29" spans="1:15" x14ac:dyDescent="0.3">
      <c r="A29" s="18" t="s">
        <v>92</v>
      </c>
      <c r="B29" t="s">
        <v>176</v>
      </c>
      <c r="C29">
        <v>49</v>
      </c>
      <c r="D29">
        <v>4.0999999999999996</v>
      </c>
      <c r="E29">
        <v>3.5</v>
      </c>
      <c r="F29">
        <f t="shared" si="0"/>
        <v>0.59999999999999964</v>
      </c>
      <c r="H29" s="18" t="s">
        <v>92</v>
      </c>
      <c r="I29">
        <v>44</v>
      </c>
      <c r="J29">
        <v>39.5</v>
      </c>
      <c r="K29">
        <v>42</v>
      </c>
      <c r="L29">
        <v>40.5</v>
      </c>
      <c r="M29">
        <v>41</v>
      </c>
      <c r="N29" s="17">
        <f t="shared" si="1"/>
        <v>34.5</v>
      </c>
      <c r="O29" s="17">
        <f t="shared" si="3"/>
        <v>87.63</v>
      </c>
    </row>
    <row r="30" spans="1:15" x14ac:dyDescent="0.3">
      <c r="A30" s="18" t="s">
        <v>93</v>
      </c>
      <c r="B30" t="s">
        <v>76</v>
      </c>
      <c r="C30">
        <v>406</v>
      </c>
      <c r="D30">
        <v>5.8</v>
      </c>
      <c r="E30">
        <v>3.5</v>
      </c>
      <c r="F30">
        <f t="shared" si="0"/>
        <v>2.2999999999999998</v>
      </c>
      <c r="H30" s="18" t="s">
        <v>93</v>
      </c>
      <c r="I30">
        <v>50.5</v>
      </c>
      <c r="J30">
        <v>52</v>
      </c>
      <c r="K30">
        <v>49</v>
      </c>
      <c r="L30">
        <v>51</v>
      </c>
      <c r="M30">
        <v>47.5</v>
      </c>
      <c r="N30" s="17">
        <f t="shared" si="1"/>
        <v>41.666666666666664</v>
      </c>
      <c r="O30" s="17">
        <f t="shared" si="3"/>
        <v>105.83333333333333</v>
      </c>
    </row>
    <row r="31" spans="1:15" x14ac:dyDescent="0.3">
      <c r="A31" s="18" t="s">
        <v>94</v>
      </c>
      <c r="B31" t="s">
        <v>175</v>
      </c>
      <c r="C31">
        <v>155</v>
      </c>
      <c r="D31">
        <v>4.9000000000000004</v>
      </c>
      <c r="E31">
        <v>3.5</v>
      </c>
      <c r="F31">
        <f t="shared" si="0"/>
        <v>1.4000000000000004</v>
      </c>
      <c r="H31" s="18" t="s">
        <v>171</v>
      </c>
      <c r="I31">
        <v>46</v>
      </c>
      <c r="J31">
        <v>42.5</v>
      </c>
      <c r="K31">
        <v>40</v>
      </c>
      <c r="L31">
        <v>44.5</v>
      </c>
      <c r="M31">
        <v>41</v>
      </c>
      <c r="N31" s="17">
        <f t="shared" si="1"/>
        <v>35.666666666666664</v>
      </c>
      <c r="O31" s="17">
        <f t="shared" si="3"/>
        <v>90.593333333333334</v>
      </c>
    </row>
    <row r="32" spans="1:15" x14ac:dyDescent="0.3">
      <c r="A32" s="18" t="s">
        <v>95</v>
      </c>
      <c r="B32" t="s">
        <v>71</v>
      </c>
      <c r="C32">
        <v>114</v>
      </c>
      <c r="D32">
        <v>4.4000000000000004</v>
      </c>
      <c r="E32">
        <v>3.5</v>
      </c>
      <c r="F32">
        <f t="shared" si="0"/>
        <v>0.90000000000000036</v>
      </c>
      <c r="H32" s="18" t="s">
        <v>95</v>
      </c>
      <c r="I32">
        <v>34</v>
      </c>
      <c r="J32">
        <v>31</v>
      </c>
      <c r="K32">
        <v>30.5</v>
      </c>
      <c r="L32">
        <v>33</v>
      </c>
      <c r="M32">
        <v>30</v>
      </c>
      <c r="N32" s="17">
        <f t="shared" si="1"/>
        <v>26.416666666666668</v>
      </c>
      <c r="O32" s="17">
        <f t="shared" si="3"/>
        <v>67.098333333333343</v>
      </c>
    </row>
    <row r="33" spans="1:15" x14ac:dyDescent="0.3">
      <c r="A33" s="18" t="s">
        <v>96</v>
      </c>
      <c r="B33" t="s">
        <v>178</v>
      </c>
      <c r="C33">
        <v>179</v>
      </c>
      <c r="D33">
        <v>6.73</v>
      </c>
      <c r="E33">
        <v>3.5</v>
      </c>
      <c r="F33">
        <f t="shared" si="0"/>
        <v>3.2300000000000004</v>
      </c>
      <c r="H33" s="18" t="s">
        <v>96</v>
      </c>
      <c r="I33">
        <v>40.5</v>
      </c>
      <c r="J33">
        <v>50</v>
      </c>
      <c r="K33">
        <v>42</v>
      </c>
      <c r="L33">
        <v>41</v>
      </c>
      <c r="M33">
        <v>43.5</v>
      </c>
      <c r="N33" s="17">
        <f t="shared" si="1"/>
        <v>36.166666666666664</v>
      </c>
      <c r="O33" s="17">
        <f t="shared" si="3"/>
        <v>91.86333333333333</v>
      </c>
    </row>
    <row r="34" spans="1:15" x14ac:dyDescent="0.3">
      <c r="A34" s="18" t="s">
        <v>97</v>
      </c>
      <c r="B34" t="s">
        <v>153</v>
      </c>
      <c r="C34">
        <v>189</v>
      </c>
      <c r="D34">
        <v>5.92</v>
      </c>
      <c r="E34">
        <v>3.5</v>
      </c>
      <c r="F34">
        <f t="shared" si="0"/>
        <v>2.42</v>
      </c>
      <c r="H34" s="18" t="s">
        <v>97</v>
      </c>
      <c r="I34">
        <v>69.5</v>
      </c>
      <c r="J34">
        <v>66</v>
      </c>
      <c r="K34">
        <v>64</v>
      </c>
      <c r="L34">
        <v>62.5</v>
      </c>
      <c r="M34">
        <v>66</v>
      </c>
      <c r="N34" s="17">
        <f t="shared" si="1"/>
        <v>54.666666666666664</v>
      </c>
      <c r="O34" s="17">
        <f t="shared" si="3"/>
        <v>138.85333333333332</v>
      </c>
    </row>
    <row r="35" spans="1:15" x14ac:dyDescent="0.3">
      <c r="A35" s="18" t="s">
        <v>98</v>
      </c>
      <c r="B35" t="s">
        <v>184</v>
      </c>
      <c r="C35">
        <v>410</v>
      </c>
      <c r="D35">
        <v>6.52</v>
      </c>
      <c r="E35">
        <v>3.5</v>
      </c>
      <c r="F35">
        <f t="shared" si="0"/>
        <v>3.0199999999999996</v>
      </c>
      <c r="H35" s="18" t="s">
        <v>98</v>
      </c>
      <c r="I35">
        <v>47</v>
      </c>
      <c r="J35">
        <v>49.5</v>
      </c>
      <c r="K35">
        <v>58</v>
      </c>
      <c r="L35">
        <v>55</v>
      </c>
      <c r="M35">
        <v>56</v>
      </c>
      <c r="N35" s="17">
        <f t="shared" si="1"/>
        <v>44.25</v>
      </c>
      <c r="O35" s="17">
        <f t="shared" si="3"/>
        <v>112.395</v>
      </c>
    </row>
    <row r="36" spans="1:15" x14ac:dyDescent="0.3">
      <c r="A36" s="18" t="s">
        <v>99</v>
      </c>
      <c r="B36" t="s">
        <v>6</v>
      </c>
      <c r="C36">
        <v>227</v>
      </c>
      <c r="D36">
        <v>7.48</v>
      </c>
      <c r="E36">
        <v>3.5</v>
      </c>
      <c r="F36">
        <f t="shared" si="0"/>
        <v>3.9800000000000004</v>
      </c>
      <c r="H36" s="18" t="s">
        <v>99</v>
      </c>
      <c r="I36">
        <v>53.5</v>
      </c>
      <c r="J36">
        <v>58</v>
      </c>
      <c r="K36">
        <v>59</v>
      </c>
      <c r="L36">
        <v>57.5</v>
      </c>
      <c r="M36">
        <v>56</v>
      </c>
      <c r="N36" s="17">
        <f t="shared" si="1"/>
        <v>47.333333333333336</v>
      </c>
      <c r="O36" s="17">
        <f t="shared" si="3"/>
        <v>120.22666666666667</v>
      </c>
    </row>
    <row r="37" spans="1:15" x14ac:dyDescent="0.3">
      <c r="A37" s="18" t="s">
        <v>100</v>
      </c>
      <c r="B37" t="s">
        <v>182</v>
      </c>
      <c r="C37">
        <v>127</v>
      </c>
      <c r="D37">
        <v>6.12</v>
      </c>
      <c r="E37">
        <v>3.5</v>
      </c>
      <c r="F37">
        <f t="shared" si="0"/>
        <v>2.62</v>
      </c>
      <c r="H37" s="18" t="s">
        <v>100</v>
      </c>
      <c r="I37">
        <v>46.5</v>
      </c>
      <c r="J37">
        <v>51</v>
      </c>
      <c r="K37">
        <v>50.5</v>
      </c>
      <c r="L37">
        <v>48</v>
      </c>
      <c r="M37">
        <v>44.5</v>
      </c>
      <c r="N37" s="17">
        <f t="shared" si="1"/>
        <v>40.083333333333336</v>
      </c>
      <c r="O37" s="17">
        <f t="shared" si="3"/>
        <v>101.81166666666667</v>
      </c>
    </row>
    <row r="38" spans="1:15" x14ac:dyDescent="0.3">
      <c r="A38" s="27" t="s">
        <v>101</v>
      </c>
      <c r="B38" t="s">
        <v>181</v>
      </c>
      <c r="C38">
        <v>125</v>
      </c>
      <c r="D38">
        <v>5.36</v>
      </c>
      <c r="E38">
        <v>3.5</v>
      </c>
      <c r="F38">
        <f t="shared" si="0"/>
        <v>1.8600000000000003</v>
      </c>
      <c r="H38" s="27" t="s">
        <v>101</v>
      </c>
      <c r="I38">
        <v>45.5</v>
      </c>
      <c r="J38">
        <v>50</v>
      </c>
      <c r="K38">
        <v>40</v>
      </c>
      <c r="L38">
        <v>47.5</v>
      </c>
      <c r="M38">
        <v>51</v>
      </c>
      <c r="N38" s="17">
        <f t="shared" si="1"/>
        <v>39</v>
      </c>
      <c r="O38" s="17">
        <f t="shared" si="3"/>
        <v>99.06</v>
      </c>
    </row>
    <row r="39" spans="1:15" x14ac:dyDescent="0.3">
      <c r="A39" s="27" t="s">
        <v>102</v>
      </c>
      <c r="B39" t="s">
        <v>71</v>
      </c>
      <c r="C39">
        <v>148</v>
      </c>
      <c r="D39">
        <v>4.32</v>
      </c>
      <c r="E39">
        <v>3.5</v>
      </c>
      <c r="F39">
        <f t="shared" si="0"/>
        <v>0.82000000000000028</v>
      </c>
      <c r="H39" s="27" t="s">
        <v>102</v>
      </c>
      <c r="I39">
        <v>32</v>
      </c>
      <c r="J39">
        <v>35.5</v>
      </c>
      <c r="K39">
        <v>29.5</v>
      </c>
      <c r="L39">
        <v>36</v>
      </c>
      <c r="M39">
        <v>33</v>
      </c>
      <c r="N39" s="17">
        <f t="shared" si="1"/>
        <v>27.666666666666668</v>
      </c>
      <c r="O39" s="17">
        <f t="shared" si="3"/>
        <v>70.273333333333341</v>
      </c>
    </row>
    <row r="40" spans="1:15" x14ac:dyDescent="0.3">
      <c r="A40" s="27" t="s">
        <v>103</v>
      </c>
      <c r="B40" t="s">
        <v>153</v>
      </c>
      <c r="C40">
        <v>251</v>
      </c>
      <c r="D40">
        <v>5.78</v>
      </c>
      <c r="E40">
        <v>3.5</v>
      </c>
      <c r="F40">
        <f t="shared" si="0"/>
        <v>2.2800000000000002</v>
      </c>
      <c r="H40" s="27" t="s">
        <v>103</v>
      </c>
      <c r="I40">
        <v>69</v>
      </c>
      <c r="J40">
        <v>64.5</v>
      </c>
      <c r="K40">
        <v>67</v>
      </c>
      <c r="L40">
        <v>68</v>
      </c>
      <c r="M40">
        <v>62</v>
      </c>
      <c r="N40" s="17">
        <f t="shared" si="1"/>
        <v>55.083333333333336</v>
      </c>
      <c r="O40" s="17">
        <f t="shared" si="3"/>
        <v>139.91166666666666</v>
      </c>
    </row>
    <row r="41" spans="1:15" x14ac:dyDescent="0.3">
      <c r="A41" s="27" t="s">
        <v>104</v>
      </c>
      <c r="B41" t="s">
        <v>183</v>
      </c>
      <c r="C41">
        <v>194</v>
      </c>
      <c r="D41">
        <v>6</v>
      </c>
      <c r="E41">
        <v>3.5</v>
      </c>
      <c r="F41">
        <f t="shared" si="0"/>
        <v>2.5</v>
      </c>
      <c r="H41" s="27" t="s">
        <v>104</v>
      </c>
      <c r="I41">
        <v>50</v>
      </c>
      <c r="J41">
        <v>56</v>
      </c>
      <c r="K41">
        <v>53.5</v>
      </c>
      <c r="L41">
        <v>51</v>
      </c>
      <c r="M41">
        <v>49</v>
      </c>
      <c r="N41" s="17">
        <f t="shared" si="1"/>
        <v>43.25</v>
      </c>
      <c r="O41" s="17">
        <f t="shared" si="3"/>
        <v>109.855</v>
      </c>
    </row>
    <row r="42" spans="1:15" x14ac:dyDescent="0.3">
      <c r="A42" s="27" t="s">
        <v>105</v>
      </c>
      <c r="B42" t="s">
        <v>175</v>
      </c>
      <c r="C42">
        <v>160</v>
      </c>
      <c r="D42">
        <v>4.6399999999999997</v>
      </c>
      <c r="E42">
        <v>3.5</v>
      </c>
      <c r="F42">
        <f t="shared" si="0"/>
        <v>1.1399999999999997</v>
      </c>
      <c r="H42" s="27" t="s">
        <v>105</v>
      </c>
      <c r="I42">
        <v>35.5</v>
      </c>
      <c r="J42">
        <v>38</v>
      </c>
      <c r="K42">
        <v>41</v>
      </c>
      <c r="L42">
        <v>43</v>
      </c>
      <c r="M42">
        <v>39</v>
      </c>
      <c r="N42" s="17">
        <f t="shared" si="1"/>
        <v>32.75</v>
      </c>
      <c r="O42" s="17">
        <f t="shared" si="3"/>
        <v>83.185000000000002</v>
      </c>
    </row>
    <row r="43" spans="1:15" x14ac:dyDescent="0.3">
      <c r="A43" s="27" t="s">
        <v>106</v>
      </c>
      <c r="B43" t="s">
        <v>176</v>
      </c>
      <c r="C43">
        <v>50</v>
      </c>
      <c r="D43">
        <v>4.5</v>
      </c>
      <c r="E43">
        <v>3.5</v>
      </c>
      <c r="F43">
        <f t="shared" si="0"/>
        <v>1</v>
      </c>
      <c r="H43" s="27" t="s">
        <v>106</v>
      </c>
      <c r="I43">
        <v>43</v>
      </c>
      <c r="J43">
        <v>37.5</v>
      </c>
      <c r="K43">
        <v>39</v>
      </c>
      <c r="L43">
        <v>41.5</v>
      </c>
      <c r="M43">
        <v>38</v>
      </c>
      <c r="N43" s="17">
        <f t="shared" si="1"/>
        <v>33.166666666666664</v>
      </c>
      <c r="O43" s="17">
        <f t="shared" si="3"/>
        <v>84.243333333333325</v>
      </c>
    </row>
    <row r="44" spans="1:15" x14ac:dyDescent="0.3">
      <c r="A44" s="27" t="s">
        <v>107</v>
      </c>
      <c r="B44" t="s">
        <v>67</v>
      </c>
      <c r="C44">
        <v>91</v>
      </c>
      <c r="D44">
        <v>4.8600000000000003</v>
      </c>
      <c r="E44">
        <v>3.5</v>
      </c>
      <c r="F44">
        <f t="shared" si="0"/>
        <v>1.3600000000000003</v>
      </c>
      <c r="H44" s="27" t="s">
        <v>107</v>
      </c>
      <c r="I44">
        <v>48</v>
      </c>
      <c r="J44">
        <v>44.5</v>
      </c>
      <c r="K44">
        <v>49</v>
      </c>
      <c r="L44">
        <v>41</v>
      </c>
      <c r="M44">
        <v>43</v>
      </c>
      <c r="N44" s="17">
        <f t="shared" si="1"/>
        <v>37.583333333333336</v>
      </c>
      <c r="O44" s="17">
        <f t="shared" si="3"/>
        <v>95.461666666666673</v>
      </c>
    </row>
    <row r="45" spans="1:15" x14ac:dyDescent="0.3">
      <c r="A45" s="27" t="s">
        <v>108</v>
      </c>
      <c r="B45" t="s">
        <v>70</v>
      </c>
      <c r="C45">
        <v>115</v>
      </c>
      <c r="D45">
        <v>5.62</v>
      </c>
      <c r="E45">
        <v>3.5</v>
      </c>
      <c r="F45">
        <f t="shared" si="0"/>
        <v>2.12</v>
      </c>
      <c r="H45" s="27" t="s">
        <v>108</v>
      </c>
      <c r="I45">
        <v>35</v>
      </c>
      <c r="J45">
        <v>38.5</v>
      </c>
      <c r="K45">
        <v>43</v>
      </c>
      <c r="L45">
        <v>46</v>
      </c>
      <c r="M45">
        <v>41.5</v>
      </c>
      <c r="N45" s="17">
        <f t="shared" si="1"/>
        <v>34</v>
      </c>
      <c r="O45" s="17">
        <f t="shared" si="3"/>
        <v>86.36</v>
      </c>
    </row>
    <row r="46" spans="1:15" x14ac:dyDescent="0.3">
      <c r="A46" s="27" t="s">
        <v>109</v>
      </c>
      <c r="B46" t="s">
        <v>152</v>
      </c>
      <c r="C46">
        <v>309</v>
      </c>
      <c r="D46">
        <v>6.56</v>
      </c>
      <c r="E46">
        <v>3.5</v>
      </c>
      <c r="F46">
        <f t="shared" si="0"/>
        <v>3.0599999999999996</v>
      </c>
      <c r="H46" s="27" t="s">
        <v>109</v>
      </c>
      <c r="I46">
        <v>47</v>
      </c>
      <c r="J46">
        <v>48.5</v>
      </c>
      <c r="K46">
        <v>51</v>
      </c>
      <c r="L46">
        <v>54</v>
      </c>
      <c r="M46">
        <v>53</v>
      </c>
      <c r="N46" s="17">
        <f t="shared" si="1"/>
        <v>42.25</v>
      </c>
      <c r="O46" s="17">
        <f t="shared" si="3"/>
        <v>107.315</v>
      </c>
    </row>
    <row r="47" spans="1:15" x14ac:dyDescent="0.3">
      <c r="A47" s="27" t="s">
        <v>137</v>
      </c>
      <c r="B47" t="s">
        <v>6</v>
      </c>
      <c r="C47">
        <v>400</v>
      </c>
      <c r="D47">
        <v>6.71</v>
      </c>
      <c r="E47">
        <v>3.5</v>
      </c>
      <c r="F47">
        <f t="shared" si="0"/>
        <v>3.21</v>
      </c>
      <c r="H47" s="27" t="s">
        <v>137</v>
      </c>
      <c r="I47">
        <v>54.5</v>
      </c>
      <c r="J47">
        <v>59</v>
      </c>
      <c r="K47">
        <v>57</v>
      </c>
      <c r="L47">
        <v>53</v>
      </c>
      <c r="M47">
        <v>55</v>
      </c>
      <c r="N47" s="17">
        <f t="shared" si="1"/>
        <v>46.416666666666664</v>
      </c>
      <c r="O47" s="17">
        <f t="shared" si="3"/>
        <v>117.89833333333333</v>
      </c>
    </row>
    <row r="48" spans="1:15" x14ac:dyDescent="0.3">
      <c r="A48" s="27" t="s">
        <v>110</v>
      </c>
      <c r="B48" t="s">
        <v>76</v>
      </c>
      <c r="C48">
        <v>310</v>
      </c>
      <c r="D48">
        <v>5.52</v>
      </c>
      <c r="E48">
        <v>3.5</v>
      </c>
      <c r="F48">
        <f t="shared" si="0"/>
        <v>2.0199999999999996</v>
      </c>
      <c r="H48" s="27" t="s">
        <v>110</v>
      </c>
      <c r="I48">
        <v>53</v>
      </c>
      <c r="J48">
        <v>48</v>
      </c>
      <c r="K48">
        <v>50</v>
      </c>
      <c r="L48">
        <v>51.5</v>
      </c>
      <c r="M48">
        <v>47</v>
      </c>
      <c r="N48" s="17">
        <f t="shared" si="1"/>
        <v>41.583333333333336</v>
      </c>
      <c r="O48" s="17">
        <f t="shared" si="3"/>
        <v>105.62166666666667</v>
      </c>
    </row>
    <row r="49" spans="1:15" x14ac:dyDescent="0.3">
      <c r="A49" s="27" t="s">
        <v>111</v>
      </c>
      <c r="B49" t="s">
        <v>182</v>
      </c>
      <c r="C49">
        <v>223</v>
      </c>
      <c r="D49">
        <v>5.66</v>
      </c>
      <c r="E49">
        <v>3.5</v>
      </c>
      <c r="F49">
        <f t="shared" si="0"/>
        <v>2.16</v>
      </c>
      <c r="H49" s="27" t="s">
        <v>111</v>
      </c>
      <c r="I49">
        <v>44</v>
      </c>
      <c r="J49">
        <v>50</v>
      </c>
      <c r="K49">
        <v>47</v>
      </c>
      <c r="L49">
        <v>49</v>
      </c>
      <c r="M49">
        <v>44</v>
      </c>
      <c r="N49" s="17">
        <f t="shared" si="1"/>
        <v>39</v>
      </c>
      <c r="O49" s="17">
        <f t="shared" si="3"/>
        <v>99.06</v>
      </c>
    </row>
    <row r="50" spans="1:15" x14ac:dyDescent="0.3">
      <c r="A50" s="27" t="s">
        <v>112</v>
      </c>
      <c r="B50" t="s">
        <v>184</v>
      </c>
      <c r="C50">
        <v>192</v>
      </c>
      <c r="D50">
        <v>5.56</v>
      </c>
      <c r="E50">
        <v>3.5</v>
      </c>
      <c r="F50">
        <f t="shared" si="0"/>
        <v>2.0599999999999996</v>
      </c>
      <c r="H50" s="27" t="s">
        <v>112</v>
      </c>
      <c r="I50">
        <v>46</v>
      </c>
      <c r="J50">
        <v>57</v>
      </c>
      <c r="K50">
        <v>53</v>
      </c>
      <c r="L50">
        <v>52.5</v>
      </c>
      <c r="M50">
        <v>50</v>
      </c>
      <c r="N50" s="17">
        <f t="shared" si="1"/>
        <v>43.083333333333336</v>
      </c>
      <c r="O50" s="17">
        <f t="shared" si="3"/>
        <v>109.43166666666667</v>
      </c>
    </row>
    <row r="51" spans="1:15" x14ac:dyDescent="0.3">
      <c r="A51" s="27" t="s">
        <v>113</v>
      </c>
      <c r="B51" t="s">
        <v>179</v>
      </c>
      <c r="C51">
        <v>230</v>
      </c>
      <c r="D51">
        <v>5.6</v>
      </c>
      <c r="E51">
        <v>3.5</v>
      </c>
      <c r="F51">
        <f t="shared" si="0"/>
        <v>2.0999999999999996</v>
      </c>
      <c r="H51" s="27" t="s">
        <v>113</v>
      </c>
      <c r="I51">
        <v>55</v>
      </c>
      <c r="J51">
        <v>47.5</v>
      </c>
      <c r="K51">
        <v>49</v>
      </c>
      <c r="L51">
        <v>53</v>
      </c>
      <c r="M51">
        <v>50</v>
      </c>
      <c r="N51" s="17">
        <f t="shared" si="1"/>
        <v>42.416666666666664</v>
      </c>
      <c r="O51" s="17">
        <f t="shared" si="3"/>
        <v>107.73833333333333</v>
      </c>
    </row>
    <row r="52" spans="1:15" x14ac:dyDescent="0.3">
      <c r="A52" s="27" t="s">
        <v>114</v>
      </c>
      <c r="B52" t="s">
        <v>5</v>
      </c>
      <c r="C52">
        <v>230</v>
      </c>
      <c r="D52">
        <v>6.3</v>
      </c>
      <c r="E52">
        <v>3.5</v>
      </c>
      <c r="F52">
        <f t="shared" si="0"/>
        <v>2.8</v>
      </c>
      <c r="H52" s="27" t="s">
        <v>114</v>
      </c>
      <c r="I52">
        <v>81</v>
      </c>
      <c r="J52">
        <v>74.5</v>
      </c>
      <c r="K52">
        <v>83</v>
      </c>
      <c r="L52">
        <v>76</v>
      </c>
      <c r="M52">
        <v>79.5</v>
      </c>
      <c r="N52" s="17">
        <f t="shared" si="1"/>
        <v>65.666666666666671</v>
      </c>
      <c r="O52" s="17">
        <f t="shared" si="3"/>
        <v>166.79333333333335</v>
      </c>
    </row>
    <row r="53" spans="1:15" x14ac:dyDescent="0.3">
      <c r="A53" s="27" t="s">
        <v>115</v>
      </c>
      <c r="B53" t="s">
        <v>177</v>
      </c>
      <c r="C53">
        <v>305</v>
      </c>
      <c r="D53">
        <v>6.26</v>
      </c>
      <c r="E53">
        <v>3.5</v>
      </c>
      <c r="F53">
        <f t="shared" si="0"/>
        <v>2.76</v>
      </c>
      <c r="H53" s="27" t="s">
        <v>115</v>
      </c>
      <c r="I53">
        <v>49</v>
      </c>
      <c r="J53">
        <v>42.5</v>
      </c>
      <c r="K53">
        <v>43</v>
      </c>
      <c r="L53">
        <v>48</v>
      </c>
      <c r="M53">
        <v>47</v>
      </c>
      <c r="N53" s="17">
        <f t="shared" si="1"/>
        <v>38.25</v>
      </c>
      <c r="O53" s="17">
        <f t="shared" si="3"/>
        <v>97.155000000000001</v>
      </c>
    </row>
    <row r="54" spans="1:15" x14ac:dyDescent="0.3">
      <c r="A54" s="27" t="s">
        <v>116</v>
      </c>
      <c r="B54" t="s">
        <v>178</v>
      </c>
      <c r="C54">
        <v>176</v>
      </c>
      <c r="D54">
        <v>5.4</v>
      </c>
      <c r="E54">
        <v>3.5</v>
      </c>
      <c r="F54">
        <f t="shared" si="0"/>
        <v>1.9000000000000004</v>
      </c>
      <c r="H54" s="27" t="s">
        <v>116</v>
      </c>
      <c r="I54">
        <v>39</v>
      </c>
      <c r="J54">
        <v>48</v>
      </c>
      <c r="K54">
        <v>44.5</v>
      </c>
      <c r="L54">
        <v>45</v>
      </c>
      <c r="M54">
        <v>47</v>
      </c>
      <c r="N54" s="17">
        <f t="shared" si="1"/>
        <v>37.25</v>
      </c>
      <c r="O54" s="17">
        <f t="shared" si="3"/>
        <v>94.614999999999995</v>
      </c>
    </row>
    <row r="55" spans="1:15" x14ac:dyDescent="0.3">
      <c r="A55" s="27" t="s">
        <v>117</v>
      </c>
      <c r="B55" t="s">
        <v>180</v>
      </c>
      <c r="C55">
        <v>354</v>
      </c>
      <c r="D55">
        <v>7.14</v>
      </c>
      <c r="E55">
        <v>3.5</v>
      </c>
      <c r="F55">
        <f t="shared" si="0"/>
        <v>3.6399999999999997</v>
      </c>
      <c r="H55" s="27" t="s">
        <v>117</v>
      </c>
      <c r="I55">
        <v>58</v>
      </c>
      <c r="J55">
        <v>52.5</v>
      </c>
      <c r="K55">
        <v>57.5</v>
      </c>
      <c r="L55">
        <v>59</v>
      </c>
      <c r="M55">
        <v>54</v>
      </c>
      <c r="N55" s="17">
        <f t="shared" si="1"/>
        <v>46.833333333333336</v>
      </c>
      <c r="O55" s="17">
        <f t="shared" si="3"/>
        <v>118.95666666666668</v>
      </c>
    </row>
    <row r="56" spans="1:15" x14ac:dyDescent="0.3">
      <c r="A56" s="21" t="s">
        <v>118</v>
      </c>
      <c r="B56" t="s">
        <v>76</v>
      </c>
      <c r="C56">
        <v>394</v>
      </c>
      <c r="D56">
        <v>5.76</v>
      </c>
      <c r="E56">
        <v>3.5</v>
      </c>
      <c r="F56">
        <f t="shared" si="0"/>
        <v>2.2599999999999998</v>
      </c>
      <c r="H56" s="21" t="s">
        <v>118</v>
      </c>
      <c r="I56">
        <v>45</v>
      </c>
      <c r="J56">
        <v>51.5</v>
      </c>
      <c r="K56">
        <v>52</v>
      </c>
      <c r="L56">
        <v>5</v>
      </c>
      <c r="M56">
        <v>47</v>
      </c>
      <c r="N56" s="17">
        <f t="shared" si="1"/>
        <v>33.416666666666664</v>
      </c>
      <c r="O56" s="17">
        <f t="shared" si="3"/>
        <v>84.87833333333333</v>
      </c>
    </row>
    <row r="57" spans="1:15" x14ac:dyDescent="0.3">
      <c r="A57" s="21" t="s">
        <v>119</v>
      </c>
      <c r="B57" t="s">
        <v>6</v>
      </c>
      <c r="C57">
        <v>313</v>
      </c>
      <c r="D57">
        <v>6.26</v>
      </c>
      <c r="E57">
        <v>3.5</v>
      </c>
      <c r="F57">
        <f t="shared" si="0"/>
        <v>2.76</v>
      </c>
      <c r="H57" s="21" t="s">
        <v>119</v>
      </c>
      <c r="I57">
        <v>56</v>
      </c>
      <c r="J57">
        <v>55.5</v>
      </c>
      <c r="K57">
        <v>51</v>
      </c>
      <c r="L57">
        <v>55</v>
      </c>
      <c r="M57">
        <v>57</v>
      </c>
      <c r="N57" s="17">
        <f t="shared" si="1"/>
        <v>45.75</v>
      </c>
      <c r="O57" s="17">
        <f t="shared" si="3"/>
        <v>116.205</v>
      </c>
    </row>
    <row r="58" spans="1:15" x14ac:dyDescent="0.3">
      <c r="A58" s="21" t="s">
        <v>120</v>
      </c>
      <c r="B58" t="s">
        <v>153</v>
      </c>
      <c r="C58">
        <v>133</v>
      </c>
      <c r="D58">
        <v>6.5</v>
      </c>
      <c r="E58">
        <v>3.5</v>
      </c>
      <c r="F58">
        <f t="shared" si="0"/>
        <v>3</v>
      </c>
      <c r="H58" s="21" t="s">
        <v>120</v>
      </c>
      <c r="I58">
        <v>68.5</v>
      </c>
      <c r="J58">
        <v>69</v>
      </c>
      <c r="K58">
        <v>71</v>
      </c>
      <c r="L58">
        <v>64</v>
      </c>
      <c r="M58">
        <v>66.5</v>
      </c>
      <c r="N58" s="17">
        <f t="shared" si="1"/>
        <v>56.5</v>
      </c>
      <c r="O58" s="17">
        <f t="shared" si="3"/>
        <v>143.51</v>
      </c>
    </row>
    <row r="59" spans="1:15" x14ac:dyDescent="0.3">
      <c r="A59" s="21" t="s">
        <v>121</v>
      </c>
      <c r="B59" t="s">
        <v>180</v>
      </c>
      <c r="C59">
        <v>254</v>
      </c>
      <c r="D59">
        <v>6.4</v>
      </c>
      <c r="E59">
        <v>3.5</v>
      </c>
      <c r="F59">
        <f t="shared" si="0"/>
        <v>2.9000000000000004</v>
      </c>
      <c r="H59" s="21" t="s">
        <v>121</v>
      </c>
      <c r="I59">
        <v>54.5</v>
      </c>
      <c r="J59">
        <v>56</v>
      </c>
      <c r="K59">
        <v>59</v>
      </c>
      <c r="L59">
        <v>57</v>
      </c>
      <c r="M59">
        <v>58</v>
      </c>
      <c r="N59" s="17">
        <f t="shared" si="1"/>
        <v>47.416666666666664</v>
      </c>
      <c r="O59" s="17">
        <f t="shared" si="3"/>
        <v>120.43833333333333</v>
      </c>
    </row>
    <row r="60" spans="1:15" x14ac:dyDescent="0.3">
      <c r="A60" s="21" t="s">
        <v>122</v>
      </c>
      <c r="B60" t="s">
        <v>182</v>
      </c>
      <c r="C60">
        <v>235</v>
      </c>
      <c r="D60">
        <v>6.35</v>
      </c>
      <c r="E60">
        <v>3.5</v>
      </c>
      <c r="F60">
        <f t="shared" si="0"/>
        <v>2.8499999999999996</v>
      </c>
      <c r="H60" s="21" t="s">
        <v>122</v>
      </c>
      <c r="I60">
        <v>44.5</v>
      </c>
      <c r="J60">
        <v>46</v>
      </c>
      <c r="K60">
        <v>51</v>
      </c>
      <c r="L60">
        <v>50</v>
      </c>
      <c r="M60">
        <v>47.5</v>
      </c>
      <c r="N60" s="17">
        <f t="shared" si="1"/>
        <v>39.833333333333336</v>
      </c>
      <c r="O60" s="17">
        <f t="shared" si="3"/>
        <v>101.17666666666668</v>
      </c>
    </row>
    <row r="61" spans="1:15" x14ac:dyDescent="0.3">
      <c r="A61" s="21" t="s">
        <v>123</v>
      </c>
      <c r="B61" t="s">
        <v>178</v>
      </c>
      <c r="C61">
        <v>113</v>
      </c>
      <c r="D61">
        <v>6.08</v>
      </c>
      <c r="E61">
        <v>3.5</v>
      </c>
      <c r="F61">
        <f t="shared" si="0"/>
        <v>2.58</v>
      </c>
      <c r="H61" s="21" t="s">
        <v>123</v>
      </c>
      <c r="I61">
        <v>38</v>
      </c>
      <c r="J61">
        <v>46</v>
      </c>
      <c r="K61">
        <v>44</v>
      </c>
      <c r="L61">
        <v>45.5</v>
      </c>
      <c r="M61">
        <v>44</v>
      </c>
      <c r="N61" s="17">
        <f t="shared" si="1"/>
        <v>36.25</v>
      </c>
      <c r="O61" s="17">
        <f t="shared" si="3"/>
        <v>92.075000000000003</v>
      </c>
    </row>
    <row r="62" spans="1:15" x14ac:dyDescent="0.3">
      <c r="A62" s="21" t="s">
        <v>124</v>
      </c>
      <c r="B62" t="s">
        <v>183</v>
      </c>
      <c r="C62">
        <v>284</v>
      </c>
      <c r="D62">
        <v>6.7</v>
      </c>
      <c r="E62">
        <v>3.5</v>
      </c>
      <c r="F62">
        <f t="shared" si="0"/>
        <v>3.2</v>
      </c>
      <c r="H62" s="21" t="s">
        <v>124</v>
      </c>
      <c r="I62">
        <v>56</v>
      </c>
      <c r="J62">
        <v>51.5</v>
      </c>
      <c r="K62">
        <v>54</v>
      </c>
      <c r="L62">
        <v>53.5</v>
      </c>
      <c r="M62">
        <v>50</v>
      </c>
      <c r="N62" s="17">
        <f t="shared" si="1"/>
        <v>44.166666666666664</v>
      </c>
      <c r="O62" s="17">
        <f t="shared" si="3"/>
        <v>112.18333333333332</v>
      </c>
    </row>
    <row r="63" spans="1:15" x14ac:dyDescent="0.3">
      <c r="A63" s="21" t="s">
        <v>125</v>
      </c>
      <c r="B63" t="s">
        <v>152</v>
      </c>
      <c r="C63">
        <v>285</v>
      </c>
      <c r="D63">
        <v>5.82</v>
      </c>
      <c r="E63">
        <v>3.5</v>
      </c>
      <c r="F63">
        <f t="shared" si="0"/>
        <v>2.3200000000000003</v>
      </c>
      <c r="H63" s="21" t="s">
        <v>125</v>
      </c>
      <c r="I63">
        <v>55</v>
      </c>
      <c r="J63">
        <v>49.5</v>
      </c>
      <c r="K63">
        <v>50</v>
      </c>
      <c r="L63">
        <v>51</v>
      </c>
      <c r="M63">
        <v>47</v>
      </c>
      <c r="N63" s="17">
        <f t="shared" si="1"/>
        <v>42.083333333333336</v>
      </c>
      <c r="O63" s="17">
        <f t="shared" si="3"/>
        <v>106.89166666666668</v>
      </c>
    </row>
    <row r="64" spans="1:15" x14ac:dyDescent="0.3">
      <c r="A64" s="21" t="s">
        <v>126</v>
      </c>
      <c r="B64" t="s">
        <v>184</v>
      </c>
      <c r="C64">
        <v>395</v>
      </c>
      <c r="D64">
        <v>6.68</v>
      </c>
      <c r="E64">
        <v>3.5</v>
      </c>
      <c r="F64">
        <f t="shared" si="0"/>
        <v>3.1799999999999997</v>
      </c>
      <c r="H64" s="21" t="s">
        <v>126</v>
      </c>
      <c r="I64">
        <v>46</v>
      </c>
      <c r="J64">
        <v>51.5</v>
      </c>
      <c r="K64">
        <v>49</v>
      </c>
      <c r="L64">
        <v>55</v>
      </c>
      <c r="M64">
        <v>54</v>
      </c>
      <c r="N64" s="17">
        <f t="shared" ref="N64:N73" si="4">(AVERAGE(I64,J64,K64,L64,M64,))</f>
        <v>42.583333333333336</v>
      </c>
      <c r="O64" s="17">
        <f t="shared" si="3"/>
        <v>108.16166666666668</v>
      </c>
    </row>
    <row r="65" spans="1:15" x14ac:dyDescent="0.3">
      <c r="A65" s="21" t="s">
        <v>127</v>
      </c>
      <c r="B65" t="s">
        <v>5</v>
      </c>
      <c r="C65">
        <v>188</v>
      </c>
      <c r="D65">
        <v>6.82</v>
      </c>
      <c r="E65">
        <v>3.5</v>
      </c>
      <c r="F65">
        <f t="shared" si="0"/>
        <v>3.3200000000000003</v>
      </c>
      <c r="H65" s="21" t="s">
        <v>127</v>
      </c>
      <c r="I65">
        <v>79</v>
      </c>
      <c r="J65">
        <v>84</v>
      </c>
      <c r="K65">
        <v>76.5</v>
      </c>
      <c r="L65">
        <v>79</v>
      </c>
      <c r="M65">
        <v>81</v>
      </c>
      <c r="N65" s="17">
        <f t="shared" si="4"/>
        <v>66.583333333333329</v>
      </c>
      <c r="O65" s="17">
        <f t="shared" si="3"/>
        <v>169.12166666666667</v>
      </c>
    </row>
    <row r="66" spans="1:15" x14ac:dyDescent="0.3">
      <c r="A66" s="21" t="s">
        <v>128</v>
      </c>
      <c r="B66" t="s">
        <v>179</v>
      </c>
      <c r="C66">
        <v>132</v>
      </c>
      <c r="D66">
        <v>5.88</v>
      </c>
      <c r="E66">
        <v>3.5</v>
      </c>
      <c r="F66">
        <f t="shared" si="0"/>
        <v>2.38</v>
      </c>
      <c r="H66" s="21" t="s">
        <v>128</v>
      </c>
      <c r="I66">
        <v>54</v>
      </c>
      <c r="J66">
        <v>49.5</v>
      </c>
      <c r="K66">
        <v>51</v>
      </c>
      <c r="L66">
        <v>53</v>
      </c>
      <c r="M66">
        <v>48</v>
      </c>
      <c r="N66" s="17">
        <f t="shared" si="4"/>
        <v>42.583333333333336</v>
      </c>
      <c r="O66" s="17">
        <f t="shared" si="3"/>
        <v>108.16166666666668</v>
      </c>
    </row>
    <row r="67" spans="1:15" x14ac:dyDescent="0.3">
      <c r="A67" s="21" t="s">
        <v>129</v>
      </c>
      <c r="B67" t="s">
        <v>175</v>
      </c>
      <c r="C67">
        <v>216</v>
      </c>
      <c r="D67">
        <v>5.18</v>
      </c>
      <c r="E67">
        <v>3.5</v>
      </c>
      <c r="F67">
        <f t="shared" ref="F67:F105" si="5">D67-E67</f>
        <v>1.6799999999999997</v>
      </c>
      <c r="H67" s="21" t="s">
        <v>129</v>
      </c>
      <c r="I67">
        <v>36</v>
      </c>
      <c r="J67">
        <v>41</v>
      </c>
      <c r="K67">
        <v>47</v>
      </c>
      <c r="L67">
        <v>44</v>
      </c>
      <c r="M67">
        <v>46.5</v>
      </c>
      <c r="N67" s="17">
        <f t="shared" si="4"/>
        <v>35.75</v>
      </c>
      <c r="O67" s="17">
        <f t="shared" si="3"/>
        <v>90.805000000000007</v>
      </c>
    </row>
    <row r="68" spans="1:15" x14ac:dyDescent="0.3">
      <c r="A68" s="21" t="s">
        <v>130</v>
      </c>
      <c r="B68" t="s">
        <v>181</v>
      </c>
      <c r="C68">
        <v>133</v>
      </c>
      <c r="D68">
        <v>5.8</v>
      </c>
      <c r="E68">
        <v>3.5</v>
      </c>
      <c r="F68">
        <f t="shared" si="5"/>
        <v>2.2999999999999998</v>
      </c>
      <c r="H68" s="21" t="s">
        <v>130</v>
      </c>
      <c r="I68">
        <v>50</v>
      </c>
      <c r="J68">
        <v>41</v>
      </c>
      <c r="K68">
        <v>47</v>
      </c>
      <c r="L68">
        <v>44</v>
      </c>
      <c r="M68">
        <v>46.5</v>
      </c>
      <c r="N68" s="17">
        <f t="shared" si="4"/>
        <v>38.083333333333336</v>
      </c>
      <c r="O68" s="17">
        <f t="shared" si="3"/>
        <v>96.731666666666669</v>
      </c>
    </row>
    <row r="69" spans="1:15" x14ac:dyDescent="0.3">
      <c r="A69" s="21" t="s">
        <v>131</v>
      </c>
      <c r="B69" t="s">
        <v>71</v>
      </c>
      <c r="C69">
        <v>179</v>
      </c>
      <c r="D69">
        <v>4.9800000000000004</v>
      </c>
      <c r="E69">
        <v>3.5</v>
      </c>
      <c r="F69">
        <f t="shared" si="5"/>
        <v>1.4800000000000004</v>
      </c>
      <c r="H69" s="21" t="s">
        <v>131</v>
      </c>
      <c r="I69">
        <v>32</v>
      </c>
      <c r="J69">
        <v>33</v>
      </c>
      <c r="K69">
        <v>29.5</v>
      </c>
      <c r="L69">
        <v>36</v>
      </c>
      <c r="M69">
        <v>37</v>
      </c>
      <c r="N69" s="17">
        <f t="shared" si="4"/>
        <v>27.916666666666668</v>
      </c>
      <c r="O69" s="17">
        <f t="shared" si="3"/>
        <v>70.908333333333331</v>
      </c>
    </row>
    <row r="70" spans="1:15" x14ac:dyDescent="0.3">
      <c r="A70" s="21" t="s">
        <v>132</v>
      </c>
      <c r="B70" t="s">
        <v>67</v>
      </c>
      <c r="H70" s="21" t="s">
        <v>132</v>
      </c>
      <c r="I70" s="25" t="s">
        <v>172</v>
      </c>
      <c r="J70" s="25" t="s">
        <v>172</v>
      </c>
      <c r="K70" s="25" t="s">
        <v>172</v>
      </c>
      <c r="L70" s="25" t="s">
        <v>172</v>
      </c>
      <c r="M70" s="25" t="s">
        <v>172</v>
      </c>
      <c r="N70" s="26" t="s">
        <v>143</v>
      </c>
      <c r="O70" s="26" t="s">
        <v>143</v>
      </c>
    </row>
    <row r="71" spans="1:15" x14ac:dyDescent="0.3">
      <c r="A71" s="21" t="s">
        <v>133</v>
      </c>
      <c r="B71" t="s">
        <v>70</v>
      </c>
      <c r="C71">
        <v>134</v>
      </c>
      <c r="D71">
        <v>6.26</v>
      </c>
      <c r="E71">
        <v>3.5</v>
      </c>
      <c r="F71">
        <f t="shared" si="5"/>
        <v>2.76</v>
      </c>
      <c r="H71" s="21" t="s">
        <v>133</v>
      </c>
      <c r="I71">
        <v>43</v>
      </c>
      <c r="J71">
        <v>41</v>
      </c>
      <c r="K71">
        <v>42</v>
      </c>
      <c r="L71">
        <v>39.5</v>
      </c>
      <c r="M71">
        <v>45</v>
      </c>
      <c r="N71" s="17">
        <f t="shared" si="4"/>
        <v>35.083333333333336</v>
      </c>
      <c r="O71" s="17">
        <f t="shared" si="3"/>
        <v>89.111666666666679</v>
      </c>
    </row>
    <row r="72" spans="1:15" x14ac:dyDescent="0.3">
      <c r="A72" s="21" t="s">
        <v>134</v>
      </c>
      <c r="B72" t="s">
        <v>177</v>
      </c>
      <c r="C72">
        <v>259</v>
      </c>
      <c r="D72">
        <v>6.44</v>
      </c>
      <c r="E72">
        <v>3.5</v>
      </c>
      <c r="F72">
        <f t="shared" si="5"/>
        <v>2.9400000000000004</v>
      </c>
      <c r="H72" s="21" t="s">
        <v>134</v>
      </c>
      <c r="I72">
        <v>48</v>
      </c>
      <c r="J72">
        <v>49.5</v>
      </c>
      <c r="K72">
        <v>44</v>
      </c>
      <c r="L72">
        <v>47</v>
      </c>
      <c r="M72">
        <v>48</v>
      </c>
      <c r="N72" s="17">
        <f t="shared" si="4"/>
        <v>39.416666666666664</v>
      </c>
      <c r="O72" s="17">
        <f t="shared" si="3"/>
        <v>100.11833333333333</v>
      </c>
    </row>
    <row r="73" spans="1:15" x14ac:dyDescent="0.3">
      <c r="A73" s="21" t="s">
        <v>135</v>
      </c>
      <c r="B73" t="s">
        <v>176</v>
      </c>
      <c r="C73">
        <v>52</v>
      </c>
      <c r="D73">
        <v>4.82</v>
      </c>
      <c r="E73">
        <v>3.5</v>
      </c>
      <c r="F73">
        <f t="shared" si="5"/>
        <v>1.3200000000000003</v>
      </c>
      <c r="H73" s="21" t="s">
        <v>135</v>
      </c>
      <c r="I73">
        <v>40</v>
      </c>
      <c r="J73">
        <v>45</v>
      </c>
      <c r="K73">
        <v>46</v>
      </c>
      <c r="L73">
        <v>41.5</v>
      </c>
      <c r="M73">
        <v>42</v>
      </c>
      <c r="N73" s="17">
        <f t="shared" si="4"/>
        <v>35.75</v>
      </c>
      <c r="O73" s="17">
        <f t="shared" si="3"/>
        <v>90.805000000000007</v>
      </c>
    </row>
    <row r="74" spans="1:15" x14ac:dyDescent="0.3">
      <c r="A74" s="22" t="s">
        <v>32</v>
      </c>
      <c r="B74" t="s">
        <v>154</v>
      </c>
      <c r="C74">
        <v>203</v>
      </c>
      <c r="D74">
        <v>5.38</v>
      </c>
      <c r="E74">
        <v>3.5</v>
      </c>
      <c r="F74">
        <f t="shared" si="5"/>
        <v>1.88</v>
      </c>
    </row>
    <row r="75" spans="1:15" x14ac:dyDescent="0.3">
      <c r="A75" s="22" t="s">
        <v>33</v>
      </c>
      <c r="B75" t="s">
        <v>155</v>
      </c>
      <c r="C75">
        <v>302</v>
      </c>
      <c r="D75">
        <v>6.24</v>
      </c>
      <c r="E75">
        <v>3.5</v>
      </c>
      <c r="F75">
        <f t="shared" si="5"/>
        <v>2.74</v>
      </c>
    </row>
    <row r="76" spans="1:15" x14ac:dyDescent="0.3">
      <c r="A76" s="22" t="s">
        <v>34</v>
      </c>
      <c r="B76" t="s">
        <v>156</v>
      </c>
      <c r="C76">
        <v>164</v>
      </c>
      <c r="D76">
        <v>5.2</v>
      </c>
      <c r="E76">
        <v>3.5</v>
      </c>
      <c r="F76">
        <f t="shared" si="5"/>
        <v>1.7000000000000002</v>
      </c>
    </row>
    <row r="77" spans="1:15" x14ac:dyDescent="0.3">
      <c r="A77" s="22" t="s">
        <v>35</v>
      </c>
      <c r="B77" t="s">
        <v>157</v>
      </c>
      <c r="C77">
        <v>393</v>
      </c>
      <c r="D77">
        <v>6.62</v>
      </c>
      <c r="E77">
        <v>3.5</v>
      </c>
      <c r="F77">
        <f t="shared" si="5"/>
        <v>3.12</v>
      </c>
    </row>
    <row r="78" spans="1:15" x14ac:dyDescent="0.3">
      <c r="A78" s="22" t="s">
        <v>36</v>
      </c>
      <c r="B78" t="s">
        <v>158</v>
      </c>
      <c r="C78">
        <v>183</v>
      </c>
      <c r="D78">
        <v>6.12</v>
      </c>
      <c r="E78">
        <v>3.5</v>
      </c>
      <c r="F78">
        <f t="shared" si="5"/>
        <v>2.62</v>
      </c>
    </row>
    <row r="79" spans="1:15" x14ac:dyDescent="0.3">
      <c r="A79" s="22" t="s">
        <v>37</v>
      </c>
      <c r="B79" t="s">
        <v>159</v>
      </c>
      <c r="C79">
        <v>346</v>
      </c>
      <c r="D79">
        <v>6.86</v>
      </c>
      <c r="E79">
        <v>3.5</v>
      </c>
      <c r="F79">
        <f t="shared" si="5"/>
        <v>3.3600000000000003</v>
      </c>
    </row>
    <row r="80" spans="1:15" x14ac:dyDescent="0.3">
      <c r="A80" s="22" t="s">
        <v>38</v>
      </c>
      <c r="B80" t="s">
        <v>160</v>
      </c>
      <c r="C80">
        <v>334</v>
      </c>
      <c r="D80">
        <v>6.98</v>
      </c>
      <c r="E80">
        <v>3.5</v>
      </c>
      <c r="F80">
        <f t="shared" si="5"/>
        <v>3.4800000000000004</v>
      </c>
    </row>
    <row r="81" spans="1:6" x14ac:dyDescent="0.3">
      <c r="A81" s="28" t="s">
        <v>39</v>
      </c>
      <c r="B81" t="s">
        <v>161</v>
      </c>
      <c r="C81">
        <v>303</v>
      </c>
      <c r="D81">
        <v>6.26</v>
      </c>
      <c r="E81">
        <v>3.5</v>
      </c>
      <c r="F81">
        <f t="shared" si="5"/>
        <v>2.76</v>
      </c>
    </row>
    <row r="82" spans="1:6" x14ac:dyDescent="0.3">
      <c r="A82" s="24" t="s">
        <v>40</v>
      </c>
      <c r="B82" t="s">
        <v>161</v>
      </c>
      <c r="C82">
        <v>298</v>
      </c>
      <c r="D82">
        <v>6.38</v>
      </c>
      <c r="E82">
        <v>3.5</v>
      </c>
      <c r="F82">
        <f t="shared" si="5"/>
        <v>2.88</v>
      </c>
    </row>
    <row r="83" spans="1:6" x14ac:dyDescent="0.3">
      <c r="A83" s="24" t="s">
        <v>41</v>
      </c>
      <c r="B83" t="s">
        <v>157</v>
      </c>
      <c r="C83">
        <v>356</v>
      </c>
      <c r="D83">
        <v>7.26</v>
      </c>
      <c r="E83">
        <v>3.5</v>
      </c>
      <c r="F83">
        <f t="shared" si="5"/>
        <v>3.76</v>
      </c>
    </row>
    <row r="84" spans="1:6" x14ac:dyDescent="0.3">
      <c r="A84" s="24" t="s">
        <v>42</v>
      </c>
      <c r="B84" t="s">
        <v>154</v>
      </c>
      <c r="C84">
        <v>152</v>
      </c>
      <c r="D84">
        <v>6.82</v>
      </c>
      <c r="E84">
        <v>3.5</v>
      </c>
      <c r="F84">
        <f t="shared" si="5"/>
        <v>3.3200000000000003</v>
      </c>
    </row>
    <row r="85" spans="1:6" x14ac:dyDescent="0.3">
      <c r="A85" s="24" t="s">
        <v>43</v>
      </c>
      <c r="B85" t="s">
        <v>159</v>
      </c>
      <c r="C85">
        <v>298</v>
      </c>
      <c r="D85">
        <v>7.28</v>
      </c>
      <c r="E85">
        <v>3.5</v>
      </c>
      <c r="F85">
        <f t="shared" si="5"/>
        <v>3.7800000000000002</v>
      </c>
    </row>
    <row r="86" spans="1:6" x14ac:dyDescent="0.3">
      <c r="A86" s="24" t="s">
        <v>44</v>
      </c>
      <c r="B86" t="s">
        <v>155</v>
      </c>
      <c r="C86">
        <v>184</v>
      </c>
      <c r="D86">
        <v>6.44</v>
      </c>
      <c r="E86">
        <v>3.5</v>
      </c>
      <c r="F86">
        <f t="shared" si="5"/>
        <v>2.9400000000000004</v>
      </c>
    </row>
    <row r="87" spans="1:6" x14ac:dyDescent="0.3">
      <c r="A87" s="24" t="s">
        <v>45</v>
      </c>
      <c r="B87" t="s">
        <v>158</v>
      </c>
    </row>
    <row r="88" spans="1:6" x14ac:dyDescent="0.3">
      <c r="A88" s="24" t="s">
        <v>46</v>
      </c>
      <c r="B88" t="s">
        <v>160</v>
      </c>
      <c r="C88">
        <v>284</v>
      </c>
      <c r="D88">
        <v>6.22</v>
      </c>
      <c r="E88">
        <v>3.5</v>
      </c>
      <c r="F88">
        <f t="shared" si="5"/>
        <v>2.7199999999999998</v>
      </c>
    </row>
    <row r="89" spans="1:6" x14ac:dyDescent="0.3">
      <c r="A89" s="24" t="s">
        <v>47</v>
      </c>
      <c r="B89" t="s">
        <v>156</v>
      </c>
      <c r="C89">
        <v>173</v>
      </c>
      <c r="D89">
        <v>6.12</v>
      </c>
      <c r="E89">
        <v>3.5</v>
      </c>
      <c r="F89">
        <f t="shared" si="5"/>
        <v>2.62</v>
      </c>
    </row>
    <row r="90" spans="1:6" x14ac:dyDescent="0.3">
      <c r="A90" s="29" t="s">
        <v>136</v>
      </c>
      <c r="B90" t="s">
        <v>156</v>
      </c>
      <c r="C90">
        <v>209</v>
      </c>
      <c r="D90">
        <v>6.56</v>
      </c>
      <c r="E90">
        <v>3.5</v>
      </c>
      <c r="F90">
        <f t="shared" si="5"/>
        <v>3.0599999999999996</v>
      </c>
    </row>
    <row r="91" spans="1:6" x14ac:dyDescent="0.3">
      <c r="A91" s="29" t="s">
        <v>48</v>
      </c>
      <c r="B91" t="s">
        <v>157</v>
      </c>
      <c r="C91">
        <v>492</v>
      </c>
      <c r="D91">
        <v>7.44</v>
      </c>
      <c r="E91">
        <v>3.5</v>
      </c>
      <c r="F91">
        <f t="shared" si="5"/>
        <v>3.9400000000000004</v>
      </c>
    </row>
    <row r="92" spans="1:6" x14ac:dyDescent="0.3">
      <c r="A92" s="29" t="s">
        <v>49</v>
      </c>
      <c r="B92" t="s">
        <v>155</v>
      </c>
      <c r="C92">
        <v>252</v>
      </c>
      <c r="D92">
        <v>6.3</v>
      </c>
      <c r="E92">
        <v>3.5</v>
      </c>
      <c r="F92">
        <f t="shared" si="5"/>
        <v>2.8</v>
      </c>
    </row>
    <row r="93" spans="1:6" x14ac:dyDescent="0.3">
      <c r="A93" s="29" t="s">
        <v>50</v>
      </c>
      <c r="B93" t="s">
        <v>159</v>
      </c>
      <c r="C93">
        <v>297</v>
      </c>
      <c r="D93">
        <v>6.66</v>
      </c>
      <c r="E93">
        <v>3.5</v>
      </c>
      <c r="F93">
        <f t="shared" si="5"/>
        <v>3.16</v>
      </c>
    </row>
    <row r="94" spans="1:6" x14ac:dyDescent="0.3">
      <c r="A94" s="29" t="s">
        <v>51</v>
      </c>
      <c r="B94" t="s">
        <v>160</v>
      </c>
      <c r="C94">
        <v>354</v>
      </c>
      <c r="D94">
        <v>6.33</v>
      </c>
      <c r="E94">
        <v>3.5</v>
      </c>
      <c r="F94">
        <f t="shared" si="5"/>
        <v>2.83</v>
      </c>
    </row>
    <row r="95" spans="1:6" x14ac:dyDescent="0.3">
      <c r="A95" s="29" t="s">
        <v>52</v>
      </c>
      <c r="B95" t="s">
        <v>161</v>
      </c>
      <c r="C95">
        <v>454</v>
      </c>
      <c r="D95">
        <v>6.34</v>
      </c>
      <c r="E95">
        <v>3.5</v>
      </c>
      <c r="F95">
        <f t="shared" si="5"/>
        <v>2.84</v>
      </c>
    </row>
    <row r="96" spans="1:6" x14ac:dyDescent="0.3">
      <c r="A96" s="29" t="s">
        <v>53</v>
      </c>
      <c r="B96" t="s">
        <v>154</v>
      </c>
      <c r="C96">
        <v>200</v>
      </c>
      <c r="D96">
        <v>6.38</v>
      </c>
      <c r="E96">
        <v>3.5</v>
      </c>
      <c r="F96">
        <f t="shared" si="5"/>
        <v>2.88</v>
      </c>
    </row>
    <row r="97" spans="1:6" x14ac:dyDescent="0.3">
      <c r="A97" s="29" t="s">
        <v>54</v>
      </c>
      <c r="B97" t="s">
        <v>158</v>
      </c>
      <c r="C97">
        <v>203</v>
      </c>
      <c r="D97">
        <v>6.36</v>
      </c>
      <c r="E97">
        <v>3.5</v>
      </c>
      <c r="F97">
        <f t="shared" si="5"/>
        <v>2.8600000000000003</v>
      </c>
    </row>
    <row r="98" spans="1:6" x14ac:dyDescent="0.3">
      <c r="A98" s="23" t="s">
        <v>55</v>
      </c>
      <c r="B98" t="s">
        <v>157</v>
      </c>
      <c r="C98">
        <v>267</v>
      </c>
      <c r="D98">
        <v>6.14</v>
      </c>
      <c r="E98">
        <v>3.5</v>
      </c>
      <c r="F98">
        <f t="shared" si="5"/>
        <v>2.6399999999999997</v>
      </c>
    </row>
    <row r="99" spans="1:6" x14ac:dyDescent="0.3">
      <c r="A99" s="23" t="s">
        <v>56</v>
      </c>
      <c r="B99" t="s">
        <v>160</v>
      </c>
      <c r="C99">
        <v>340</v>
      </c>
      <c r="D99">
        <v>6.56</v>
      </c>
      <c r="E99">
        <v>3.5</v>
      </c>
      <c r="F99">
        <f t="shared" si="5"/>
        <v>3.0599999999999996</v>
      </c>
    </row>
    <row r="100" spans="1:6" x14ac:dyDescent="0.3">
      <c r="A100" s="23" t="s">
        <v>57</v>
      </c>
      <c r="B100" t="s">
        <v>158</v>
      </c>
      <c r="C100">
        <v>170</v>
      </c>
      <c r="D100">
        <v>6.48</v>
      </c>
      <c r="E100">
        <v>3.5</v>
      </c>
      <c r="F100">
        <f t="shared" si="5"/>
        <v>2.9800000000000004</v>
      </c>
    </row>
    <row r="101" spans="1:6" x14ac:dyDescent="0.3">
      <c r="A101" s="23" t="s">
        <v>58</v>
      </c>
      <c r="B101" t="s">
        <v>155</v>
      </c>
      <c r="C101">
        <v>357</v>
      </c>
      <c r="D101">
        <v>6.2</v>
      </c>
      <c r="E101">
        <v>3.5</v>
      </c>
      <c r="F101">
        <f t="shared" si="5"/>
        <v>2.7</v>
      </c>
    </row>
    <row r="102" spans="1:6" x14ac:dyDescent="0.3">
      <c r="A102" s="23" t="s">
        <v>59</v>
      </c>
      <c r="B102" t="s">
        <v>159</v>
      </c>
      <c r="C102">
        <v>195</v>
      </c>
      <c r="D102">
        <v>7.32</v>
      </c>
      <c r="E102">
        <v>3.5</v>
      </c>
      <c r="F102">
        <f t="shared" si="5"/>
        <v>3.8200000000000003</v>
      </c>
    </row>
    <row r="103" spans="1:6" x14ac:dyDescent="0.3">
      <c r="A103" s="23" t="s">
        <v>60</v>
      </c>
      <c r="B103" t="s">
        <v>156</v>
      </c>
      <c r="C103">
        <v>217</v>
      </c>
      <c r="D103">
        <v>7.56</v>
      </c>
      <c r="E103">
        <v>3.5</v>
      </c>
      <c r="F103">
        <f t="shared" si="5"/>
        <v>4.0599999999999996</v>
      </c>
    </row>
    <row r="104" spans="1:6" x14ac:dyDescent="0.3">
      <c r="A104" s="23" t="s">
        <v>61</v>
      </c>
      <c r="B104" t="s">
        <v>161</v>
      </c>
      <c r="C104">
        <v>295</v>
      </c>
      <c r="D104">
        <v>6.92</v>
      </c>
      <c r="E104">
        <v>3.5</v>
      </c>
      <c r="F104">
        <f t="shared" si="5"/>
        <v>3.42</v>
      </c>
    </row>
    <row r="105" spans="1:6" x14ac:dyDescent="0.3">
      <c r="A105" s="23" t="s">
        <v>62</v>
      </c>
      <c r="B105" t="s">
        <v>154</v>
      </c>
      <c r="C105">
        <v>242</v>
      </c>
      <c r="D105">
        <v>7.6</v>
      </c>
      <c r="E105">
        <v>3.5</v>
      </c>
      <c r="F105">
        <f t="shared" si="5"/>
        <v>4.0999999999999996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FF02-0F52-449A-849C-6A55B4444288}">
  <dimension ref="A1:C103"/>
  <sheetViews>
    <sheetView topLeftCell="A64" workbookViewId="0">
      <selection activeCell="C59" sqref="C59"/>
    </sheetView>
  </sheetViews>
  <sheetFormatPr defaultRowHeight="14.4" x14ac:dyDescent="0.3"/>
  <cols>
    <col min="1" max="1" width="14.109375" bestFit="1" customWidth="1"/>
    <col min="2" max="2" width="10.21875" bestFit="1" customWidth="1"/>
    <col min="3" max="3" width="11.5546875" bestFit="1" customWidth="1"/>
  </cols>
  <sheetData>
    <row r="1" spans="1:3" x14ac:dyDescent="0.3">
      <c r="A1" t="s">
        <v>149</v>
      </c>
      <c r="B1" t="s">
        <v>150</v>
      </c>
      <c r="C1" t="s">
        <v>151</v>
      </c>
    </row>
    <row r="2" spans="1:3" x14ac:dyDescent="0.3">
      <c r="A2">
        <v>101</v>
      </c>
      <c r="B2">
        <v>64.78</v>
      </c>
      <c r="C2">
        <v>35.22</v>
      </c>
    </row>
    <row r="3" spans="1:3" x14ac:dyDescent="0.3">
      <c r="A3">
        <v>102</v>
      </c>
      <c r="B3">
        <v>59.96</v>
      </c>
      <c r="C3">
        <v>40.04</v>
      </c>
    </row>
    <row r="4" spans="1:3" x14ac:dyDescent="0.3">
      <c r="A4">
        <v>103</v>
      </c>
      <c r="B4">
        <v>68.650000000000006</v>
      </c>
      <c r="C4">
        <v>31.35</v>
      </c>
    </row>
    <row r="5" spans="1:3" x14ac:dyDescent="0.3">
      <c r="A5">
        <v>104</v>
      </c>
      <c r="B5">
        <v>65.47</v>
      </c>
      <c r="C5">
        <v>34.35</v>
      </c>
    </row>
    <row r="6" spans="1:3" x14ac:dyDescent="0.3">
      <c r="A6">
        <v>105</v>
      </c>
      <c r="B6">
        <v>68.63</v>
      </c>
      <c r="C6">
        <v>31.37</v>
      </c>
    </row>
    <row r="7" spans="1:3" x14ac:dyDescent="0.3">
      <c r="A7">
        <v>106</v>
      </c>
      <c r="B7">
        <v>69.59</v>
      </c>
      <c r="C7">
        <v>30.41</v>
      </c>
    </row>
    <row r="8" spans="1:3" x14ac:dyDescent="0.3">
      <c r="A8">
        <v>107</v>
      </c>
      <c r="B8">
        <v>69.98</v>
      </c>
      <c r="C8">
        <v>30.02</v>
      </c>
    </row>
    <row r="9" spans="1:3" x14ac:dyDescent="0.3">
      <c r="A9">
        <v>108</v>
      </c>
      <c r="B9">
        <v>69.569999999999993</v>
      </c>
      <c r="C9">
        <v>30.43</v>
      </c>
    </row>
    <row r="10" spans="1:3" x14ac:dyDescent="0.3">
      <c r="A10">
        <v>109</v>
      </c>
      <c r="B10">
        <v>72.48</v>
      </c>
      <c r="C10">
        <v>27.52</v>
      </c>
    </row>
    <row r="11" spans="1:3" x14ac:dyDescent="0.3">
      <c r="A11">
        <v>110</v>
      </c>
      <c r="B11">
        <v>69.12</v>
      </c>
      <c r="C11">
        <v>30.88</v>
      </c>
    </row>
    <row r="12" spans="1:3" x14ac:dyDescent="0.3">
      <c r="A12">
        <v>111</v>
      </c>
      <c r="B12">
        <v>71.7</v>
      </c>
      <c r="C12">
        <v>28.3</v>
      </c>
    </row>
    <row r="13" spans="1:3" x14ac:dyDescent="0.3">
      <c r="A13">
        <v>112</v>
      </c>
      <c r="B13">
        <v>64.77</v>
      </c>
      <c r="C13">
        <v>35.229999999999997</v>
      </c>
    </row>
    <row r="14" spans="1:3" x14ac:dyDescent="0.3">
      <c r="A14">
        <v>113</v>
      </c>
      <c r="B14">
        <v>67.58</v>
      </c>
      <c r="C14">
        <v>32.42</v>
      </c>
    </row>
    <row r="15" spans="1:3" x14ac:dyDescent="0.3">
      <c r="A15">
        <v>114</v>
      </c>
      <c r="B15">
        <v>70.819999999999993</v>
      </c>
      <c r="C15">
        <v>29.18</v>
      </c>
    </row>
    <row r="16" spans="1:3" x14ac:dyDescent="0.3">
      <c r="A16">
        <v>115</v>
      </c>
      <c r="B16">
        <v>68.92</v>
      </c>
      <c r="C16">
        <v>31.08</v>
      </c>
    </row>
    <row r="17" spans="1:3" x14ac:dyDescent="0.3">
      <c r="A17">
        <v>116</v>
      </c>
      <c r="B17">
        <v>67.489999999999995</v>
      </c>
      <c r="C17">
        <v>32.51</v>
      </c>
    </row>
    <row r="18" spans="1:3" x14ac:dyDescent="0.3">
      <c r="A18">
        <v>117</v>
      </c>
      <c r="B18">
        <v>63.21</v>
      </c>
      <c r="C18">
        <v>36.79</v>
      </c>
    </row>
    <row r="19" spans="1:3" x14ac:dyDescent="0.3">
      <c r="A19">
        <v>118</v>
      </c>
      <c r="B19">
        <v>67.02</v>
      </c>
      <c r="C19">
        <v>32.979999999999997</v>
      </c>
    </row>
    <row r="20" spans="1:3" x14ac:dyDescent="0.3">
      <c r="A20">
        <v>201</v>
      </c>
      <c r="B20">
        <v>64.17</v>
      </c>
      <c r="C20">
        <v>35.83</v>
      </c>
    </row>
    <row r="21" spans="1:3" x14ac:dyDescent="0.3">
      <c r="A21">
        <v>202</v>
      </c>
      <c r="B21">
        <v>69.89</v>
      </c>
      <c r="C21">
        <v>30.11</v>
      </c>
    </row>
    <row r="22" spans="1:3" x14ac:dyDescent="0.3">
      <c r="A22">
        <v>203</v>
      </c>
      <c r="B22">
        <v>66.209999999999994</v>
      </c>
      <c r="C22">
        <v>33.79</v>
      </c>
    </row>
    <row r="23" spans="1:3" x14ac:dyDescent="0.3">
      <c r="A23">
        <v>204</v>
      </c>
      <c r="B23">
        <v>67.22</v>
      </c>
      <c r="C23">
        <v>32.78</v>
      </c>
    </row>
    <row r="24" spans="1:3" x14ac:dyDescent="0.3">
      <c r="A24">
        <v>205</v>
      </c>
      <c r="B24">
        <v>67.67</v>
      </c>
      <c r="C24">
        <v>32.33</v>
      </c>
    </row>
    <row r="25" spans="1:3" x14ac:dyDescent="0.3">
      <c r="A25">
        <v>206</v>
      </c>
      <c r="B25">
        <v>72.239999999999995</v>
      </c>
      <c r="C25">
        <v>27.76</v>
      </c>
    </row>
    <row r="26" spans="1:3" x14ac:dyDescent="0.3">
      <c r="A26">
        <v>207</v>
      </c>
      <c r="B26">
        <v>65.209999999999994</v>
      </c>
      <c r="C26">
        <v>34.71</v>
      </c>
    </row>
    <row r="27" spans="1:3" x14ac:dyDescent="0.3">
      <c r="A27">
        <v>208</v>
      </c>
      <c r="B27">
        <v>69.510000000000005</v>
      </c>
      <c r="C27">
        <v>30.49</v>
      </c>
    </row>
    <row r="28" spans="1:3" x14ac:dyDescent="0.3">
      <c r="A28">
        <v>209</v>
      </c>
      <c r="B28">
        <v>68.19</v>
      </c>
      <c r="C28">
        <v>31.81</v>
      </c>
    </row>
    <row r="29" spans="1:3" x14ac:dyDescent="0.3">
      <c r="A29">
        <v>210</v>
      </c>
      <c r="B29">
        <v>66.08</v>
      </c>
      <c r="C29">
        <v>33.92</v>
      </c>
    </row>
    <row r="30" spans="1:3" x14ac:dyDescent="0.3">
      <c r="A30">
        <v>211</v>
      </c>
      <c r="B30">
        <v>63.73</v>
      </c>
      <c r="C30">
        <v>36.270000000000003</v>
      </c>
    </row>
    <row r="31" spans="1:3" x14ac:dyDescent="0.3">
      <c r="A31">
        <v>212</v>
      </c>
      <c r="B31">
        <v>59.92</v>
      </c>
      <c r="C31">
        <v>40.08</v>
      </c>
    </row>
    <row r="32" spans="1:3" x14ac:dyDescent="0.3">
      <c r="A32">
        <v>213</v>
      </c>
      <c r="B32">
        <v>66.56</v>
      </c>
      <c r="C32">
        <v>33.44</v>
      </c>
    </row>
    <row r="33" spans="1:3" x14ac:dyDescent="0.3">
      <c r="A33">
        <v>214</v>
      </c>
      <c r="B33">
        <v>69.239999999999995</v>
      </c>
      <c r="C33">
        <v>30.76</v>
      </c>
    </row>
    <row r="34" spans="1:3" x14ac:dyDescent="0.3">
      <c r="A34">
        <v>215</v>
      </c>
      <c r="B34">
        <v>68.849999999999994</v>
      </c>
      <c r="C34">
        <v>31.15</v>
      </c>
    </row>
    <row r="35" spans="1:3" x14ac:dyDescent="0.3">
      <c r="A35">
        <v>216</v>
      </c>
      <c r="B35">
        <v>68.97</v>
      </c>
      <c r="C35">
        <v>31.03</v>
      </c>
    </row>
    <row r="36" spans="1:3" x14ac:dyDescent="0.3">
      <c r="A36">
        <v>217</v>
      </c>
      <c r="B36">
        <v>68.48</v>
      </c>
      <c r="C36">
        <v>31.52</v>
      </c>
    </row>
    <row r="37" spans="1:3" x14ac:dyDescent="0.3">
      <c r="A37">
        <v>218</v>
      </c>
      <c r="B37">
        <v>68.28</v>
      </c>
      <c r="C37">
        <v>31.72</v>
      </c>
    </row>
    <row r="38" spans="1:3" x14ac:dyDescent="0.3">
      <c r="A38">
        <v>301</v>
      </c>
      <c r="B38">
        <v>68.41</v>
      </c>
      <c r="C38">
        <v>31.59</v>
      </c>
    </row>
    <row r="39" spans="1:3" x14ac:dyDescent="0.3">
      <c r="A39">
        <v>302</v>
      </c>
      <c r="B39">
        <v>65.36</v>
      </c>
      <c r="C39">
        <v>34.64</v>
      </c>
    </row>
    <row r="40" spans="1:3" x14ac:dyDescent="0.3">
      <c r="A40">
        <v>303</v>
      </c>
      <c r="B40">
        <v>70.150000000000006</v>
      </c>
      <c r="C40">
        <v>29.85</v>
      </c>
    </row>
    <row r="41" spans="1:3" x14ac:dyDescent="0.3">
      <c r="A41">
        <v>304</v>
      </c>
      <c r="B41">
        <v>65.25</v>
      </c>
      <c r="C41">
        <v>34.75</v>
      </c>
    </row>
    <row r="42" spans="1:3" x14ac:dyDescent="0.3">
      <c r="A42">
        <v>305</v>
      </c>
      <c r="B42">
        <v>69.66</v>
      </c>
      <c r="C42">
        <v>30.34</v>
      </c>
    </row>
    <row r="43" spans="1:3" x14ac:dyDescent="0.3">
      <c r="A43">
        <v>306</v>
      </c>
      <c r="B43">
        <v>68.599999999999994</v>
      </c>
      <c r="C43">
        <v>31.4</v>
      </c>
    </row>
    <row r="44" spans="1:3" x14ac:dyDescent="0.3">
      <c r="A44">
        <v>307</v>
      </c>
      <c r="B44">
        <v>63.89</v>
      </c>
      <c r="C44">
        <v>36.11</v>
      </c>
    </row>
    <row r="45" spans="1:3" x14ac:dyDescent="0.3">
      <c r="A45">
        <v>308</v>
      </c>
      <c r="B45">
        <v>66.13</v>
      </c>
      <c r="C45">
        <v>33.869999999999997</v>
      </c>
    </row>
    <row r="46" spans="1:3" x14ac:dyDescent="0.3">
      <c r="A46">
        <v>309</v>
      </c>
      <c r="B46">
        <v>65.3</v>
      </c>
      <c r="C46">
        <v>34.700000000000003</v>
      </c>
    </row>
    <row r="47" spans="1:3" x14ac:dyDescent="0.3">
      <c r="A47">
        <v>310</v>
      </c>
      <c r="B47">
        <v>67.02</v>
      </c>
      <c r="C47">
        <v>32.979999999999997</v>
      </c>
    </row>
    <row r="48" spans="1:3" x14ac:dyDescent="0.3">
      <c r="A48">
        <v>311</v>
      </c>
      <c r="B48">
        <v>65.650000000000006</v>
      </c>
      <c r="C48">
        <v>34.35</v>
      </c>
    </row>
    <row r="49" spans="1:3" x14ac:dyDescent="0.3">
      <c r="A49">
        <v>312</v>
      </c>
      <c r="B49">
        <v>69.37</v>
      </c>
      <c r="C49">
        <v>30.63</v>
      </c>
    </row>
    <row r="50" spans="1:3" x14ac:dyDescent="0.3">
      <c r="A50">
        <v>313</v>
      </c>
      <c r="B50">
        <v>65.94</v>
      </c>
      <c r="C50">
        <v>34.06</v>
      </c>
    </row>
    <row r="51" spans="1:3" x14ac:dyDescent="0.3">
      <c r="A51">
        <v>314</v>
      </c>
      <c r="B51">
        <v>68.41</v>
      </c>
      <c r="C51">
        <v>31.59</v>
      </c>
    </row>
    <row r="52" spans="1:3" x14ac:dyDescent="0.3">
      <c r="A52">
        <v>315</v>
      </c>
      <c r="B52">
        <v>65.91</v>
      </c>
      <c r="C52">
        <v>34.090000000000003</v>
      </c>
    </row>
    <row r="53" spans="1:3" x14ac:dyDescent="0.3">
      <c r="A53">
        <v>316</v>
      </c>
      <c r="B53">
        <v>66.2</v>
      </c>
      <c r="C53">
        <v>33.799999999999997</v>
      </c>
    </row>
    <row r="54" spans="1:3" x14ac:dyDescent="0.3">
      <c r="A54">
        <v>317</v>
      </c>
      <c r="B54">
        <v>67.59</v>
      </c>
      <c r="C54">
        <v>32.409999999999997</v>
      </c>
    </row>
    <row r="55" spans="1:3" x14ac:dyDescent="0.3">
      <c r="A55">
        <v>318</v>
      </c>
      <c r="B55">
        <v>72.069999999999993</v>
      </c>
      <c r="C55">
        <v>27.93</v>
      </c>
    </row>
    <row r="56" spans="1:3" x14ac:dyDescent="0.3">
      <c r="A56">
        <v>401</v>
      </c>
      <c r="B56">
        <v>63.97</v>
      </c>
      <c r="C56">
        <v>36.03</v>
      </c>
    </row>
    <row r="57" spans="1:3" x14ac:dyDescent="0.3">
      <c r="A57">
        <v>402</v>
      </c>
      <c r="B57">
        <v>71.010000000000005</v>
      </c>
      <c r="C57">
        <v>28.99</v>
      </c>
    </row>
    <row r="58" spans="1:3" x14ac:dyDescent="0.3">
      <c r="A58">
        <v>403</v>
      </c>
      <c r="B58">
        <v>67.19</v>
      </c>
      <c r="C58">
        <v>32.81</v>
      </c>
    </row>
    <row r="59" spans="1:3" x14ac:dyDescent="0.3">
      <c r="A59">
        <v>404</v>
      </c>
      <c r="B59">
        <v>71.14</v>
      </c>
      <c r="C59">
        <v>28.86</v>
      </c>
    </row>
    <row r="60" spans="1:3" x14ac:dyDescent="0.3">
      <c r="A60">
        <v>405</v>
      </c>
      <c r="B60">
        <v>70.36</v>
      </c>
      <c r="C60">
        <v>29.64</v>
      </c>
    </row>
    <row r="61" spans="1:3" x14ac:dyDescent="0.3">
      <c r="A61" t="s">
        <v>124</v>
      </c>
      <c r="B61">
        <v>70.45</v>
      </c>
      <c r="C61">
        <v>29.55</v>
      </c>
    </row>
    <row r="62" spans="1:3" x14ac:dyDescent="0.3">
      <c r="A62" t="s">
        <v>166</v>
      </c>
      <c r="B62">
        <v>65.22</v>
      </c>
      <c r="C62">
        <v>34.78</v>
      </c>
    </row>
    <row r="63" spans="1:3" x14ac:dyDescent="0.3">
      <c r="A63">
        <v>408</v>
      </c>
      <c r="B63">
        <v>63.06</v>
      </c>
      <c r="C63">
        <v>36.94</v>
      </c>
    </row>
    <row r="64" spans="1:3" x14ac:dyDescent="0.3">
      <c r="A64">
        <v>409</v>
      </c>
      <c r="B64">
        <v>68.89</v>
      </c>
      <c r="C64">
        <v>31.11</v>
      </c>
    </row>
    <row r="65" spans="1:3" x14ac:dyDescent="0.3">
      <c r="A65">
        <v>410</v>
      </c>
      <c r="B65">
        <v>71.959999999999994</v>
      </c>
      <c r="C65">
        <v>28.04</v>
      </c>
    </row>
    <row r="66" spans="1:3" x14ac:dyDescent="0.3">
      <c r="A66">
        <v>411</v>
      </c>
      <c r="B66">
        <v>67.45</v>
      </c>
      <c r="C66">
        <v>32.549999999999997</v>
      </c>
    </row>
    <row r="67" spans="1:3" x14ac:dyDescent="0.3">
      <c r="A67">
        <v>412</v>
      </c>
      <c r="B67">
        <v>69.930000000000007</v>
      </c>
      <c r="C67">
        <v>30.07</v>
      </c>
    </row>
    <row r="68" spans="1:3" x14ac:dyDescent="0.3">
      <c r="A68">
        <v>413</v>
      </c>
      <c r="B68">
        <v>70.81</v>
      </c>
      <c r="C68">
        <v>29.19</v>
      </c>
    </row>
    <row r="69" spans="1:3" x14ac:dyDescent="0.3">
      <c r="A69">
        <v>414</v>
      </c>
      <c r="B69">
        <v>67.91</v>
      </c>
      <c r="C69">
        <v>32.090000000000003</v>
      </c>
    </row>
    <row r="70" spans="1:3" x14ac:dyDescent="0.3">
      <c r="A70">
        <v>416</v>
      </c>
      <c r="B70">
        <v>67.41</v>
      </c>
      <c r="C70">
        <v>32.590000000000003</v>
      </c>
    </row>
    <row r="71" spans="1:3" x14ac:dyDescent="0.3">
      <c r="A71">
        <v>417</v>
      </c>
      <c r="B71">
        <v>66.58</v>
      </c>
      <c r="C71">
        <v>33.42</v>
      </c>
    </row>
    <row r="72" spans="1:3" x14ac:dyDescent="0.3">
      <c r="A72">
        <v>418</v>
      </c>
      <c r="B72">
        <v>70.599999999999994</v>
      </c>
      <c r="C72">
        <v>29.4</v>
      </c>
    </row>
    <row r="73" spans="1:3" x14ac:dyDescent="0.3">
      <c r="A73">
        <v>501</v>
      </c>
      <c r="B73">
        <v>66.62</v>
      </c>
      <c r="C73">
        <v>33.380000000000003</v>
      </c>
    </row>
    <row r="74" spans="1:3" x14ac:dyDescent="0.3">
      <c r="A74">
        <v>502</v>
      </c>
      <c r="B74">
        <v>69.25</v>
      </c>
      <c r="C74">
        <v>30.75</v>
      </c>
    </row>
    <row r="75" spans="1:3" x14ac:dyDescent="0.3">
      <c r="A75">
        <v>503</v>
      </c>
      <c r="B75">
        <v>64.69</v>
      </c>
      <c r="C75">
        <v>35.31</v>
      </c>
    </row>
    <row r="76" spans="1:3" x14ac:dyDescent="0.3">
      <c r="A76">
        <v>504</v>
      </c>
      <c r="B76">
        <v>57.96</v>
      </c>
      <c r="C76">
        <v>42.04</v>
      </c>
    </row>
    <row r="77" spans="1:3" x14ac:dyDescent="0.3">
      <c r="A77">
        <v>505</v>
      </c>
      <c r="B77">
        <v>64.48</v>
      </c>
      <c r="C77">
        <v>35.520000000000003</v>
      </c>
    </row>
    <row r="78" spans="1:3" x14ac:dyDescent="0.3">
      <c r="A78">
        <v>506</v>
      </c>
      <c r="B78">
        <v>68.11</v>
      </c>
      <c r="C78">
        <v>31.89</v>
      </c>
    </row>
    <row r="79" spans="1:3" x14ac:dyDescent="0.3">
      <c r="A79">
        <v>507</v>
      </c>
      <c r="B79">
        <v>67.48</v>
      </c>
      <c r="C79">
        <v>32.520000000000003</v>
      </c>
    </row>
    <row r="80" spans="1:3" x14ac:dyDescent="0.3">
      <c r="A80">
        <v>508</v>
      </c>
      <c r="B80">
        <v>65.709999999999994</v>
      </c>
      <c r="C80">
        <v>34.29</v>
      </c>
    </row>
    <row r="81" spans="1:3" x14ac:dyDescent="0.3">
      <c r="A81">
        <v>601</v>
      </c>
      <c r="B81">
        <v>65.099999999999994</v>
      </c>
      <c r="C81">
        <v>34.9</v>
      </c>
    </row>
    <row r="82" spans="1:3" x14ac:dyDescent="0.3">
      <c r="A82">
        <v>602</v>
      </c>
      <c r="B82">
        <v>68.31</v>
      </c>
      <c r="C82">
        <v>31.69</v>
      </c>
    </row>
    <row r="83" spans="1:3" x14ac:dyDescent="0.3">
      <c r="A83">
        <v>603</v>
      </c>
      <c r="B83">
        <v>63.26</v>
      </c>
      <c r="C83">
        <v>36.74</v>
      </c>
    </row>
    <row r="84" spans="1:3" x14ac:dyDescent="0.3">
      <c r="A84">
        <v>604</v>
      </c>
      <c r="B84">
        <v>66.44</v>
      </c>
      <c r="C84">
        <v>33.56</v>
      </c>
    </row>
    <row r="85" spans="1:3" x14ac:dyDescent="0.3">
      <c r="A85">
        <v>605</v>
      </c>
      <c r="B85">
        <v>59.93</v>
      </c>
      <c r="C85">
        <v>40.07</v>
      </c>
    </row>
    <row r="86" spans="1:3" x14ac:dyDescent="0.3">
      <c r="A86">
        <v>607</v>
      </c>
      <c r="B86">
        <v>68.459999999999994</v>
      </c>
      <c r="C86">
        <v>31.54</v>
      </c>
    </row>
    <row r="87" spans="1:3" x14ac:dyDescent="0.3">
      <c r="A87">
        <v>608</v>
      </c>
      <c r="B87">
        <v>65.44</v>
      </c>
      <c r="C87">
        <v>34.56</v>
      </c>
    </row>
    <row r="88" spans="1:3" x14ac:dyDescent="0.3">
      <c r="A88">
        <v>701</v>
      </c>
      <c r="B88">
        <v>62.16</v>
      </c>
      <c r="C88">
        <v>37.840000000000003</v>
      </c>
    </row>
    <row r="89" spans="1:3" x14ac:dyDescent="0.3">
      <c r="A89">
        <v>702</v>
      </c>
      <c r="B89">
        <v>63.55</v>
      </c>
      <c r="C89">
        <v>36.450000000000003</v>
      </c>
    </row>
    <row r="90" spans="1:3" x14ac:dyDescent="0.3">
      <c r="A90">
        <v>703</v>
      </c>
      <c r="B90">
        <v>69.02</v>
      </c>
      <c r="C90">
        <v>30.98</v>
      </c>
    </row>
    <row r="91" spans="1:3" x14ac:dyDescent="0.3">
      <c r="A91">
        <v>704</v>
      </c>
      <c r="B91">
        <v>68.83</v>
      </c>
      <c r="C91">
        <v>31.17</v>
      </c>
    </row>
    <row r="92" spans="1:3" x14ac:dyDescent="0.3">
      <c r="A92">
        <v>705</v>
      </c>
      <c r="B92">
        <v>68.38</v>
      </c>
      <c r="C92">
        <v>31.62</v>
      </c>
    </row>
    <row r="93" spans="1:3" x14ac:dyDescent="0.3">
      <c r="A93">
        <v>706</v>
      </c>
      <c r="B93">
        <v>67.38</v>
      </c>
      <c r="C93">
        <v>32.619999999999997</v>
      </c>
    </row>
    <row r="94" spans="1:3" x14ac:dyDescent="0.3">
      <c r="A94">
        <v>707</v>
      </c>
      <c r="B94">
        <v>65.67</v>
      </c>
      <c r="C94">
        <v>34.33</v>
      </c>
    </row>
    <row r="95" spans="1:3" x14ac:dyDescent="0.3">
      <c r="A95">
        <v>708</v>
      </c>
      <c r="B95">
        <v>70.63</v>
      </c>
      <c r="C95">
        <v>29.37</v>
      </c>
    </row>
    <row r="96" spans="1:3" x14ac:dyDescent="0.3">
      <c r="A96">
        <v>801</v>
      </c>
      <c r="B96">
        <v>62.7</v>
      </c>
      <c r="C96">
        <v>37.299999999999997</v>
      </c>
    </row>
    <row r="97" spans="1:3" x14ac:dyDescent="0.3">
      <c r="A97">
        <v>802</v>
      </c>
      <c r="B97">
        <v>64.25</v>
      </c>
      <c r="C97">
        <v>35.75</v>
      </c>
    </row>
    <row r="98" spans="1:3" x14ac:dyDescent="0.3">
      <c r="A98">
        <v>803</v>
      </c>
      <c r="B98">
        <v>68.989999999999995</v>
      </c>
      <c r="C98">
        <v>31.01</v>
      </c>
    </row>
    <row r="99" spans="1:3" x14ac:dyDescent="0.3">
      <c r="A99">
        <v>804</v>
      </c>
      <c r="B99">
        <v>64.709999999999994</v>
      </c>
      <c r="C99">
        <v>35.29</v>
      </c>
    </row>
    <row r="100" spans="1:3" x14ac:dyDescent="0.3">
      <c r="A100">
        <v>805</v>
      </c>
      <c r="B100">
        <v>69.41</v>
      </c>
      <c r="C100">
        <v>30.59</v>
      </c>
    </row>
    <row r="101" spans="1:3" x14ac:dyDescent="0.3">
      <c r="A101">
        <v>806</v>
      </c>
      <c r="B101">
        <v>60.58</v>
      </c>
      <c r="C101">
        <v>39.42</v>
      </c>
    </row>
    <row r="102" spans="1:3" x14ac:dyDescent="0.3">
      <c r="A102">
        <v>807</v>
      </c>
      <c r="B102">
        <v>68.62</v>
      </c>
      <c r="C102">
        <v>31.38</v>
      </c>
    </row>
    <row r="103" spans="1:3" x14ac:dyDescent="0.3">
      <c r="A103">
        <v>808</v>
      </c>
      <c r="B103">
        <v>61.63</v>
      </c>
      <c r="C103">
        <v>38.369999999999997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Chippewa County</vt:lpstr>
      <vt:lpstr>CC 14 day data and stem diam</vt:lpstr>
      <vt:lpstr>Sheet1</vt:lpstr>
      <vt:lpstr>CC height, stem count and WW</vt:lpstr>
      <vt:lpstr>CC moisutre and dry matter</vt:lpstr>
      <vt:lpstr>'Chippewa County'!Print_Area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Duley</dc:creator>
  <cp:lastModifiedBy>Carl Duley</cp:lastModifiedBy>
  <cp:lastPrinted>2022-06-15T20:16:59Z</cp:lastPrinted>
  <dcterms:created xsi:type="dcterms:W3CDTF">2022-05-13T19:31:08Z</dcterms:created>
  <dcterms:modified xsi:type="dcterms:W3CDTF">2023-03-22T17:54:29Z</dcterms:modified>
</cp:coreProperties>
</file>