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.duley\Desktop\Carl's Desktop\Desktop\hemp\2022 hemp plots\"/>
    </mc:Choice>
  </mc:AlternateContent>
  <xr:revisionPtr revIDLastSave="0" documentId="13_ncr:1_{35AE5030-CAAD-4DD9-8A3A-5ADAAAAFEDFB}" xr6:coauthVersionLast="47" xr6:coauthVersionMax="47" xr10:uidLastSave="{00000000-0000-0000-0000-000000000000}"/>
  <bookViews>
    <workbookView xWindow="-108" yWindow="-108" windowWidth="23256" windowHeight="12576" tabRatio="819" activeTab="1" xr2:uid="{0FF4FC0E-D994-4B1A-8CE6-1A5A055F7C1F}"/>
  </bookViews>
  <sheets>
    <sheet name="Whirling Thunder" sheetId="1" r:id="rId1"/>
    <sheet name="WT 14 day data and stem diam" sheetId="4" r:id="rId2"/>
    <sheet name="WT Height, stem count, and WW" sheetId="7" r:id="rId3"/>
    <sheet name="WT Moisture and Dry Matter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74" i="4" l="1"/>
  <c r="AK74" i="4" s="1"/>
  <c r="AJ73" i="4"/>
  <c r="AK73" i="4" s="1"/>
  <c r="AK72" i="4"/>
  <c r="AJ72" i="4"/>
  <c r="AJ71" i="4"/>
  <c r="AK71" i="4" s="1"/>
  <c r="AK70" i="4"/>
  <c r="AJ70" i="4"/>
  <c r="AJ69" i="4"/>
  <c r="AK69" i="4" s="1"/>
  <c r="AK68" i="4"/>
  <c r="AJ68" i="4"/>
  <c r="AJ67" i="4"/>
  <c r="AK67" i="4" s="1"/>
  <c r="AK66" i="4"/>
  <c r="AJ66" i="4"/>
  <c r="AJ65" i="4"/>
  <c r="AK65" i="4" s="1"/>
  <c r="AK64" i="4"/>
  <c r="AJ64" i="4"/>
  <c r="AJ63" i="4"/>
  <c r="AK63" i="4" s="1"/>
  <c r="AK62" i="4"/>
  <c r="AJ62" i="4"/>
  <c r="AJ61" i="4"/>
  <c r="AK61" i="4" s="1"/>
  <c r="AK60" i="4"/>
  <c r="AJ60" i="4"/>
  <c r="AJ59" i="4"/>
  <c r="AK59" i="4" s="1"/>
  <c r="AK58" i="4"/>
  <c r="AJ58" i="4"/>
  <c r="AJ57" i="4"/>
  <c r="AK57" i="4" s="1"/>
  <c r="AK56" i="4"/>
  <c r="AJ56" i="4"/>
  <c r="AJ55" i="4"/>
  <c r="AK55" i="4" s="1"/>
  <c r="AK54" i="4"/>
  <c r="AJ54" i="4"/>
  <c r="AJ53" i="4"/>
  <c r="AK53" i="4" s="1"/>
  <c r="AK52" i="4"/>
  <c r="AJ52" i="4"/>
  <c r="AJ51" i="4"/>
  <c r="AK51" i="4" s="1"/>
  <c r="AK50" i="4"/>
  <c r="AJ50" i="4"/>
  <c r="AJ49" i="4"/>
  <c r="AK49" i="4" s="1"/>
  <c r="AK48" i="4"/>
  <c r="AJ48" i="4"/>
  <c r="AJ47" i="4"/>
  <c r="AK47" i="4" s="1"/>
  <c r="AK46" i="4"/>
  <c r="AJ46" i="4"/>
  <c r="AJ45" i="4"/>
  <c r="AK45" i="4" s="1"/>
  <c r="AK44" i="4"/>
  <c r="AJ44" i="4"/>
  <c r="AJ43" i="4"/>
  <c r="AK43" i="4" s="1"/>
  <c r="AK42" i="4"/>
  <c r="AJ42" i="4"/>
  <c r="AJ41" i="4"/>
  <c r="AK41" i="4" s="1"/>
  <c r="AK40" i="4"/>
  <c r="AJ40" i="4"/>
  <c r="AJ39" i="4"/>
  <c r="AK39" i="4" s="1"/>
  <c r="AK38" i="4"/>
  <c r="AJ38" i="4"/>
  <c r="AJ37" i="4"/>
  <c r="AK37" i="4" s="1"/>
  <c r="AK36" i="4"/>
  <c r="AJ36" i="4"/>
  <c r="AJ35" i="4"/>
  <c r="AK35" i="4" s="1"/>
  <c r="AK34" i="4"/>
  <c r="AJ34" i="4"/>
  <c r="AJ33" i="4"/>
  <c r="AK33" i="4" s="1"/>
  <c r="AK32" i="4"/>
  <c r="AJ32" i="4"/>
  <c r="AJ31" i="4"/>
  <c r="AK31" i="4" s="1"/>
  <c r="AK30" i="4"/>
  <c r="AJ30" i="4"/>
  <c r="AJ29" i="4"/>
  <c r="AK29" i="4" s="1"/>
  <c r="AK28" i="4"/>
  <c r="AJ28" i="4"/>
  <c r="AJ27" i="4"/>
  <c r="AK27" i="4" s="1"/>
  <c r="AK26" i="4"/>
  <c r="AJ26" i="4"/>
  <c r="AJ25" i="4"/>
  <c r="AK25" i="4" s="1"/>
  <c r="AK24" i="4"/>
  <c r="AJ24" i="4"/>
  <c r="AJ23" i="4"/>
  <c r="AK23" i="4" s="1"/>
  <c r="AK22" i="4"/>
  <c r="AJ22" i="4"/>
  <c r="AJ21" i="4"/>
  <c r="AK21" i="4" s="1"/>
  <c r="AK20" i="4"/>
  <c r="AJ20" i="4"/>
  <c r="AJ19" i="4"/>
  <c r="AK19" i="4" s="1"/>
  <c r="AK18" i="4"/>
  <c r="AJ18" i="4"/>
  <c r="AJ17" i="4"/>
  <c r="AK17" i="4" s="1"/>
  <c r="AK16" i="4"/>
  <c r="AJ16" i="4"/>
  <c r="AJ15" i="4"/>
  <c r="AK15" i="4" s="1"/>
  <c r="AK14" i="4"/>
  <c r="AJ14" i="4"/>
  <c r="AJ13" i="4"/>
  <c r="AK13" i="4" s="1"/>
  <c r="AK12" i="4"/>
  <c r="AJ12" i="4"/>
  <c r="AJ11" i="4"/>
  <c r="AK11" i="4" s="1"/>
  <c r="AK10" i="4"/>
  <c r="AJ10" i="4"/>
  <c r="AJ9" i="4"/>
  <c r="AK9" i="4" s="1"/>
  <c r="AK8" i="4"/>
  <c r="AJ8" i="4"/>
  <c r="AJ7" i="4"/>
  <c r="AK7" i="4" s="1"/>
  <c r="AK6" i="4"/>
  <c r="AJ6" i="4"/>
  <c r="AJ5" i="4"/>
  <c r="AK5" i="4" s="1"/>
  <c r="AK4" i="4"/>
  <c r="AJ4" i="4"/>
  <c r="AJ3" i="4"/>
  <c r="AK3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3" i="4"/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3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</calcChain>
</file>

<file path=xl/sharedStrings.xml><?xml version="1.0" encoding="utf-8"?>
<sst xmlns="http://schemas.openxmlformats.org/spreadsheetml/2006/main" count="1147" uniqueCount="255">
  <si>
    <t>Trmt/Variety</t>
  </si>
  <si>
    <t>Description</t>
  </si>
  <si>
    <t>Fibror 79</t>
  </si>
  <si>
    <t>Futura 83</t>
  </si>
  <si>
    <t>Futura 75</t>
  </si>
  <si>
    <t>Santhica 70</t>
  </si>
  <si>
    <t>Carmenecta</t>
  </si>
  <si>
    <t>Enectarol</t>
  </si>
  <si>
    <t>USO 31</t>
  </si>
  <si>
    <t>Bialobrzeske</t>
  </si>
  <si>
    <t>Orion 33</t>
  </si>
  <si>
    <t>Tiborszallasi</t>
  </si>
  <si>
    <t>Fermion</t>
  </si>
  <si>
    <t>101-1</t>
  </si>
  <si>
    <t>102-2</t>
  </si>
  <si>
    <t>103-3</t>
  </si>
  <si>
    <t>104-4</t>
  </si>
  <si>
    <t>105-5</t>
  </si>
  <si>
    <t>106-6</t>
  </si>
  <si>
    <t>107-7</t>
  </si>
  <si>
    <t>108-8</t>
  </si>
  <si>
    <t>109-9</t>
  </si>
  <si>
    <t>110-10</t>
  </si>
  <si>
    <t>111-11</t>
  </si>
  <si>
    <t>112-12</t>
  </si>
  <si>
    <t>201-2</t>
  </si>
  <si>
    <t>202-6</t>
  </si>
  <si>
    <t>203-10</t>
  </si>
  <si>
    <t>204-4</t>
  </si>
  <si>
    <t>205-9</t>
  </si>
  <si>
    <t>206-7</t>
  </si>
  <si>
    <t>207-11</t>
  </si>
  <si>
    <t>208-1</t>
  </si>
  <si>
    <t>209-12</t>
  </si>
  <si>
    <t>210-8</t>
  </si>
  <si>
    <t>211-5</t>
  </si>
  <si>
    <t>212-3</t>
  </si>
  <si>
    <t>307-6</t>
  </si>
  <si>
    <t>308-9</t>
  </si>
  <si>
    <t>309-10</t>
  </si>
  <si>
    <t>310-5</t>
  </si>
  <si>
    <t>311-12</t>
  </si>
  <si>
    <t>312-7</t>
  </si>
  <si>
    <t>301-8</t>
  </si>
  <si>
    <t>302-3</t>
  </si>
  <si>
    <t>306-2</t>
  </si>
  <si>
    <t>305-11</t>
  </si>
  <si>
    <t>304-4</t>
  </si>
  <si>
    <t>303-1</t>
  </si>
  <si>
    <t>401-7</t>
  </si>
  <si>
    <t>402-4</t>
  </si>
  <si>
    <t>403-9</t>
  </si>
  <si>
    <t>404-10</t>
  </si>
  <si>
    <t>405-12</t>
  </si>
  <si>
    <t>406-3</t>
  </si>
  <si>
    <t>407-2</t>
  </si>
  <si>
    <t>408-6</t>
  </si>
  <si>
    <t>409-1</t>
  </si>
  <si>
    <t>410-11</t>
  </si>
  <si>
    <t>411-5</t>
  </si>
  <si>
    <t>412-8</t>
  </si>
  <si>
    <t xml:space="preserve"> </t>
  </si>
  <si>
    <t>Tibor 35</t>
  </si>
  <si>
    <t>Tibor 45</t>
  </si>
  <si>
    <t>Tibor 55</t>
  </si>
  <si>
    <t>Tibor 65</t>
  </si>
  <si>
    <t>Felina32 - 35</t>
  </si>
  <si>
    <t>Felina32 - 45</t>
  </si>
  <si>
    <t>Felina32 - 55</t>
  </si>
  <si>
    <t>Felina32 -65</t>
  </si>
  <si>
    <t>Trnt</t>
  </si>
  <si>
    <t>Trmt</t>
  </si>
  <si>
    <t>501-1</t>
  </si>
  <si>
    <t>502-2</t>
  </si>
  <si>
    <t>503-3</t>
  </si>
  <si>
    <t>504-4</t>
  </si>
  <si>
    <t>505-5</t>
  </si>
  <si>
    <t>506-6</t>
  </si>
  <si>
    <t>507-7</t>
  </si>
  <si>
    <t>508-8</t>
  </si>
  <si>
    <t>601-8</t>
  </si>
  <si>
    <t>602-4</t>
  </si>
  <si>
    <t>603-1</t>
  </si>
  <si>
    <t>604-6</t>
  </si>
  <si>
    <t>605-2</t>
  </si>
  <si>
    <t>606-5</t>
  </si>
  <si>
    <t>607-7</t>
  </si>
  <si>
    <t>608-3</t>
  </si>
  <si>
    <t>702-4</t>
  </si>
  <si>
    <t>703-2</t>
  </si>
  <si>
    <t>704-6</t>
  </si>
  <si>
    <t>705-7</t>
  </si>
  <si>
    <t>706-8</t>
  </si>
  <si>
    <t>707-1</t>
  </si>
  <si>
    <t>708-5</t>
  </si>
  <si>
    <t>801-4</t>
  </si>
  <si>
    <t>802-7</t>
  </si>
  <si>
    <t>803-5</t>
  </si>
  <si>
    <t>804-2</t>
  </si>
  <si>
    <t>805-6</t>
  </si>
  <si>
    <t>806-3</t>
  </si>
  <si>
    <t>807-8</t>
  </si>
  <si>
    <t>808-1</t>
  </si>
  <si>
    <t>Fiber Variety Trial</t>
  </si>
  <si>
    <t>Fiber seeding Rate trial</t>
  </si>
  <si>
    <t>Plots are 4 feet by 16 feet</t>
  </si>
  <si>
    <t>Ferimon</t>
  </si>
  <si>
    <t>201-6</t>
  </si>
  <si>
    <t>202-12</t>
  </si>
  <si>
    <t>203-4</t>
  </si>
  <si>
    <t>205-1</t>
  </si>
  <si>
    <t>206-9</t>
  </si>
  <si>
    <t>208-10</t>
  </si>
  <si>
    <t>209-8</t>
  </si>
  <si>
    <t>210-3</t>
  </si>
  <si>
    <t>212-2</t>
  </si>
  <si>
    <t>213-5</t>
  </si>
  <si>
    <t>214-7</t>
  </si>
  <si>
    <t>218-11</t>
  </si>
  <si>
    <t>301-10</t>
  </si>
  <si>
    <t>302-5</t>
  </si>
  <si>
    <t>304-12</t>
  </si>
  <si>
    <t>305-2</t>
  </si>
  <si>
    <t>306-3</t>
  </si>
  <si>
    <t>307-1</t>
  </si>
  <si>
    <t>308-4</t>
  </si>
  <si>
    <t>312-11</t>
  </si>
  <si>
    <t>314-8</t>
  </si>
  <si>
    <t>316-6</t>
  </si>
  <si>
    <t>317-7</t>
  </si>
  <si>
    <t>318-9</t>
  </si>
  <si>
    <t>404-9</t>
  </si>
  <si>
    <t>405-11</t>
  </si>
  <si>
    <t>406-7</t>
  </si>
  <si>
    <t>407-12</t>
  </si>
  <si>
    <t>411-8</t>
  </si>
  <si>
    <t>412-2</t>
  </si>
  <si>
    <t>413-10</t>
  </si>
  <si>
    <t>414-5</t>
  </si>
  <si>
    <t>415-1</t>
  </si>
  <si>
    <t>416-4</t>
  </si>
  <si>
    <t>417-6</t>
  </si>
  <si>
    <t>418-3</t>
  </si>
  <si>
    <t>701-3</t>
  </si>
  <si>
    <t>Monroe County - Whirling Thunder</t>
  </si>
  <si>
    <t>Muka</t>
  </si>
  <si>
    <t>Plot #</t>
  </si>
  <si>
    <t>Maturity (E or L)</t>
  </si>
  <si>
    <t>Stem count</t>
  </si>
  <si>
    <t>Avg height (in)</t>
  </si>
  <si>
    <t>Variety</t>
  </si>
  <si>
    <t>Wet weight (kg)</t>
  </si>
  <si>
    <t>Sample number</t>
  </si>
  <si>
    <t>variety/trt</t>
  </si>
  <si>
    <t>% moisture</t>
  </si>
  <si>
    <t>% dry matter</t>
  </si>
  <si>
    <t>WT-101-1</t>
  </si>
  <si>
    <t>WT-102-2</t>
  </si>
  <si>
    <t>WT-103-3</t>
  </si>
  <si>
    <t>WT-104-4</t>
  </si>
  <si>
    <t>WT-105-5</t>
  </si>
  <si>
    <t>WT-106-6</t>
  </si>
  <si>
    <t>WT-107-7</t>
  </si>
  <si>
    <t>WT 108-8</t>
  </si>
  <si>
    <t>WT-109-9</t>
  </si>
  <si>
    <t>WT-110-10</t>
  </si>
  <si>
    <t>WT-111-11</t>
  </si>
  <si>
    <t>Wt-112-12</t>
  </si>
  <si>
    <t>WT-201-2</t>
  </si>
  <si>
    <t>WT-202-6</t>
  </si>
  <si>
    <t>WT-203-10</t>
  </si>
  <si>
    <t>WT-204-4</t>
  </si>
  <si>
    <t>WT-205-9</t>
  </si>
  <si>
    <t>WT-206-7</t>
  </si>
  <si>
    <t>WT-207-11</t>
  </si>
  <si>
    <t>WT-208-1</t>
  </si>
  <si>
    <t>WT-210-8</t>
  </si>
  <si>
    <t>WT-211-5</t>
  </si>
  <si>
    <t>WT-212-3</t>
  </si>
  <si>
    <t>WT-301-8</t>
  </si>
  <si>
    <t>WT-302-3</t>
  </si>
  <si>
    <t>WT-303-1</t>
  </si>
  <si>
    <t>WT-304-4</t>
  </si>
  <si>
    <t>WT-305-11</t>
  </si>
  <si>
    <t>WT-306-2</t>
  </si>
  <si>
    <t>WT-307-6</t>
  </si>
  <si>
    <t>WT-308-9</t>
  </si>
  <si>
    <t>WT-309-10</t>
  </si>
  <si>
    <t>WT-310-5</t>
  </si>
  <si>
    <t>WT-311-12</t>
  </si>
  <si>
    <t>WT-312-7</t>
  </si>
  <si>
    <t>WT-401-7</t>
  </si>
  <si>
    <t>WT-402-4</t>
  </si>
  <si>
    <t>WT-403-9</t>
  </si>
  <si>
    <t>WT-404-10</t>
  </si>
  <si>
    <t>WT-405-12</t>
  </si>
  <si>
    <t>WT-406-3</t>
  </si>
  <si>
    <t>WT-407-2</t>
  </si>
  <si>
    <t>WT-408-6</t>
  </si>
  <si>
    <t>WT-409-1</t>
  </si>
  <si>
    <t>WT-410-11</t>
  </si>
  <si>
    <t>WT-411-5</t>
  </si>
  <si>
    <t>WT-412-8</t>
  </si>
  <si>
    <t>WT-501-1</t>
  </si>
  <si>
    <t>WT-502-2</t>
  </si>
  <si>
    <t>WT-503-3</t>
  </si>
  <si>
    <t>WT-504-4</t>
  </si>
  <si>
    <t>WT-505-5</t>
  </si>
  <si>
    <t>WT-506-6</t>
  </si>
  <si>
    <t>WT-507-7</t>
  </si>
  <si>
    <t>WT-508-8</t>
  </si>
  <si>
    <t>WT-601-8</t>
  </si>
  <si>
    <t>WT-602-4</t>
  </si>
  <si>
    <t>WT603-1</t>
  </si>
  <si>
    <t>WT604-6</t>
  </si>
  <si>
    <t>WT-605-2</t>
  </si>
  <si>
    <t>WT-606-5</t>
  </si>
  <si>
    <t>WT-607-7</t>
  </si>
  <si>
    <t>WT-608-3</t>
  </si>
  <si>
    <t>WT-701-3</t>
  </si>
  <si>
    <t>WT-702-4</t>
  </si>
  <si>
    <t>WT-703-2</t>
  </si>
  <si>
    <t>WT-704-6</t>
  </si>
  <si>
    <t>WT-705-7</t>
  </si>
  <si>
    <t>WT-706-8</t>
  </si>
  <si>
    <t>WT-707-1</t>
  </si>
  <si>
    <t>WT-708-5</t>
  </si>
  <si>
    <t>Whirling Thunder Moisture and Dry Matter</t>
  </si>
  <si>
    <t>Fibror79</t>
  </si>
  <si>
    <t>Futura83</t>
  </si>
  <si>
    <t>Futura75</t>
  </si>
  <si>
    <t>Santhica70</t>
  </si>
  <si>
    <t>USO31</t>
  </si>
  <si>
    <t>Bialob</t>
  </si>
  <si>
    <t>Orion33</t>
  </si>
  <si>
    <t>Tibor</t>
  </si>
  <si>
    <t>L</t>
  </si>
  <si>
    <t>Tibor50</t>
  </si>
  <si>
    <t>Tibor60</t>
  </si>
  <si>
    <t>Tibor70</t>
  </si>
  <si>
    <t>Tibor80</t>
  </si>
  <si>
    <t>Felina50</t>
  </si>
  <si>
    <t>Felina60</t>
  </si>
  <si>
    <t>Felina70</t>
  </si>
  <si>
    <t>Felina80</t>
  </si>
  <si>
    <t>Stem Diameter - Bottom (cm)</t>
  </si>
  <si>
    <t>Stem Diameter - Top (cm)</t>
  </si>
  <si>
    <t>Tare weight (kg)</t>
  </si>
  <si>
    <t>Avg height (cm)</t>
  </si>
  <si>
    <t>2,84</t>
  </si>
  <si>
    <t>stems/acre</t>
  </si>
  <si>
    <t>Harvest</t>
  </si>
  <si>
    <t>DM%</t>
  </si>
  <si>
    <t>Kg DM/acre</t>
  </si>
  <si>
    <t>Ton DM/acre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</si>
</sst>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7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0" borderId="0" xfId="0" applyFont="1"/>
    <xf numFmtId="2" fontId="0" fillId="0" borderId="0" xfId="0" applyNumberFormat="1"/>
    <xf numFmtId="0" fontId="0" fillId="2" borderId="0" xfId="0" applyFill="1"/>
    <xf numFmtId="0" fontId="0" fillId="10" borderId="0" xfId="0" applyFill="1"/>
    <xf numFmtId="0" fontId="0" fillId="12" borderId="0" xfId="0" applyFill="1"/>
    <xf numFmtId="0" fontId="0" fillId="13" borderId="0" xfId="0" applyFill="1"/>
    <xf numFmtId="0" fontId="0" fillId="7" borderId="0" xfId="0" applyFill="1"/>
    <xf numFmtId="0" fontId="0" fillId="14" borderId="0" xfId="0" applyFill="1"/>
    <xf numFmtId="0" fontId="0" fillId="15" borderId="0" xfId="0" applyFill="1"/>
    <xf numFmtId="0" fontId="0" fillId="9" borderId="0" xfId="0" applyFill="1"/>
    <xf numFmtId="0" fontId="0" fillId="18" borderId="0" xfId="0" applyFill="1"/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  <color rgb="FFFF99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D1ED-D585-49F5-9035-D0C450210BF1}">
  <sheetPr>
    <pageSetUpPr fitToPage="1"/>
  </sheetPr>
  <dimension ref="A1:R23"/>
  <sheetViews>
    <sheetView topLeftCell="A5" workbookViewId="0">
      <selection activeCell="P5" sqref="P5"/>
    </sheetView>
  </sheetViews>
  <sheetFormatPr defaultRowHeight="14.4" x14ac:dyDescent="0.3"/>
  <cols>
    <col min="2" max="2" width="13.21875" style="1" bestFit="1" customWidth="1"/>
    <col min="3" max="3" width="12.109375" style="2" bestFit="1" customWidth="1"/>
    <col min="4" max="4" width="13.21875" style="1" bestFit="1" customWidth="1"/>
    <col min="5" max="5" width="12.77734375" style="2" bestFit="1" customWidth="1"/>
  </cols>
  <sheetData>
    <row r="1" spans="1:18" ht="15.6" x14ac:dyDescent="0.3">
      <c r="A1" s="5"/>
      <c r="B1" s="6"/>
      <c r="C1" s="7"/>
      <c r="D1" s="6"/>
      <c r="E1" s="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.6" x14ac:dyDescent="0.3">
      <c r="A2" s="5"/>
      <c r="B2" s="4" t="s">
        <v>144</v>
      </c>
      <c r="C2" s="7"/>
      <c r="D2" s="6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5.6" x14ac:dyDescent="0.3">
      <c r="A3" s="5"/>
      <c r="B3" s="7" t="s">
        <v>105</v>
      </c>
      <c r="C3" s="7"/>
      <c r="D3" s="6"/>
      <c r="E3" s="7" t="s">
        <v>61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15.6" x14ac:dyDescent="0.3">
      <c r="A4" s="5"/>
      <c r="B4" s="6"/>
      <c r="C4" s="7"/>
      <c r="D4" s="6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5.6" x14ac:dyDescent="0.3">
      <c r="A5" s="5"/>
      <c r="B5" s="6"/>
      <c r="C5" s="7"/>
      <c r="D5" s="6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.6" x14ac:dyDescent="0.3">
      <c r="A6" s="5"/>
      <c r="B6" s="6"/>
      <c r="C6" s="7"/>
      <c r="D6" s="6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.6" x14ac:dyDescent="0.3">
      <c r="A7" s="5"/>
      <c r="B7" s="4" t="s">
        <v>103</v>
      </c>
      <c r="C7" s="7"/>
      <c r="D7" s="6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.6" x14ac:dyDescent="0.3">
      <c r="B8" s="3" t="s">
        <v>0</v>
      </c>
      <c r="C8" s="4" t="s">
        <v>1</v>
      </c>
      <c r="D8" s="3" t="s">
        <v>0</v>
      </c>
      <c r="E8" s="4" t="s">
        <v>1</v>
      </c>
      <c r="F8" s="5"/>
      <c r="G8" s="5"/>
      <c r="H8" s="5"/>
      <c r="I8" s="5"/>
      <c r="J8" s="5"/>
      <c r="K8" s="5"/>
      <c r="L8" s="5"/>
      <c r="M8" s="5"/>
      <c r="N8" s="5"/>
    </row>
    <row r="9" spans="1:18" ht="15.6" x14ac:dyDescent="0.3">
      <c r="B9" s="6">
        <v>1</v>
      </c>
      <c r="C9" s="7" t="s">
        <v>2</v>
      </c>
      <c r="D9" s="6">
        <v>6</v>
      </c>
      <c r="E9" s="7" t="s">
        <v>7</v>
      </c>
      <c r="F9" s="5"/>
      <c r="G9" s="12" t="s">
        <v>18</v>
      </c>
      <c r="H9" s="12" t="s">
        <v>24</v>
      </c>
      <c r="I9" s="13" t="s">
        <v>30</v>
      </c>
      <c r="J9" s="13" t="s">
        <v>36</v>
      </c>
      <c r="K9" s="14" t="s">
        <v>45</v>
      </c>
      <c r="L9" s="14" t="s">
        <v>42</v>
      </c>
      <c r="M9" s="15" t="s">
        <v>54</v>
      </c>
      <c r="N9" s="15" t="s">
        <v>60</v>
      </c>
    </row>
    <row r="10" spans="1:18" ht="15.6" x14ac:dyDescent="0.3">
      <c r="B10" s="6">
        <v>2</v>
      </c>
      <c r="C10" s="7" t="s">
        <v>3</v>
      </c>
      <c r="D10" s="6">
        <v>7</v>
      </c>
      <c r="E10" s="7" t="s">
        <v>8</v>
      </c>
      <c r="F10" s="5"/>
      <c r="G10" s="12" t="s">
        <v>17</v>
      </c>
      <c r="H10" s="12" t="s">
        <v>23</v>
      </c>
      <c r="I10" s="13" t="s">
        <v>29</v>
      </c>
      <c r="J10" s="13" t="s">
        <v>35</v>
      </c>
      <c r="K10" s="14" t="s">
        <v>46</v>
      </c>
      <c r="L10" s="14" t="s">
        <v>41</v>
      </c>
      <c r="M10" s="15" t="s">
        <v>53</v>
      </c>
      <c r="N10" s="15" t="s">
        <v>59</v>
      </c>
    </row>
    <row r="11" spans="1:18" ht="15.6" x14ac:dyDescent="0.3">
      <c r="B11" s="6">
        <v>3</v>
      </c>
      <c r="C11" s="7" t="s">
        <v>4</v>
      </c>
      <c r="D11" s="6">
        <v>8</v>
      </c>
      <c r="E11" s="7" t="s">
        <v>9</v>
      </c>
      <c r="F11" s="5"/>
      <c r="G11" s="12" t="s">
        <v>16</v>
      </c>
      <c r="H11" s="12" t="s">
        <v>22</v>
      </c>
      <c r="I11" s="13" t="s">
        <v>28</v>
      </c>
      <c r="J11" s="13" t="s">
        <v>34</v>
      </c>
      <c r="K11" s="14" t="s">
        <v>47</v>
      </c>
      <c r="L11" s="14" t="s">
        <v>40</v>
      </c>
      <c r="M11" s="15" t="s">
        <v>52</v>
      </c>
      <c r="N11" s="15" t="s">
        <v>58</v>
      </c>
    </row>
    <row r="12" spans="1:18" ht="15.6" x14ac:dyDescent="0.3">
      <c r="B12" s="6">
        <v>4</v>
      </c>
      <c r="C12" s="7" t="s">
        <v>5</v>
      </c>
      <c r="D12" s="6">
        <v>9</v>
      </c>
      <c r="E12" s="7" t="s">
        <v>10</v>
      </c>
      <c r="F12" s="5"/>
      <c r="G12" s="12" t="s">
        <v>15</v>
      </c>
      <c r="H12" s="12" t="s">
        <v>21</v>
      </c>
      <c r="I12" s="13" t="s">
        <v>27</v>
      </c>
      <c r="J12" s="13" t="s">
        <v>33</v>
      </c>
      <c r="K12" s="14" t="s">
        <v>48</v>
      </c>
      <c r="L12" s="14" t="s">
        <v>39</v>
      </c>
      <c r="M12" s="15" t="s">
        <v>51</v>
      </c>
      <c r="N12" s="15" t="s">
        <v>57</v>
      </c>
    </row>
    <row r="13" spans="1:18" ht="15.6" x14ac:dyDescent="0.3">
      <c r="B13" s="6">
        <v>5</v>
      </c>
      <c r="C13" s="7" t="s">
        <v>6</v>
      </c>
      <c r="D13" s="6">
        <v>10</v>
      </c>
      <c r="E13" s="7" t="s">
        <v>11</v>
      </c>
      <c r="F13" s="5"/>
      <c r="G13" s="12" t="s">
        <v>14</v>
      </c>
      <c r="H13" s="12" t="s">
        <v>20</v>
      </c>
      <c r="I13" s="13" t="s">
        <v>26</v>
      </c>
      <c r="J13" s="13" t="s">
        <v>32</v>
      </c>
      <c r="K13" s="14" t="s">
        <v>44</v>
      </c>
      <c r="L13" s="14" t="s">
        <v>38</v>
      </c>
      <c r="M13" s="15" t="s">
        <v>50</v>
      </c>
      <c r="N13" s="15" t="s">
        <v>56</v>
      </c>
    </row>
    <row r="14" spans="1:18" ht="15.6" x14ac:dyDescent="0.3">
      <c r="B14" s="6"/>
      <c r="C14" s="7"/>
      <c r="D14" s="6">
        <v>11</v>
      </c>
      <c r="E14" s="7" t="s">
        <v>145</v>
      </c>
      <c r="F14" s="5"/>
      <c r="G14" s="12" t="s">
        <v>13</v>
      </c>
      <c r="H14" s="12" t="s">
        <v>19</v>
      </c>
      <c r="I14" s="13" t="s">
        <v>25</v>
      </c>
      <c r="J14" s="13" t="s">
        <v>31</v>
      </c>
      <c r="K14" s="14" t="s">
        <v>43</v>
      </c>
      <c r="L14" s="14" t="s">
        <v>37</v>
      </c>
      <c r="M14" s="15" t="s">
        <v>49</v>
      </c>
      <c r="N14" s="15" t="s">
        <v>55</v>
      </c>
    </row>
    <row r="15" spans="1:18" ht="15.6" x14ac:dyDescent="0.3">
      <c r="B15" s="6"/>
      <c r="C15" s="7"/>
      <c r="D15" s="6">
        <v>12</v>
      </c>
      <c r="E15" s="7" t="s">
        <v>12</v>
      </c>
      <c r="F15" s="5"/>
    </row>
    <row r="16" spans="1:18" ht="15.6" x14ac:dyDescent="0.3">
      <c r="B16" s="6"/>
      <c r="C16" s="7"/>
      <c r="D16" s="6"/>
      <c r="E16" s="7"/>
      <c r="F16" s="5"/>
    </row>
    <row r="17" spans="2:14" ht="15.6" x14ac:dyDescent="0.3">
      <c r="B17" s="4" t="s">
        <v>104</v>
      </c>
      <c r="C17" s="7"/>
      <c r="D17" s="6"/>
      <c r="E17" s="7"/>
      <c r="F17" s="5"/>
    </row>
    <row r="18" spans="2:14" ht="15.6" x14ac:dyDescent="0.3">
      <c r="B18" s="3" t="s">
        <v>71</v>
      </c>
      <c r="C18" s="4" t="s">
        <v>1</v>
      </c>
      <c r="D18" s="3" t="s">
        <v>70</v>
      </c>
      <c r="E18" s="4" t="s">
        <v>1</v>
      </c>
      <c r="F18" s="5"/>
    </row>
    <row r="19" spans="2:14" ht="15.6" x14ac:dyDescent="0.3">
      <c r="B19" s="6">
        <v>1</v>
      </c>
      <c r="C19" s="7" t="s">
        <v>62</v>
      </c>
      <c r="D19" s="6">
        <v>5</v>
      </c>
      <c r="E19" s="7" t="s">
        <v>66</v>
      </c>
      <c r="F19" s="5"/>
      <c r="G19" s="8" t="s">
        <v>75</v>
      </c>
      <c r="H19" s="8" t="s">
        <v>79</v>
      </c>
      <c r="I19" s="9" t="s">
        <v>83</v>
      </c>
      <c r="J19" s="9" t="s">
        <v>87</v>
      </c>
      <c r="K19" s="10" t="s">
        <v>90</v>
      </c>
      <c r="L19" s="10" t="s">
        <v>94</v>
      </c>
      <c r="M19" s="11" t="s">
        <v>98</v>
      </c>
      <c r="N19" s="11" t="s">
        <v>102</v>
      </c>
    </row>
    <row r="20" spans="2:14" ht="15.6" x14ac:dyDescent="0.3">
      <c r="B20" s="6">
        <v>2</v>
      </c>
      <c r="C20" s="7" t="s">
        <v>63</v>
      </c>
      <c r="D20" s="6">
        <v>6</v>
      </c>
      <c r="E20" s="7" t="s">
        <v>67</v>
      </c>
      <c r="F20" s="5"/>
      <c r="G20" s="8" t="s">
        <v>74</v>
      </c>
      <c r="H20" s="8" t="s">
        <v>78</v>
      </c>
      <c r="I20" s="9" t="s">
        <v>82</v>
      </c>
      <c r="J20" s="9" t="s">
        <v>86</v>
      </c>
      <c r="K20" s="10" t="s">
        <v>89</v>
      </c>
      <c r="L20" s="10" t="s">
        <v>93</v>
      </c>
      <c r="M20" s="11" t="s">
        <v>97</v>
      </c>
      <c r="N20" s="11" t="s">
        <v>101</v>
      </c>
    </row>
    <row r="21" spans="2:14" ht="15.6" x14ac:dyDescent="0.3">
      <c r="B21" s="6">
        <v>3</v>
      </c>
      <c r="C21" s="7" t="s">
        <v>64</v>
      </c>
      <c r="D21" s="6">
        <v>7</v>
      </c>
      <c r="E21" s="7" t="s">
        <v>68</v>
      </c>
      <c r="F21" s="5"/>
      <c r="G21" s="8" t="s">
        <v>73</v>
      </c>
      <c r="H21" s="8" t="s">
        <v>77</v>
      </c>
      <c r="I21" s="9" t="s">
        <v>81</v>
      </c>
      <c r="J21" s="9" t="s">
        <v>85</v>
      </c>
      <c r="K21" s="10" t="s">
        <v>88</v>
      </c>
      <c r="L21" s="10" t="s">
        <v>92</v>
      </c>
      <c r="M21" s="11" t="s">
        <v>96</v>
      </c>
      <c r="N21" s="11" t="s">
        <v>100</v>
      </c>
    </row>
    <row r="22" spans="2:14" ht="15.6" x14ac:dyDescent="0.3">
      <c r="B22" s="6">
        <v>4</v>
      </c>
      <c r="C22" s="7" t="s">
        <v>65</v>
      </c>
      <c r="D22" s="6">
        <v>8</v>
      </c>
      <c r="E22" s="7" t="s">
        <v>69</v>
      </c>
      <c r="F22" s="5"/>
      <c r="G22" s="8" t="s">
        <v>72</v>
      </c>
      <c r="H22" s="8" t="s">
        <v>76</v>
      </c>
      <c r="I22" s="9" t="s">
        <v>80</v>
      </c>
      <c r="J22" s="9" t="s">
        <v>84</v>
      </c>
      <c r="K22" s="10" t="s">
        <v>143</v>
      </c>
      <c r="L22" s="10" t="s">
        <v>91</v>
      </c>
      <c r="M22" s="11" t="s">
        <v>95</v>
      </c>
      <c r="N22" s="11" t="s">
        <v>99</v>
      </c>
    </row>
    <row r="23" spans="2:14" x14ac:dyDescent="0.3">
      <c r="B23" s="1" t="s">
        <v>61</v>
      </c>
    </row>
  </sheetData>
  <sortState xmlns:xlrd2="http://schemas.microsoft.com/office/spreadsheetml/2017/richdata2" ref="S13:T18">
    <sortCondition ref="T13:T18"/>
  </sortState>
  <pageMargins left="0.7" right="0.7" top="0.75" bottom="0.75" header="0.3" footer="0.3"/>
  <pageSetup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A2F0-A1A1-44A9-A47E-75BA61AC2F36}">
  <dimension ref="A1:AK144"/>
  <sheetViews>
    <sheetView tabSelected="1" topLeftCell="M1" zoomScale="80" zoomScaleNormal="80" workbookViewId="0">
      <selection activeCell="AH2" sqref="AH2:AK74"/>
    </sheetView>
  </sheetViews>
  <sheetFormatPr defaultRowHeight="14.4" x14ac:dyDescent="0.3"/>
  <cols>
    <col min="1" max="1" width="6.77734375" bestFit="1" customWidth="1"/>
    <col min="2" max="2" width="10.77734375" hidden="1" customWidth="1"/>
    <col min="3" max="3" width="14.33203125" hidden="1" customWidth="1"/>
    <col min="4" max="4" width="10.21875" bestFit="1" customWidth="1"/>
    <col min="5" max="5" width="10.21875" customWidth="1"/>
    <col min="6" max="6" width="14.44140625" bestFit="1" customWidth="1"/>
    <col min="7" max="7" width="8.33203125" customWidth="1"/>
    <col min="8" max="8" width="11" bestFit="1" customWidth="1"/>
    <col min="9" max="9" width="12.109375" style="30" bestFit="1" customWidth="1"/>
    <col min="12" max="12" width="10.77734375" bestFit="1" customWidth="1"/>
  </cols>
  <sheetData>
    <row r="1" spans="1:37" x14ac:dyDescent="0.3">
      <c r="D1" t="s">
        <v>251</v>
      </c>
      <c r="M1" s="27" t="s">
        <v>245</v>
      </c>
      <c r="N1" s="27"/>
      <c r="O1" s="27"/>
      <c r="P1" s="27"/>
      <c r="Q1" s="27"/>
      <c r="R1" s="27"/>
      <c r="S1" s="27"/>
      <c r="T1" s="27"/>
      <c r="U1" s="27"/>
      <c r="V1" s="27"/>
      <c r="W1" s="28" t="s">
        <v>246</v>
      </c>
      <c r="X1" s="28"/>
      <c r="Y1" s="28"/>
      <c r="Z1" s="28"/>
      <c r="AA1" s="28"/>
      <c r="AB1" s="28"/>
      <c r="AC1" s="28"/>
      <c r="AD1" s="28"/>
      <c r="AE1" s="28"/>
      <c r="AF1" s="28"/>
    </row>
    <row r="2" spans="1:37" x14ac:dyDescent="0.3">
      <c r="A2" t="s">
        <v>146</v>
      </c>
      <c r="B2" t="s">
        <v>150</v>
      </c>
      <c r="C2" t="s">
        <v>147</v>
      </c>
      <c r="D2" t="s">
        <v>148</v>
      </c>
      <c r="E2" t="s">
        <v>250</v>
      </c>
      <c r="F2" t="s">
        <v>151</v>
      </c>
      <c r="G2" t="s">
        <v>252</v>
      </c>
      <c r="H2" t="s">
        <v>253</v>
      </c>
      <c r="I2" s="30" t="s">
        <v>254</v>
      </c>
      <c r="K2" s="16" t="s">
        <v>146</v>
      </c>
      <c r="L2" s="16" t="s">
        <v>150</v>
      </c>
      <c r="M2" s="16">
        <v>1</v>
      </c>
      <c r="N2" s="16">
        <v>2</v>
      </c>
      <c r="O2" s="16">
        <v>3</v>
      </c>
      <c r="P2" s="16">
        <v>4</v>
      </c>
      <c r="Q2" s="16">
        <v>5</v>
      </c>
      <c r="R2" s="16">
        <v>6</v>
      </c>
      <c r="S2" s="16">
        <v>7</v>
      </c>
      <c r="T2" s="16">
        <v>8</v>
      </c>
      <c r="U2" s="16">
        <v>9</v>
      </c>
      <c r="V2" s="16">
        <v>10</v>
      </c>
      <c r="W2" s="16">
        <v>1</v>
      </c>
      <c r="X2" s="16">
        <v>2</v>
      </c>
      <c r="Y2" s="16">
        <v>3</v>
      </c>
      <c r="Z2" s="16">
        <v>4</v>
      </c>
      <c r="AA2" s="16">
        <v>5</v>
      </c>
      <c r="AB2" s="16">
        <v>6</v>
      </c>
      <c r="AC2" s="16">
        <v>7</v>
      </c>
      <c r="AD2" s="16">
        <v>8</v>
      </c>
      <c r="AE2" s="16">
        <v>9</v>
      </c>
      <c r="AF2" s="16">
        <v>10</v>
      </c>
      <c r="AH2" t="s">
        <v>146</v>
      </c>
      <c r="AI2" t="s">
        <v>150</v>
      </c>
      <c r="AJ2" t="s">
        <v>149</v>
      </c>
      <c r="AK2" t="s">
        <v>248</v>
      </c>
    </row>
    <row r="3" spans="1:37" x14ac:dyDescent="0.3">
      <c r="A3" s="19" t="s">
        <v>13</v>
      </c>
      <c r="B3" t="s">
        <v>228</v>
      </c>
      <c r="C3" s="1" t="s">
        <v>236</v>
      </c>
      <c r="D3">
        <v>95</v>
      </c>
      <c r="E3">
        <f>+(D3/(12/43560))</f>
        <v>344850.00000000006</v>
      </c>
      <c r="F3">
        <v>3.66</v>
      </c>
      <c r="G3">
        <v>27.72</v>
      </c>
      <c r="H3">
        <f>+(F3*(G3/100))/(12/43560)</f>
        <v>3682.8237600000007</v>
      </c>
      <c r="I3" s="30">
        <f>+(H3*0.0011023113109244)</f>
        <v>4.0596182867891288</v>
      </c>
      <c r="K3" s="19" t="s">
        <v>13</v>
      </c>
      <c r="L3" t="s">
        <v>228</v>
      </c>
      <c r="M3">
        <v>8.32</v>
      </c>
      <c r="N3">
        <v>5.47</v>
      </c>
      <c r="O3">
        <v>6.88</v>
      </c>
      <c r="P3">
        <v>6.74</v>
      </c>
      <c r="Q3">
        <v>6.33</v>
      </c>
      <c r="R3">
        <v>5.7</v>
      </c>
      <c r="S3">
        <v>5.0999999999999996</v>
      </c>
      <c r="T3">
        <v>7.62</v>
      </c>
      <c r="U3">
        <v>6.83</v>
      </c>
      <c r="V3">
        <v>9.2200000000000006</v>
      </c>
      <c r="W3">
        <v>2.94</v>
      </c>
      <c r="X3">
        <v>3.19</v>
      </c>
      <c r="Y3">
        <v>3.46</v>
      </c>
      <c r="Z3">
        <v>3.06</v>
      </c>
      <c r="AA3">
        <v>2.48</v>
      </c>
      <c r="AB3">
        <v>2.42</v>
      </c>
      <c r="AC3">
        <v>3.77</v>
      </c>
      <c r="AD3">
        <v>3.13</v>
      </c>
      <c r="AE3">
        <v>2.9</v>
      </c>
      <c r="AF3">
        <v>4.33</v>
      </c>
      <c r="AH3" s="19" t="s">
        <v>13</v>
      </c>
      <c r="AI3" t="s">
        <v>228</v>
      </c>
      <c r="AJ3">
        <f>(69+78+68+79+80)/5</f>
        <v>74.8</v>
      </c>
      <c r="AK3" s="17">
        <f>AJ3*2.54</f>
        <v>189.99199999999999</v>
      </c>
    </row>
    <row r="4" spans="1:37" x14ac:dyDescent="0.3">
      <c r="A4" s="19" t="s">
        <v>14</v>
      </c>
      <c r="B4" t="s">
        <v>229</v>
      </c>
      <c r="C4" s="1" t="s">
        <v>236</v>
      </c>
      <c r="D4">
        <v>184</v>
      </c>
      <c r="E4">
        <f t="shared" ref="E4:E67" si="0">+(D4/(12/43560))</f>
        <v>667920.00000000012</v>
      </c>
      <c r="F4">
        <v>5.32</v>
      </c>
      <c r="G4">
        <v>26</v>
      </c>
      <c r="H4">
        <f t="shared" ref="H4:H67" si="1">+(F4*(G4/100))/(12/43560)</f>
        <v>5021.0160000000014</v>
      </c>
      <c r="I4" s="30">
        <f t="shared" ref="I4:I67" si="2">+(H4*0.0011023113109244)</f>
        <v>5.5347227291323895</v>
      </c>
      <c r="K4" s="19" t="s">
        <v>14</v>
      </c>
      <c r="L4" t="s">
        <v>229</v>
      </c>
      <c r="M4">
        <v>9.76</v>
      </c>
      <c r="N4">
        <v>6.28</v>
      </c>
      <c r="O4">
        <v>6.75</v>
      </c>
      <c r="P4">
        <v>7.25</v>
      </c>
      <c r="Q4">
        <v>7.27</v>
      </c>
      <c r="R4">
        <v>6.29</v>
      </c>
      <c r="S4">
        <v>6.52</v>
      </c>
      <c r="T4">
        <v>4.38</v>
      </c>
      <c r="W4">
        <v>4.49</v>
      </c>
      <c r="X4">
        <v>2.5099999999999998</v>
      </c>
      <c r="Y4">
        <v>3.4</v>
      </c>
      <c r="Z4">
        <v>2.95</v>
      </c>
      <c r="AA4">
        <v>3.18</v>
      </c>
      <c r="AB4">
        <v>2.5299999999999998</v>
      </c>
      <c r="AC4">
        <v>2.79</v>
      </c>
      <c r="AD4">
        <v>1.58</v>
      </c>
      <c r="AH4" s="19" t="s">
        <v>14</v>
      </c>
      <c r="AI4" t="s">
        <v>229</v>
      </c>
      <c r="AJ4">
        <f>(74+75+88+52+36)/5</f>
        <v>65</v>
      </c>
      <c r="AK4" s="17">
        <f t="shared" ref="AK4:AK67" si="3">AJ4*2.54</f>
        <v>165.1</v>
      </c>
    </row>
    <row r="5" spans="1:37" x14ac:dyDescent="0.3">
      <c r="A5" s="19" t="s">
        <v>15</v>
      </c>
      <c r="B5" t="s">
        <v>230</v>
      </c>
      <c r="C5" s="1" t="s">
        <v>236</v>
      </c>
      <c r="D5">
        <v>90</v>
      </c>
      <c r="E5">
        <f t="shared" si="0"/>
        <v>326700.00000000006</v>
      </c>
      <c r="F5">
        <v>3.98</v>
      </c>
      <c r="G5">
        <v>29.69</v>
      </c>
      <c r="H5">
        <f t="shared" si="1"/>
        <v>4289.4330600000003</v>
      </c>
      <c r="I5" s="30">
        <f t="shared" si="2"/>
        <v>4.7282905794910608</v>
      </c>
      <c r="K5" s="19" t="s">
        <v>15</v>
      </c>
      <c r="L5" t="s">
        <v>230</v>
      </c>
      <c r="M5">
        <v>7.96</v>
      </c>
      <c r="N5">
        <v>5.98</v>
      </c>
      <c r="O5">
        <v>10.32</v>
      </c>
      <c r="P5">
        <v>9.15</v>
      </c>
      <c r="Q5">
        <v>10.79</v>
      </c>
      <c r="R5">
        <v>9.74</v>
      </c>
      <c r="S5">
        <v>9.43</v>
      </c>
      <c r="T5">
        <v>10.64</v>
      </c>
      <c r="U5">
        <v>6.7</v>
      </c>
      <c r="V5">
        <v>6.8</v>
      </c>
      <c r="W5">
        <v>3.6</v>
      </c>
      <c r="X5">
        <v>2.77</v>
      </c>
      <c r="Y5">
        <v>4.76</v>
      </c>
      <c r="Z5">
        <v>4.43</v>
      </c>
      <c r="AA5">
        <v>4.8600000000000003</v>
      </c>
      <c r="AB5">
        <v>4.46</v>
      </c>
      <c r="AC5">
        <v>4.67</v>
      </c>
      <c r="AD5">
        <v>4.47</v>
      </c>
      <c r="AE5">
        <v>2.91</v>
      </c>
      <c r="AF5">
        <v>2.95</v>
      </c>
      <c r="AH5" s="19" t="s">
        <v>15</v>
      </c>
      <c r="AI5" t="s">
        <v>230</v>
      </c>
      <c r="AJ5">
        <f>(74+67+59+35+88)/5</f>
        <v>64.599999999999994</v>
      </c>
      <c r="AK5" s="17">
        <f t="shared" si="3"/>
        <v>164.08399999999997</v>
      </c>
    </row>
    <row r="6" spans="1:37" x14ac:dyDescent="0.3">
      <c r="A6" s="19" t="s">
        <v>16</v>
      </c>
      <c r="B6" t="s">
        <v>231</v>
      </c>
      <c r="C6" s="1" t="s">
        <v>236</v>
      </c>
      <c r="D6">
        <v>114</v>
      </c>
      <c r="E6">
        <f t="shared" si="0"/>
        <v>413820.00000000006</v>
      </c>
      <c r="F6">
        <v>4.34</v>
      </c>
      <c r="G6">
        <v>26.7</v>
      </c>
      <c r="H6">
        <f t="shared" si="1"/>
        <v>4206.3714</v>
      </c>
      <c r="I6" s="30">
        <f t="shared" si="2"/>
        <v>4.6367307721689039</v>
      </c>
      <c r="K6" s="19" t="s">
        <v>16</v>
      </c>
      <c r="L6" t="s">
        <v>231</v>
      </c>
      <c r="M6">
        <v>6.74</v>
      </c>
      <c r="N6">
        <v>7.31</v>
      </c>
      <c r="O6">
        <v>7.81</v>
      </c>
      <c r="P6">
        <v>7.35</v>
      </c>
      <c r="Q6">
        <v>7.62</v>
      </c>
      <c r="R6">
        <v>7.66</v>
      </c>
      <c r="S6">
        <v>7.16</v>
      </c>
      <c r="T6">
        <v>6.95</v>
      </c>
      <c r="U6">
        <v>9.74</v>
      </c>
      <c r="V6">
        <v>8.32</v>
      </c>
      <c r="W6">
        <v>3.67</v>
      </c>
      <c r="X6">
        <v>3.3</v>
      </c>
      <c r="Y6">
        <v>4.53</v>
      </c>
      <c r="Z6">
        <v>4.29</v>
      </c>
      <c r="AA6">
        <v>3.83</v>
      </c>
      <c r="AB6">
        <v>3.65</v>
      </c>
      <c r="AC6">
        <v>2.44</v>
      </c>
      <c r="AD6">
        <v>2.77</v>
      </c>
      <c r="AE6">
        <v>3.59</v>
      </c>
      <c r="AF6">
        <v>3.15</v>
      </c>
      <c r="AH6" s="19" t="s">
        <v>16</v>
      </c>
      <c r="AI6" t="s">
        <v>231</v>
      </c>
      <c r="AJ6">
        <f>(60+61+82+37+40)/5</f>
        <v>56</v>
      </c>
      <c r="AK6" s="17">
        <f t="shared" si="3"/>
        <v>142.24</v>
      </c>
    </row>
    <row r="7" spans="1:37" x14ac:dyDescent="0.3">
      <c r="A7" s="19" t="s">
        <v>17</v>
      </c>
      <c r="B7" t="s">
        <v>6</v>
      </c>
      <c r="C7" s="1" t="s">
        <v>236</v>
      </c>
      <c r="D7">
        <v>145</v>
      </c>
      <c r="E7">
        <f t="shared" si="0"/>
        <v>526350</v>
      </c>
      <c r="F7">
        <v>4.9800000000000004</v>
      </c>
      <c r="G7">
        <v>27.85</v>
      </c>
      <c r="H7">
        <f t="shared" si="1"/>
        <v>5034.5559000000012</v>
      </c>
      <c r="I7" s="30">
        <f t="shared" si="2"/>
        <v>5.5496479140511745</v>
      </c>
      <c r="K7" s="19" t="s">
        <v>17</v>
      </c>
      <c r="L7" t="s">
        <v>6</v>
      </c>
      <c r="M7">
        <v>11.51</v>
      </c>
      <c r="N7">
        <v>4.76</v>
      </c>
      <c r="O7">
        <v>9.94</v>
      </c>
      <c r="P7">
        <v>12.08</v>
      </c>
      <c r="Q7">
        <v>8.1</v>
      </c>
      <c r="R7">
        <v>12.4</v>
      </c>
      <c r="S7">
        <v>10.51</v>
      </c>
      <c r="T7">
        <v>10.09</v>
      </c>
      <c r="U7">
        <v>6.74</v>
      </c>
      <c r="V7">
        <v>11.76</v>
      </c>
      <c r="W7">
        <v>4.0999999999999996</v>
      </c>
      <c r="X7">
        <v>1.83</v>
      </c>
      <c r="Y7">
        <v>3.92</v>
      </c>
      <c r="Z7">
        <v>5.26</v>
      </c>
      <c r="AA7">
        <v>2.27</v>
      </c>
      <c r="AB7">
        <v>4.07</v>
      </c>
      <c r="AC7">
        <v>4.3899999999999997</v>
      </c>
      <c r="AD7">
        <v>4.12</v>
      </c>
      <c r="AE7">
        <v>2.02</v>
      </c>
      <c r="AF7">
        <v>4.59</v>
      </c>
      <c r="AH7" s="19" t="s">
        <v>17</v>
      </c>
      <c r="AI7" t="s">
        <v>6</v>
      </c>
      <c r="AJ7">
        <f>(64+88+63+80+82)/5</f>
        <v>75.400000000000006</v>
      </c>
      <c r="AK7" s="17">
        <f t="shared" si="3"/>
        <v>191.51600000000002</v>
      </c>
    </row>
    <row r="8" spans="1:37" x14ac:dyDescent="0.3">
      <c r="A8" s="19" t="s">
        <v>18</v>
      </c>
      <c r="B8" t="s">
        <v>7</v>
      </c>
      <c r="C8" s="1" t="s">
        <v>236</v>
      </c>
      <c r="D8">
        <v>225</v>
      </c>
      <c r="E8">
        <f t="shared" si="0"/>
        <v>816750.00000000012</v>
      </c>
      <c r="F8">
        <v>5.32</v>
      </c>
      <c r="G8">
        <v>27.34</v>
      </c>
      <c r="H8">
        <f t="shared" si="1"/>
        <v>5279.7914400000009</v>
      </c>
      <c r="I8" s="30">
        <f t="shared" si="2"/>
        <v>5.819973823633827</v>
      </c>
      <c r="K8" s="19" t="s">
        <v>18</v>
      </c>
      <c r="L8" t="s">
        <v>7</v>
      </c>
      <c r="M8">
        <v>9.1999999999999993</v>
      </c>
      <c r="N8">
        <v>6.49</v>
      </c>
      <c r="O8">
        <v>7.79</v>
      </c>
      <c r="P8">
        <v>7.72</v>
      </c>
      <c r="Q8">
        <v>10</v>
      </c>
      <c r="R8">
        <v>7.02</v>
      </c>
      <c r="S8">
        <v>6.99</v>
      </c>
      <c r="T8">
        <v>11.96</v>
      </c>
      <c r="U8">
        <v>8</v>
      </c>
      <c r="V8">
        <v>8.51</v>
      </c>
      <c r="W8">
        <v>4.3600000000000003</v>
      </c>
      <c r="X8">
        <v>2.11</v>
      </c>
      <c r="Y8">
        <v>2.99</v>
      </c>
      <c r="Z8">
        <v>3.06</v>
      </c>
      <c r="AA8">
        <v>3.75</v>
      </c>
      <c r="AB8">
        <v>2.4700000000000002</v>
      </c>
      <c r="AC8">
        <v>2.2400000000000002</v>
      </c>
      <c r="AD8">
        <v>4.07</v>
      </c>
      <c r="AE8">
        <v>3.59</v>
      </c>
      <c r="AF8">
        <v>3.04</v>
      </c>
      <c r="AH8" s="19" t="s">
        <v>18</v>
      </c>
      <c r="AI8" t="s">
        <v>7</v>
      </c>
      <c r="AJ8">
        <f>(72+59+67+46+54)/5</f>
        <v>59.6</v>
      </c>
      <c r="AK8" s="17">
        <f t="shared" si="3"/>
        <v>151.38400000000001</v>
      </c>
    </row>
    <row r="9" spans="1:37" x14ac:dyDescent="0.3">
      <c r="A9" s="19" t="s">
        <v>19</v>
      </c>
      <c r="B9" t="s">
        <v>232</v>
      </c>
      <c r="C9" s="1" t="s">
        <v>236</v>
      </c>
      <c r="D9">
        <v>91</v>
      </c>
      <c r="E9">
        <f t="shared" si="0"/>
        <v>330330.00000000006</v>
      </c>
      <c r="F9">
        <v>3.26</v>
      </c>
      <c r="G9">
        <v>29.23</v>
      </c>
      <c r="H9">
        <f t="shared" si="1"/>
        <v>3459.0197400000002</v>
      </c>
      <c r="I9" s="30">
        <f t="shared" si="2"/>
        <v>3.8129165841127777</v>
      </c>
      <c r="K9" s="19" t="s">
        <v>19</v>
      </c>
      <c r="L9" t="s">
        <v>232</v>
      </c>
      <c r="M9">
        <v>7.36</v>
      </c>
      <c r="N9">
        <v>8.64</v>
      </c>
      <c r="O9">
        <v>5.84</v>
      </c>
      <c r="P9">
        <v>8.39</v>
      </c>
      <c r="Q9">
        <v>4.74</v>
      </c>
      <c r="R9">
        <v>10.23</v>
      </c>
      <c r="S9">
        <v>8.2799999999999994</v>
      </c>
      <c r="T9">
        <v>5.75</v>
      </c>
      <c r="U9">
        <v>4.9000000000000004</v>
      </c>
      <c r="V9">
        <v>5.95</v>
      </c>
      <c r="W9">
        <v>3.83</v>
      </c>
      <c r="X9">
        <v>5.39</v>
      </c>
      <c r="Y9">
        <v>3.37</v>
      </c>
      <c r="Z9">
        <v>4.3499999999999996</v>
      </c>
      <c r="AA9">
        <v>2.69</v>
      </c>
      <c r="AB9">
        <v>4.93</v>
      </c>
      <c r="AC9">
        <v>5.67</v>
      </c>
      <c r="AD9">
        <v>2.84</v>
      </c>
      <c r="AE9">
        <v>2.57</v>
      </c>
      <c r="AF9">
        <v>2.87</v>
      </c>
      <c r="AH9" s="19" t="s">
        <v>19</v>
      </c>
      <c r="AI9" t="s">
        <v>232</v>
      </c>
      <c r="AJ9">
        <f>(56+55+68+61+59)/5</f>
        <v>59.8</v>
      </c>
      <c r="AK9" s="17">
        <f t="shared" si="3"/>
        <v>151.892</v>
      </c>
    </row>
    <row r="10" spans="1:37" x14ac:dyDescent="0.3">
      <c r="A10" s="19" t="s">
        <v>20</v>
      </c>
      <c r="B10" t="s">
        <v>233</v>
      </c>
      <c r="C10" s="1" t="s">
        <v>236</v>
      </c>
      <c r="D10">
        <v>157</v>
      </c>
      <c r="E10">
        <f t="shared" si="0"/>
        <v>569910</v>
      </c>
      <c r="F10">
        <v>4.5999999999999996</v>
      </c>
      <c r="G10">
        <v>28.78</v>
      </c>
      <c r="H10">
        <f t="shared" si="1"/>
        <v>4805.6844000000001</v>
      </c>
      <c r="I10" s="30">
        <f t="shared" si="2"/>
        <v>5.2973602708529395</v>
      </c>
      <c r="K10" s="19" t="s">
        <v>20</v>
      </c>
      <c r="L10" t="s">
        <v>233</v>
      </c>
      <c r="M10">
        <v>4.79</v>
      </c>
      <c r="N10">
        <v>5.85</v>
      </c>
      <c r="O10">
        <v>6.65</v>
      </c>
      <c r="P10">
        <v>8.58</v>
      </c>
      <c r="Q10">
        <v>6.92</v>
      </c>
      <c r="R10">
        <v>8.67</v>
      </c>
      <c r="S10">
        <v>4.38</v>
      </c>
      <c r="T10">
        <v>7.67</v>
      </c>
      <c r="U10">
        <v>8.85</v>
      </c>
      <c r="V10">
        <v>6.32</v>
      </c>
      <c r="W10">
        <v>3.46</v>
      </c>
      <c r="X10">
        <v>1.82</v>
      </c>
      <c r="Y10">
        <v>3.73</v>
      </c>
      <c r="Z10">
        <v>3.55</v>
      </c>
      <c r="AA10">
        <v>2.27</v>
      </c>
      <c r="AB10">
        <v>5.29</v>
      </c>
      <c r="AC10">
        <v>2.62</v>
      </c>
      <c r="AD10">
        <v>4.28</v>
      </c>
      <c r="AE10">
        <v>5.73</v>
      </c>
      <c r="AF10">
        <v>3.09</v>
      </c>
      <c r="AH10" s="19" t="s">
        <v>20</v>
      </c>
      <c r="AI10" t="s">
        <v>233</v>
      </c>
      <c r="AJ10">
        <f>(61+71+57+67+57)/5</f>
        <v>62.6</v>
      </c>
      <c r="AK10" s="17">
        <f t="shared" si="3"/>
        <v>159.00400000000002</v>
      </c>
    </row>
    <row r="11" spans="1:37" x14ac:dyDescent="0.3">
      <c r="A11" s="19" t="s">
        <v>21</v>
      </c>
      <c r="B11" t="s">
        <v>234</v>
      </c>
      <c r="C11" s="1" t="s">
        <v>236</v>
      </c>
      <c r="D11">
        <v>96</v>
      </c>
      <c r="E11">
        <f t="shared" si="0"/>
        <v>348480.00000000006</v>
      </c>
      <c r="F11">
        <v>4.4000000000000004</v>
      </c>
      <c r="G11">
        <v>27.92</v>
      </c>
      <c r="H11">
        <f t="shared" si="1"/>
        <v>4459.3824000000004</v>
      </c>
      <c r="I11" s="30">
        <f t="shared" si="2"/>
        <v>4.9156276592571979</v>
      </c>
      <c r="K11" s="19" t="s">
        <v>21</v>
      </c>
      <c r="L11" t="s">
        <v>234</v>
      </c>
      <c r="M11">
        <v>6.2</v>
      </c>
      <c r="N11">
        <v>7.65</v>
      </c>
      <c r="O11">
        <v>6.34</v>
      </c>
      <c r="P11">
        <v>8.1300000000000008</v>
      </c>
      <c r="Q11">
        <v>13.07</v>
      </c>
      <c r="R11">
        <v>11.57</v>
      </c>
      <c r="S11">
        <v>11.7</v>
      </c>
      <c r="T11">
        <v>7.02</v>
      </c>
      <c r="U11">
        <v>8.27</v>
      </c>
      <c r="V11">
        <v>7.15</v>
      </c>
      <c r="W11">
        <v>2.95</v>
      </c>
      <c r="X11">
        <v>4.59</v>
      </c>
      <c r="Y11">
        <v>2.84</v>
      </c>
      <c r="Z11">
        <v>3.15</v>
      </c>
      <c r="AA11">
        <v>4.17</v>
      </c>
      <c r="AB11">
        <v>5.52</v>
      </c>
      <c r="AC11">
        <v>6.02</v>
      </c>
      <c r="AD11">
        <v>2.8</v>
      </c>
      <c r="AE11">
        <v>4.75</v>
      </c>
      <c r="AF11">
        <v>3.38</v>
      </c>
      <c r="AH11" s="19" t="s">
        <v>21</v>
      </c>
      <c r="AI11" t="s">
        <v>234</v>
      </c>
      <c r="AJ11">
        <f>(94+70+103+57+51)/5</f>
        <v>75</v>
      </c>
      <c r="AK11" s="17">
        <f t="shared" si="3"/>
        <v>190.5</v>
      </c>
    </row>
    <row r="12" spans="1:37" x14ac:dyDescent="0.3">
      <c r="A12" s="19" t="s">
        <v>22</v>
      </c>
      <c r="B12" t="s">
        <v>235</v>
      </c>
      <c r="C12" s="1" t="s">
        <v>236</v>
      </c>
      <c r="D12">
        <v>111</v>
      </c>
      <c r="E12">
        <f t="shared" si="0"/>
        <v>402930.00000000006</v>
      </c>
      <c r="F12">
        <v>4.5</v>
      </c>
      <c r="G12">
        <v>28.96</v>
      </c>
      <c r="H12">
        <f t="shared" si="1"/>
        <v>4730.6160000000009</v>
      </c>
      <c r="I12" s="30">
        <f t="shared" si="2"/>
        <v>5.2146115244399427</v>
      </c>
      <c r="K12" s="19" t="s">
        <v>22</v>
      </c>
      <c r="L12" t="s">
        <v>235</v>
      </c>
      <c r="M12">
        <v>12.68</v>
      </c>
      <c r="N12">
        <v>8.66</v>
      </c>
      <c r="O12">
        <v>8.93</v>
      </c>
      <c r="P12">
        <v>8.18</v>
      </c>
      <c r="Q12">
        <v>9.39</v>
      </c>
      <c r="R12">
        <v>4.58</v>
      </c>
      <c r="S12">
        <v>6.18</v>
      </c>
      <c r="T12">
        <v>5.08</v>
      </c>
      <c r="U12">
        <v>9.32</v>
      </c>
      <c r="V12">
        <v>4.8899999999999997</v>
      </c>
      <c r="W12">
        <v>4.17</v>
      </c>
      <c r="X12">
        <v>3.77</v>
      </c>
      <c r="Y12">
        <v>3.78</v>
      </c>
      <c r="Z12">
        <v>3.72</v>
      </c>
      <c r="AA12">
        <v>4.34</v>
      </c>
      <c r="AB12">
        <v>1.43</v>
      </c>
      <c r="AC12">
        <v>3.01</v>
      </c>
      <c r="AD12">
        <v>1.99</v>
      </c>
      <c r="AE12">
        <v>4.3600000000000003</v>
      </c>
      <c r="AF12">
        <v>1.64</v>
      </c>
      <c r="AH12" s="19" t="s">
        <v>22</v>
      </c>
      <c r="AI12" t="s">
        <v>235</v>
      </c>
      <c r="AJ12">
        <f>(58+61+68+102+55)/5</f>
        <v>68.8</v>
      </c>
      <c r="AK12" s="17">
        <f t="shared" si="3"/>
        <v>174.75199999999998</v>
      </c>
    </row>
    <row r="13" spans="1:37" x14ac:dyDescent="0.3">
      <c r="A13" s="19" t="s">
        <v>23</v>
      </c>
      <c r="B13" t="s">
        <v>145</v>
      </c>
      <c r="C13" s="1" t="s">
        <v>236</v>
      </c>
      <c r="D13">
        <v>183</v>
      </c>
      <c r="E13">
        <f t="shared" si="0"/>
        <v>664290.00000000012</v>
      </c>
      <c r="F13">
        <v>4.62</v>
      </c>
      <c r="G13">
        <v>30.06</v>
      </c>
      <c r="H13">
        <f t="shared" si="1"/>
        <v>5041.2423600000002</v>
      </c>
      <c r="I13" s="30">
        <f t="shared" si="2"/>
        <v>5.557018474539217</v>
      </c>
      <c r="K13" s="19" t="s">
        <v>23</v>
      </c>
      <c r="L13" t="s">
        <v>145</v>
      </c>
      <c r="M13">
        <v>5.96</v>
      </c>
      <c r="N13">
        <v>5.63</v>
      </c>
      <c r="O13">
        <v>7.61</v>
      </c>
      <c r="P13">
        <v>8.93</v>
      </c>
      <c r="Q13">
        <v>6.06</v>
      </c>
      <c r="R13">
        <v>5.49</v>
      </c>
      <c r="S13">
        <v>5.81</v>
      </c>
      <c r="T13">
        <v>7.76</v>
      </c>
      <c r="U13">
        <v>5.96</v>
      </c>
      <c r="W13">
        <v>3.3</v>
      </c>
      <c r="X13">
        <v>2.73</v>
      </c>
      <c r="Y13">
        <v>3.46</v>
      </c>
      <c r="Z13">
        <v>3.84</v>
      </c>
      <c r="AA13">
        <v>3.31</v>
      </c>
      <c r="AB13">
        <v>2.57</v>
      </c>
      <c r="AC13">
        <v>2.78</v>
      </c>
      <c r="AD13">
        <v>2.2799999999999998</v>
      </c>
      <c r="AE13">
        <v>3.04</v>
      </c>
      <c r="AF13">
        <v>2.5099999999999998</v>
      </c>
      <c r="AH13" s="19" t="s">
        <v>23</v>
      </c>
      <c r="AI13" t="s">
        <v>145</v>
      </c>
      <c r="AJ13">
        <f>(68+84+83+86+56)/5</f>
        <v>75.400000000000006</v>
      </c>
      <c r="AK13" s="17">
        <f t="shared" si="3"/>
        <v>191.51600000000002</v>
      </c>
    </row>
    <row r="14" spans="1:37" x14ac:dyDescent="0.3">
      <c r="A14" s="19" t="s">
        <v>24</v>
      </c>
      <c r="B14" t="s">
        <v>106</v>
      </c>
      <c r="C14" s="1" t="s">
        <v>236</v>
      </c>
      <c r="D14">
        <v>184</v>
      </c>
      <c r="E14">
        <f t="shared" si="0"/>
        <v>667920.00000000012</v>
      </c>
      <c r="F14">
        <v>4.62</v>
      </c>
      <c r="G14">
        <v>29.12</v>
      </c>
      <c r="H14">
        <f t="shared" si="1"/>
        <v>4883.5987200000009</v>
      </c>
      <c r="I14" s="30">
        <f t="shared" si="2"/>
        <v>5.3832461070719235</v>
      </c>
      <c r="K14" s="19" t="s">
        <v>24</v>
      </c>
      <c r="L14" t="s">
        <v>106</v>
      </c>
      <c r="M14">
        <v>6.98</v>
      </c>
      <c r="N14">
        <v>5.09</v>
      </c>
      <c r="O14">
        <v>6.23</v>
      </c>
      <c r="P14">
        <v>8.26</v>
      </c>
      <c r="Q14">
        <v>6.33</v>
      </c>
      <c r="R14">
        <v>4.5999999999999996</v>
      </c>
      <c r="S14">
        <v>6.31</v>
      </c>
      <c r="T14">
        <v>4.93</v>
      </c>
      <c r="U14">
        <v>5.04</v>
      </c>
      <c r="V14">
        <v>5.84</v>
      </c>
      <c r="W14">
        <v>3.95</v>
      </c>
      <c r="X14">
        <v>2.61</v>
      </c>
      <c r="Y14">
        <v>3.1</v>
      </c>
      <c r="Z14">
        <v>4.08</v>
      </c>
      <c r="AA14">
        <v>3.17</v>
      </c>
      <c r="AB14">
        <v>2.2200000000000002</v>
      </c>
      <c r="AC14">
        <v>3.39</v>
      </c>
      <c r="AD14">
        <v>2.5299999999999998</v>
      </c>
      <c r="AE14">
        <v>2.2200000000000002</v>
      </c>
      <c r="AF14">
        <v>3.48</v>
      </c>
      <c r="AH14" s="19" t="s">
        <v>24</v>
      </c>
      <c r="AI14" t="s">
        <v>106</v>
      </c>
      <c r="AJ14">
        <f>(54+40+53+65+52)/5</f>
        <v>52.8</v>
      </c>
      <c r="AK14" s="17">
        <f t="shared" si="3"/>
        <v>134.11199999999999</v>
      </c>
    </row>
    <row r="15" spans="1:37" x14ac:dyDescent="0.3">
      <c r="A15" s="18" t="s">
        <v>107</v>
      </c>
      <c r="B15" t="s">
        <v>7</v>
      </c>
      <c r="C15" s="1" t="s">
        <v>236</v>
      </c>
      <c r="D15">
        <v>131</v>
      </c>
      <c r="E15">
        <f t="shared" si="0"/>
        <v>475530.00000000006</v>
      </c>
      <c r="F15">
        <v>5.24</v>
      </c>
      <c r="G15">
        <v>25.63</v>
      </c>
      <c r="H15">
        <f t="shared" si="1"/>
        <v>4875.1335600000002</v>
      </c>
      <c r="I15" s="30">
        <f t="shared" si="2"/>
        <v>5.3739148654551379</v>
      </c>
      <c r="K15" s="18" t="s">
        <v>107</v>
      </c>
      <c r="L15" t="s">
        <v>7</v>
      </c>
      <c r="M15">
        <v>7.22</v>
      </c>
      <c r="N15">
        <v>4.76</v>
      </c>
      <c r="O15">
        <v>5.36</v>
      </c>
      <c r="P15">
        <v>7.7</v>
      </c>
      <c r="Q15">
        <v>8.02</v>
      </c>
      <c r="R15">
        <v>6.58</v>
      </c>
      <c r="S15">
        <v>6.34</v>
      </c>
      <c r="T15">
        <v>5.34</v>
      </c>
      <c r="U15">
        <v>7.12</v>
      </c>
      <c r="V15">
        <v>7.01</v>
      </c>
      <c r="W15">
        <v>3.56</v>
      </c>
      <c r="X15">
        <v>1.68</v>
      </c>
      <c r="Y15">
        <v>2.02</v>
      </c>
      <c r="Z15">
        <v>2.6</v>
      </c>
      <c r="AA15">
        <v>3.28</v>
      </c>
      <c r="AB15">
        <v>1.95</v>
      </c>
      <c r="AC15">
        <v>2.34</v>
      </c>
      <c r="AD15">
        <v>2.06</v>
      </c>
      <c r="AE15">
        <v>3.27</v>
      </c>
      <c r="AF15">
        <v>3.41</v>
      </c>
      <c r="AH15" s="18" t="s">
        <v>25</v>
      </c>
      <c r="AI15" t="s">
        <v>229</v>
      </c>
      <c r="AJ15">
        <f>(74+68+36+83+78)/5</f>
        <v>67.8</v>
      </c>
      <c r="AK15" s="17">
        <f t="shared" si="3"/>
        <v>172.21199999999999</v>
      </c>
    </row>
    <row r="16" spans="1:37" x14ac:dyDescent="0.3">
      <c r="A16" s="18" t="s">
        <v>108</v>
      </c>
      <c r="B16" t="s">
        <v>106</v>
      </c>
      <c r="C16" s="1" t="s">
        <v>236</v>
      </c>
      <c r="D16">
        <v>169</v>
      </c>
      <c r="E16">
        <f t="shared" si="0"/>
        <v>613470</v>
      </c>
      <c r="F16">
        <v>6.42</v>
      </c>
      <c r="G16">
        <v>26.82</v>
      </c>
      <c r="H16">
        <f t="shared" si="1"/>
        <v>6250.2937200000006</v>
      </c>
      <c r="I16" s="30">
        <f t="shared" si="2"/>
        <v>6.8897694641557461</v>
      </c>
      <c r="K16" s="18" t="s">
        <v>108</v>
      </c>
      <c r="L16" t="s">
        <v>106</v>
      </c>
      <c r="M16">
        <v>11.01</v>
      </c>
      <c r="N16">
        <v>4.29</v>
      </c>
      <c r="O16">
        <v>8.2100000000000009</v>
      </c>
      <c r="P16">
        <v>7.28</v>
      </c>
      <c r="Q16">
        <v>8.2799999999999994</v>
      </c>
      <c r="R16">
        <v>9.16</v>
      </c>
      <c r="S16">
        <v>6.67</v>
      </c>
      <c r="T16">
        <v>7.92</v>
      </c>
      <c r="U16">
        <v>11.18</v>
      </c>
      <c r="V16">
        <v>6.26</v>
      </c>
      <c r="W16">
        <v>4.25</v>
      </c>
      <c r="X16">
        <v>4.04</v>
      </c>
      <c r="Y16">
        <v>3.99</v>
      </c>
      <c r="Z16">
        <v>2.98</v>
      </c>
      <c r="AA16">
        <v>2.9</v>
      </c>
      <c r="AB16">
        <v>3.77</v>
      </c>
      <c r="AC16">
        <v>2.06</v>
      </c>
      <c r="AD16">
        <v>2.91</v>
      </c>
      <c r="AE16">
        <v>4.1500000000000004</v>
      </c>
      <c r="AF16">
        <v>2.0099999999999998</v>
      </c>
      <c r="AH16" s="18" t="s">
        <v>26</v>
      </c>
      <c r="AI16" t="s">
        <v>7</v>
      </c>
      <c r="AJ16">
        <f>(87+64+85+76+93)/5</f>
        <v>81</v>
      </c>
      <c r="AK16" s="17">
        <f t="shared" si="3"/>
        <v>205.74</v>
      </c>
    </row>
    <row r="17" spans="1:37" x14ac:dyDescent="0.3">
      <c r="A17" s="18" t="s">
        <v>109</v>
      </c>
      <c r="B17" t="s">
        <v>231</v>
      </c>
      <c r="C17" s="1" t="s">
        <v>236</v>
      </c>
      <c r="D17">
        <v>101</v>
      </c>
      <c r="E17">
        <f t="shared" si="0"/>
        <v>366630.00000000006</v>
      </c>
      <c r="F17">
        <v>5.92</v>
      </c>
      <c r="G17">
        <v>22.44</v>
      </c>
      <c r="H17">
        <f t="shared" si="1"/>
        <v>4822.2662400000008</v>
      </c>
      <c r="I17" s="30">
        <f t="shared" si="2"/>
        <v>5.315638620640879</v>
      </c>
      <c r="K17" s="18" t="s">
        <v>109</v>
      </c>
      <c r="L17" t="s">
        <v>231</v>
      </c>
      <c r="M17">
        <v>10.79</v>
      </c>
      <c r="N17">
        <v>6.83</v>
      </c>
      <c r="O17">
        <v>7.85</v>
      </c>
      <c r="P17">
        <v>10.91</v>
      </c>
      <c r="Q17">
        <v>11.88</v>
      </c>
      <c r="R17">
        <v>6.56</v>
      </c>
      <c r="S17">
        <v>7.23</v>
      </c>
      <c r="T17">
        <v>10.199999999999999</v>
      </c>
      <c r="U17">
        <v>10.07</v>
      </c>
      <c r="V17">
        <v>10.48</v>
      </c>
      <c r="W17">
        <v>4.25</v>
      </c>
      <c r="X17">
        <v>2.0299999999999998</v>
      </c>
      <c r="Y17">
        <v>3.33</v>
      </c>
      <c r="Z17">
        <v>5.52</v>
      </c>
      <c r="AA17">
        <v>4.5999999999999996</v>
      </c>
      <c r="AB17">
        <v>2.57</v>
      </c>
      <c r="AC17">
        <v>2.1800000000000002</v>
      </c>
      <c r="AD17">
        <v>2.65</v>
      </c>
      <c r="AE17">
        <v>4.32</v>
      </c>
      <c r="AF17">
        <v>3.73</v>
      </c>
      <c r="AH17" s="18" t="s">
        <v>27</v>
      </c>
      <c r="AI17" t="s">
        <v>235</v>
      </c>
      <c r="AJ17">
        <f>(48+106+82+41+86)/5</f>
        <v>72.599999999999994</v>
      </c>
      <c r="AK17" s="17">
        <f t="shared" si="3"/>
        <v>184.404</v>
      </c>
    </row>
    <row r="18" spans="1:37" x14ac:dyDescent="0.3">
      <c r="A18" s="18" t="s">
        <v>110</v>
      </c>
      <c r="B18" t="s">
        <v>228</v>
      </c>
      <c r="C18" s="1" t="s">
        <v>236</v>
      </c>
      <c r="D18">
        <v>91</v>
      </c>
      <c r="E18">
        <f t="shared" si="0"/>
        <v>330330.00000000006</v>
      </c>
      <c r="F18">
        <v>4.2</v>
      </c>
      <c r="G18">
        <v>26.89</v>
      </c>
      <c r="H18">
        <f t="shared" si="1"/>
        <v>4099.6494000000012</v>
      </c>
      <c r="I18" s="30">
        <f t="shared" si="2"/>
        <v>4.5190899044444315</v>
      </c>
      <c r="K18" s="18" t="s">
        <v>110</v>
      </c>
      <c r="L18" t="s">
        <v>228</v>
      </c>
      <c r="M18">
        <v>7.58</v>
      </c>
      <c r="N18">
        <v>10.17</v>
      </c>
      <c r="O18">
        <v>7.15</v>
      </c>
      <c r="P18">
        <v>7.3</v>
      </c>
      <c r="Q18">
        <v>6.65</v>
      </c>
      <c r="R18">
        <v>9.49</v>
      </c>
      <c r="S18">
        <v>9.74</v>
      </c>
      <c r="T18">
        <v>8.0299999999999994</v>
      </c>
      <c r="U18">
        <v>4.78</v>
      </c>
      <c r="V18">
        <v>10.24</v>
      </c>
      <c r="W18">
        <v>3.19</v>
      </c>
      <c r="X18">
        <v>4.84</v>
      </c>
      <c r="Y18">
        <v>3.27</v>
      </c>
      <c r="Z18">
        <v>2.95</v>
      </c>
      <c r="AA18">
        <v>2.36</v>
      </c>
      <c r="AB18">
        <v>3.52</v>
      </c>
      <c r="AC18">
        <v>4.96</v>
      </c>
      <c r="AD18">
        <v>3.51</v>
      </c>
      <c r="AE18">
        <v>2.21</v>
      </c>
      <c r="AF18">
        <v>6.44</v>
      </c>
      <c r="AH18" s="18" t="s">
        <v>28</v>
      </c>
      <c r="AI18" t="s">
        <v>231</v>
      </c>
      <c r="AJ18">
        <f>(77+77+97+47+68)/5</f>
        <v>73.2</v>
      </c>
      <c r="AK18" s="17">
        <f t="shared" si="3"/>
        <v>185.928</v>
      </c>
    </row>
    <row r="19" spans="1:37" x14ac:dyDescent="0.3">
      <c r="A19" s="18" t="s">
        <v>111</v>
      </c>
      <c r="B19" t="s">
        <v>234</v>
      </c>
      <c r="C19" s="1" t="s">
        <v>236</v>
      </c>
      <c r="D19">
        <v>97</v>
      </c>
      <c r="E19">
        <f t="shared" si="0"/>
        <v>352110.00000000006</v>
      </c>
      <c r="F19">
        <v>3.82</v>
      </c>
      <c r="G19">
        <v>28.13</v>
      </c>
      <c r="H19">
        <f t="shared" si="1"/>
        <v>3900.6745799999999</v>
      </c>
      <c r="I19" s="30">
        <f t="shared" si="2"/>
        <v>4.2997577097692838</v>
      </c>
      <c r="K19" s="18" t="s">
        <v>111</v>
      </c>
      <c r="L19" t="s">
        <v>234</v>
      </c>
      <c r="M19">
        <v>3.91</v>
      </c>
      <c r="N19">
        <v>7.01</v>
      </c>
      <c r="O19">
        <v>5.12</v>
      </c>
      <c r="P19">
        <v>5.01</v>
      </c>
      <c r="Q19">
        <v>8.02</v>
      </c>
      <c r="R19">
        <v>8.34</v>
      </c>
      <c r="S19">
        <v>6.84</v>
      </c>
      <c r="T19">
        <v>6.83</v>
      </c>
      <c r="U19">
        <v>4.7</v>
      </c>
      <c r="W19">
        <v>1.41</v>
      </c>
      <c r="X19">
        <v>3.04</v>
      </c>
      <c r="Y19">
        <v>2.76</v>
      </c>
      <c r="Z19">
        <v>2.63</v>
      </c>
      <c r="AA19">
        <v>3.04</v>
      </c>
      <c r="AB19">
        <v>3.52</v>
      </c>
      <c r="AC19">
        <v>3.18</v>
      </c>
      <c r="AD19">
        <v>3.38</v>
      </c>
      <c r="AE19">
        <v>1.94</v>
      </c>
      <c r="AH19" s="18" t="s">
        <v>29</v>
      </c>
      <c r="AI19" t="s">
        <v>234</v>
      </c>
      <c r="AJ19">
        <f>(61+77+69+95+70)/5</f>
        <v>74.400000000000006</v>
      </c>
      <c r="AK19" s="17">
        <f t="shared" si="3"/>
        <v>188.97600000000003</v>
      </c>
    </row>
    <row r="20" spans="1:37" x14ac:dyDescent="0.3">
      <c r="A20" s="18" t="s">
        <v>112</v>
      </c>
      <c r="B20" t="s">
        <v>235</v>
      </c>
      <c r="C20" s="1" t="s">
        <v>236</v>
      </c>
      <c r="D20">
        <v>67</v>
      </c>
      <c r="E20">
        <f t="shared" si="0"/>
        <v>243210.00000000003</v>
      </c>
      <c r="F20">
        <v>2.74</v>
      </c>
      <c r="G20">
        <v>30.22</v>
      </c>
      <c r="H20">
        <f t="shared" si="1"/>
        <v>3005.7416400000002</v>
      </c>
      <c r="I20" s="30">
        <f t="shared" si="2"/>
        <v>3.3132630074884566</v>
      </c>
      <c r="K20" s="18" t="s">
        <v>112</v>
      </c>
      <c r="L20" t="s">
        <v>235</v>
      </c>
      <c r="M20">
        <v>6.1</v>
      </c>
      <c r="N20">
        <v>6.33</v>
      </c>
      <c r="O20">
        <v>8.5399999999999991</v>
      </c>
      <c r="P20">
        <v>4.91</v>
      </c>
      <c r="Q20">
        <v>5.0599999999999996</v>
      </c>
      <c r="R20">
        <v>5.8</v>
      </c>
      <c r="S20">
        <v>5.58</v>
      </c>
      <c r="T20">
        <v>5.17</v>
      </c>
      <c r="U20">
        <v>6.87</v>
      </c>
      <c r="V20">
        <v>5.29</v>
      </c>
      <c r="W20">
        <v>3.26</v>
      </c>
      <c r="X20">
        <v>3.8</v>
      </c>
      <c r="Y20">
        <v>3.69</v>
      </c>
      <c r="Z20">
        <v>2.65</v>
      </c>
      <c r="AA20">
        <v>2.99</v>
      </c>
      <c r="AB20">
        <v>2.72</v>
      </c>
      <c r="AC20">
        <v>3.23</v>
      </c>
      <c r="AD20">
        <v>2.57</v>
      </c>
      <c r="AE20">
        <v>3.75</v>
      </c>
      <c r="AF20">
        <v>2.73</v>
      </c>
      <c r="AH20" s="18" t="s">
        <v>30</v>
      </c>
      <c r="AI20" t="s">
        <v>232</v>
      </c>
      <c r="AJ20">
        <f>(77+60+50+51+49)/5</f>
        <v>57.4</v>
      </c>
      <c r="AK20" s="17">
        <f t="shared" si="3"/>
        <v>145.79599999999999</v>
      </c>
    </row>
    <row r="21" spans="1:37" x14ac:dyDescent="0.3">
      <c r="A21" s="18" t="s">
        <v>113</v>
      </c>
      <c r="B21" t="s">
        <v>233</v>
      </c>
      <c r="C21" s="1" t="s">
        <v>236</v>
      </c>
      <c r="D21">
        <v>89</v>
      </c>
      <c r="E21">
        <f t="shared" si="0"/>
        <v>323070.00000000006</v>
      </c>
      <c r="F21">
        <v>3.67</v>
      </c>
      <c r="H21">
        <f t="shared" si="1"/>
        <v>0</v>
      </c>
      <c r="I21" s="30">
        <f t="shared" si="2"/>
        <v>0</v>
      </c>
      <c r="K21" s="18" t="s">
        <v>113</v>
      </c>
      <c r="L21" t="s">
        <v>233</v>
      </c>
      <c r="M21">
        <v>9.24</v>
      </c>
      <c r="N21">
        <v>7.33</v>
      </c>
      <c r="O21">
        <v>5.58</v>
      </c>
      <c r="P21">
        <v>6.62</v>
      </c>
      <c r="Q21">
        <v>5.43</v>
      </c>
      <c r="R21">
        <v>4.01</v>
      </c>
      <c r="S21">
        <v>5.04</v>
      </c>
      <c r="T21">
        <v>4.08</v>
      </c>
      <c r="U21">
        <v>3.89</v>
      </c>
      <c r="V21">
        <v>7.05</v>
      </c>
      <c r="W21">
        <v>4.76</v>
      </c>
      <c r="X21">
        <v>3.94</v>
      </c>
      <c r="Y21">
        <v>3.46</v>
      </c>
      <c r="Z21">
        <v>3.61</v>
      </c>
      <c r="AA21">
        <v>3.06</v>
      </c>
      <c r="AB21">
        <v>1.74</v>
      </c>
      <c r="AC21">
        <v>2.02</v>
      </c>
      <c r="AD21">
        <v>1.49</v>
      </c>
      <c r="AE21">
        <v>1.51</v>
      </c>
      <c r="AF21">
        <v>3.38</v>
      </c>
      <c r="AH21" s="18" t="s">
        <v>31</v>
      </c>
      <c r="AI21" t="s">
        <v>145</v>
      </c>
      <c r="AJ21">
        <f>(70+32+66+49+53)/5</f>
        <v>54</v>
      </c>
      <c r="AK21" s="17">
        <f t="shared" si="3"/>
        <v>137.16</v>
      </c>
    </row>
    <row r="22" spans="1:37" x14ac:dyDescent="0.3">
      <c r="A22" s="18" t="s">
        <v>114</v>
      </c>
      <c r="B22" t="s">
        <v>230</v>
      </c>
      <c r="C22" s="1" t="s">
        <v>236</v>
      </c>
      <c r="D22">
        <v>110</v>
      </c>
      <c r="E22">
        <f t="shared" si="0"/>
        <v>399300.00000000006</v>
      </c>
      <c r="F22">
        <v>5.22</v>
      </c>
      <c r="G22">
        <v>24.29</v>
      </c>
      <c r="H22">
        <f t="shared" si="1"/>
        <v>4602.6149400000004</v>
      </c>
      <c r="I22" s="30">
        <f t="shared" si="2"/>
        <v>5.0735145081916295</v>
      </c>
      <c r="K22" s="18" t="s">
        <v>114</v>
      </c>
      <c r="L22" t="s">
        <v>230</v>
      </c>
      <c r="M22">
        <v>4.38</v>
      </c>
      <c r="N22">
        <v>6.51</v>
      </c>
      <c r="O22">
        <v>10.28</v>
      </c>
      <c r="P22">
        <v>4.78</v>
      </c>
      <c r="Q22">
        <v>7.18</v>
      </c>
      <c r="R22">
        <v>9.61</v>
      </c>
      <c r="S22">
        <v>7.85</v>
      </c>
      <c r="T22">
        <v>13.39</v>
      </c>
      <c r="U22">
        <v>7.76</v>
      </c>
      <c r="W22">
        <v>0.98</v>
      </c>
      <c r="X22">
        <v>2.35</v>
      </c>
      <c r="Y22">
        <v>5.33</v>
      </c>
      <c r="Z22">
        <v>1.63</v>
      </c>
      <c r="AA22">
        <v>3.46</v>
      </c>
      <c r="AB22">
        <v>4.28</v>
      </c>
      <c r="AC22">
        <v>3.39</v>
      </c>
      <c r="AD22">
        <v>7.05</v>
      </c>
      <c r="AE22">
        <v>2.71</v>
      </c>
      <c r="AH22" s="18" t="s">
        <v>32</v>
      </c>
      <c r="AI22" t="s">
        <v>228</v>
      </c>
      <c r="AJ22">
        <f>(64+66+80+53+88)/5</f>
        <v>70.2</v>
      </c>
      <c r="AK22" s="17">
        <f t="shared" si="3"/>
        <v>178.30800000000002</v>
      </c>
    </row>
    <row r="23" spans="1:37" x14ac:dyDescent="0.3">
      <c r="A23" s="18" t="s">
        <v>115</v>
      </c>
      <c r="B23" t="s">
        <v>229</v>
      </c>
      <c r="C23" s="1" t="s">
        <v>236</v>
      </c>
      <c r="D23">
        <v>34</v>
      </c>
      <c r="E23">
        <f t="shared" si="0"/>
        <v>123420.00000000001</v>
      </c>
      <c r="F23">
        <v>3.72</v>
      </c>
      <c r="G23">
        <v>25.78</v>
      </c>
      <c r="H23">
        <f t="shared" si="1"/>
        <v>3481.2280800000012</v>
      </c>
      <c r="I23" s="30">
        <f t="shared" si="2"/>
        <v>3.8373970884916337</v>
      </c>
      <c r="K23" s="18" t="s">
        <v>115</v>
      </c>
      <c r="L23" t="s">
        <v>229</v>
      </c>
      <c r="M23">
        <v>10.53</v>
      </c>
      <c r="N23">
        <v>8.33</v>
      </c>
      <c r="O23">
        <v>15.28</v>
      </c>
      <c r="P23">
        <v>5.85</v>
      </c>
      <c r="Q23">
        <v>4.8099999999999996</v>
      </c>
      <c r="R23">
        <v>5.7</v>
      </c>
      <c r="S23">
        <v>7.81</v>
      </c>
      <c r="T23">
        <v>7.86</v>
      </c>
      <c r="U23">
        <v>6.59</v>
      </c>
      <c r="V23">
        <v>10.77</v>
      </c>
      <c r="W23">
        <v>4.3499999999999996</v>
      </c>
      <c r="X23">
        <v>4.38</v>
      </c>
      <c r="Y23">
        <v>7.98</v>
      </c>
      <c r="Z23">
        <v>2.3199999999999998</v>
      </c>
      <c r="AA23">
        <v>3.02</v>
      </c>
      <c r="AB23">
        <v>3.53</v>
      </c>
      <c r="AC23">
        <v>3.9</v>
      </c>
      <c r="AD23">
        <v>3.53</v>
      </c>
      <c r="AE23">
        <v>3.05</v>
      </c>
      <c r="AF23">
        <v>4.7300000000000004</v>
      </c>
      <c r="AH23" s="18" t="s">
        <v>33</v>
      </c>
      <c r="AI23" t="s">
        <v>106</v>
      </c>
      <c r="AJ23">
        <f>(109+68+94+71+100)/5</f>
        <v>88.4</v>
      </c>
      <c r="AK23" s="17">
        <f t="shared" si="3"/>
        <v>224.53600000000003</v>
      </c>
    </row>
    <row r="24" spans="1:37" x14ac:dyDescent="0.3">
      <c r="A24" s="18" t="s">
        <v>116</v>
      </c>
      <c r="B24" t="s">
        <v>6</v>
      </c>
      <c r="C24" s="1" t="s">
        <v>236</v>
      </c>
      <c r="D24">
        <v>89</v>
      </c>
      <c r="E24">
        <f t="shared" si="0"/>
        <v>323070.00000000006</v>
      </c>
      <c r="F24">
        <v>3.2</v>
      </c>
      <c r="G24">
        <v>29.31</v>
      </c>
      <c r="H24">
        <f t="shared" si="1"/>
        <v>3404.6496000000002</v>
      </c>
      <c r="I24" s="30">
        <f t="shared" si="2"/>
        <v>3.7529837638142345</v>
      </c>
      <c r="K24" s="18" t="s">
        <v>116</v>
      </c>
      <c r="L24" t="s">
        <v>6</v>
      </c>
      <c r="M24">
        <v>6.39</v>
      </c>
      <c r="N24">
        <v>7.86</v>
      </c>
      <c r="O24">
        <v>6</v>
      </c>
      <c r="P24">
        <v>7.05</v>
      </c>
      <c r="Q24">
        <v>5.39</v>
      </c>
      <c r="R24">
        <v>5.14</v>
      </c>
      <c r="S24">
        <v>9.01</v>
      </c>
      <c r="T24">
        <v>4.76</v>
      </c>
      <c r="U24">
        <v>4.3499999999999996</v>
      </c>
      <c r="V24">
        <v>5.56</v>
      </c>
      <c r="W24">
        <v>3.51</v>
      </c>
      <c r="X24">
        <v>4.3</v>
      </c>
      <c r="Y24">
        <v>2.74</v>
      </c>
      <c r="Z24">
        <v>3.53</v>
      </c>
      <c r="AA24">
        <v>3.13</v>
      </c>
      <c r="AB24">
        <v>2.96</v>
      </c>
      <c r="AC24">
        <v>5.36</v>
      </c>
      <c r="AD24">
        <v>2.5</v>
      </c>
      <c r="AE24">
        <v>2.0499999999999998</v>
      </c>
      <c r="AF24">
        <v>2.08</v>
      </c>
      <c r="AH24" s="18" t="s">
        <v>34</v>
      </c>
      <c r="AI24" t="s">
        <v>233</v>
      </c>
      <c r="AJ24">
        <f>(59+72+65+72+66)/5</f>
        <v>66.8</v>
      </c>
      <c r="AK24" s="17">
        <f t="shared" si="3"/>
        <v>169.672</v>
      </c>
    </row>
    <row r="25" spans="1:37" x14ac:dyDescent="0.3">
      <c r="A25" s="18" t="s">
        <v>117</v>
      </c>
      <c r="B25" t="s">
        <v>232</v>
      </c>
      <c r="C25" s="1" t="s">
        <v>236</v>
      </c>
      <c r="D25">
        <v>87</v>
      </c>
      <c r="E25">
        <f t="shared" si="0"/>
        <v>315810</v>
      </c>
      <c r="F25">
        <v>5.26</v>
      </c>
      <c r="G25">
        <v>30.45</v>
      </c>
      <c r="H25">
        <f t="shared" si="1"/>
        <v>5814.0621000000001</v>
      </c>
      <c r="I25" s="30">
        <f t="shared" si="2"/>
        <v>6.4089064152468707</v>
      </c>
      <c r="K25" s="18" t="s">
        <v>117</v>
      </c>
      <c r="L25" t="s">
        <v>232</v>
      </c>
      <c r="M25">
        <v>3.66</v>
      </c>
      <c r="N25">
        <v>8.68</v>
      </c>
      <c r="O25">
        <v>7.74</v>
      </c>
      <c r="P25">
        <v>7.72</v>
      </c>
      <c r="Q25">
        <v>8.36</v>
      </c>
      <c r="R25">
        <v>7.92</v>
      </c>
      <c r="S25">
        <v>6.54</v>
      </c>
      <c r="T25">
        <v>5.9</v>
      </c>
      <c r="U25">
        <v>8.7899999999999991</v>
      </c>
      <c r="V25">
        <v>8.16</v>
      </c>
      <c r="W25">
        <v>0.67</v>
      </c>
      <c r="X25">
        <v>2.54</v>
      </c>
      <c r="Y25">
        <v>3.56</v>
      </c>
      <c r="Z25">
        <v>3.32</v>
      </c>
      <c r="AA25">
        <v>2.78</v>
      </c>
      <c r="AB25">
        <v>3.02</v>
      </c>
      <c r="AC25">
        <v>1.96</v>
      </c>
      <c r="AD25">
        <v>3.02</v>
      </c>
      <c r="AE25">
        <v>3.16</v>
      </c>
      <c r="AF25">
        <v>3.45</v>
      </c>
      <c r="AH25" s="18" t="s">
        <v>35</v>
      </c>
      <c r="AI25" t="s">
        <v>6</v>
      </c>
      <c r="AJ25">
        <f>(57+104+103+84+96)/5</f>
        <v>88.8</v>
      </c>
      <c r="AK25" s="17">
        <f t="shared" si="3"/>
        <v>225.55199999999999</v>
      </c>
    </row>
    <row r="26" spans="1:37" x14ac:dyDescent="0.3">
      <c r="A26" s="18" t="s">
        <v>118</v>
      </c>
      <c r="B26" t="s">
        <v>145</v>
      </c>
      <c r="C26" s="1" t="s">
        <v>236</v>
      </c>
      <c r="D26">
        <v>102</v>
      </c>
      <c r="E26">
        <f t="shared" si="0"/>
        <v>370260.00000000006</v>
      </c>
      <c r="F26">
        <v>4.2</v>
      </c>
      <c r="G26">
        <v>25.11</v>
      </c>
      <c r="H26">
        <f t="shared" si="1"/>
        <v>3828.2706000000007</v>
      </c>
      <c r="I26" s="30">
        <f t="shared" si="2"/>
        <v>4.2199459836593407</v>
      </c>
      <c r="K26" s="18" t="s">
        <v>118</v>
      </c>
      <c r="L26" t="s">
        <v>145</v>
      </c>
      <c r="M26">
        <v>7.48</v>
      </c>
      <c r="N26">
        <v>9.42</v>
      </c>
      <c r="O26">
        <v>7.55</v>
      </c>
      <c r="P26">
        <v>5.81</v>
      </c>
      <c r="Q26">
        <v>5.16</v>
      </c>
      <c r="R26">
        <v>5.6</v>
      </c>
      <c r="S26">
        <v>5.0999999999999996</v>
      </c>
      <c r="T26">
        <v>4.0999999999999996</v>
      </c>
      <c r="U26">
        <v>4.1399999999999997</v>
      </c>
      <c r="V26">
        <v>5.62</v>
      </c>
      <c r="W26">
        <v>4.54</v>
      </c>
      <c r="X26">
        <v>4.92</v>
      </c>
      <c r="Y26">
        <v>3.69</v>
      </c>
      <c r="Z26">
        <v>2.98</v>
      </c>
      <c r="AA26">
        <v>2.65</v>
      </c>
      <c r="AB26">
        <v>2.2799999999999998</v>
      </c>
      <c r="AC26">
        <v>1.85</v>
      </c>
      <c r="AD26">
        <v>1.26</v>
      </c>
      <c r="AE26">
        <v>1.5</v>
      </c>
      <c r="AF26">
        <v>2.69</v>
      </c>
      <c r="AH26" s="18" t="s">
        <v>36</v>
      </c>
      <c r="AI26" t="s">
        <v>230</v>
      </c>
      <c r="AJ26">
        <f>(60+83+42+86+61)/5</f>
        <v>66.400000000000006</v>
      </c>
      <c r="AK26" s="17">
        <f t="shared" si="3"/>
        <v>168.65600000000001</v>
      </c>
    </row>
    <row r="27" spans="1:37" x14ac:dyDescent="0.3">
      <c r="A27" s="20" t="s">
        <v>119</v>
      </c>
      <c r="B27" t="s">
        <v>235</v>
      </c>
      <c r="C27" s="1" t="s">
        <v>236</v>
      </c>
      <c r="D27">
        <v>92</v>
      </c>
      <c r="E27">
        <f t="shared" si="0"/>
        <v>333960.00000000006</v>
      </c>
      <c r="F27">
        <v>3.91</v>
      </c>
      <c r="G27">
        <v>25.45</v>
      </c>
      <c r="H27">
        <f t="shared" si="1"/>
        <v>3612.1948500000008</v>
      </c>
      <c r="I27" s="30">
        <f t="shared" si="2"/>
        <v>3.9817632404178673</v>
      </c>
      <c r="K27" s="20" t="s">
        <v>119</v>
      </c>
      <c r="L27" t="s">
        <v>235</v>
      </c>
      <c r="M27">
        <v>8.86</v>
      </c>
      <c r="N27">
        <v>6.74</v>
      </c>
      <c r="O27">
        <v>5.35</v>
      </c>
      <c r="P27">
        <v>6.41</v>
      </c>
      <c r="Q27">
        <v>7.78</v>
      </c>
      <c r="R27">
        <v>9.6300000000000008</v>
      </c>
      <c r="S27">
        <v>9.57</v>
      </c>
      <c r="T27">
        <v>9.4700000000000006</v>
      </c>
      <c r="U27">
        <v>4.07</v>
      </c>
      <c r="V27">
        <v>2.62</v>
      </c>
      <c r="W27">
        <v>5.21</v>
      </c>
      <c r="X27">
        <v>3.84</v>
      </c>
      <c r="Y27">
        <v>2.63</v>
      </c>
      <c r="Z27">
        <v>2.98</v>
      </c>
      <c r="AA27">
        <v>3.7</v>
      </c>
      <c r="AB27">
        <v>5.58</v>
      </c>
      <c r="AC27">
        <v>5.66</v>
      </c>
      <c r="AD27">
        <v>4.74</v>
      </c>
      <c r="AE27">
        <v>3.03</v>
      </c>
      <c r="AF27">
        <v>1.64</v>
      </c>
      <c r="AH27" s="20" t="s">
        <v>43</v>
      </c>
      <c r="AI27" t="s">
        <v>233</v>
      </c>
      <c r="AJ27">
        <f>(46+56+57+68+64)/5</f>
        <v>58.2</v>
      </c>
      <c r="AK27" s="17">
        <f t="shared" si="3"/>
        <v>147.828</v>
      </c>
    </row>
    <row r="28" spans="1:37" x14ac:dyDescent="0.3">
      <c r="A28" s="20" t="s">
        <v>120</v>
      </c>
      <c r="B28" t="s">
        <v>6</v>
      </c>
      <c r="C28" s="1" t="s">
        <v>236</v>
      </c>
      <c r="D28">
        <v>111</v>
      </c>
      <c r="E28">
        <f t="shared" si="0"/>
        <v>402930.00000000006</v>
      </c>
      <c r="F28">
        <v>5.96</v>
      </c>
      <c r="G28">
        <v>26.17</v>
      </c>
      <c r="H28">
        <f t="shared" si="1"/>
        <v>5661.8271600000016</v>
      </c>
      <c r="I28" s="30">
        <f t="shared" si="2"/>
        <v>6.2410961189669747</v>
      </c>
      <c r="K28" s="20" t="s">
        <v>120</v>
      </c>
      <c r="L28" t="s">
        <v>6</v>
      </c>
      <c r="M28">
        <v>6.9</v>
      </c>
      <c r="N28">
        <v>6.67</v>
      </c>
      <c r="O28">
        <v>8.1</v>
      </c>
      <c r="P28">
        <v>7.54</v>
      </c>
      <c r="Q28">
        <v>5.51</v>
      </c>
      <c r="R28">
        <v>6.32</v>
      </c>
      <c r="S28">
        <v>10.210000000000001</v>
      </c>
      <c r="T28">
        <v>5.27</v>
      </c>
      <c r="U28">
        <v>4.45</v>
      </c>
      <c r="V28">
        <v>5.62</v>
      </c>
      <c r="W28">
        <v>2.21</v>
      </c>
      <c r="X28">
        <v>3.18</v>
      </c>
      <c r="Y28">
        <v>4.79</v>
      </c>
      <c r="Z28">
        <v>3.34</v>
      </c>
      <c r="AA28">
        <v>1.66</v>
      </c>
      <c r="AB28">
        <v>3.16</v>
      </c>
      <c r="AC28">
        <v>3.86</v>
      </c>
      <c r="AD28">
        <v>2.36</v>
      </c>
      <c r="AE28">
        <v>2.5499999999999998</v>
      </c>
      <c r="AF28">
        <v>1.99</v>
      </c>
      <c r="AH28" s="20" t="s">
        <v>44</v>
      </c>
      <c r="AI28" t="s">
        <v>230</v>
      </c>
      <c r="AJ28">
        <f>(44+52+72+71+74)/5</f>
        <v>62.6</v>
      </c>
      <c r="AK28" s="17">
        <f t="shared" si="3"/>
        <v>159.00400000000002</v>
      </c>
    </row>
    <row r="29" spans="1:37" x14ac:dyDescent="0.3">
      <c r="A29" s="20" t="s">
        <v>121</v>
      </c>
      <c r="B29" t="s">
        <v>106</v>
      </c>
      <c r="C29" s="1" t="s">
        <v>236</v>
      </c>
      <c r="D29">
        <v>109</v>
      </c>
      <c r="E29">
        <f t="shared" si="0"/>
        <v>395670.00000000006</v>
      </c>
      <c r="F29">
        <v>5.26</v>
      </c>
      <c r="G29">
        <v>22.1</v>
      </c>
      <c r="H29">
        <f t="shared" si="1"/>
        <v>4219.729800000001</v>
      </c>
      <c r="I29" s="30">
        <f t="shared" si="2"/>
        <v>4.651455887584758</v>
      </c>
      <c r="K29" s="20" t="s">
        <v>121</v>
      </c>
      <c r="L29" t="s">
        <v>106</v>
      </c>
      <c r="M29">
        <v>6.84</v>
      </c>
      <c r="N29">
        <v>5.66</v>
      </c>
      <c r="O29">
        <v>5.25</v>
      </c>
      <c r="P29">
        <v>5.13</v>
      </c>
      <c r="Q29">
        <v>5.33</v>
      </c>
      <c r="R29">
        <v>8.65</v>
      </c>
      <c r="S29">
        <v>5.44</v>
      </c>
      <c r="T29">
        <v>8.4</v>
      </c>
      <c r="U29">
        <v>7.44</v>
      </c>
      <c r="W29">
        <v>2.13</v>
      </c>
      <c r="X29">
        <v>2.0299999999999998</v>
      </c>
      <c r="Y29">
        <v>1.1599999999999999</v>
      </c>
      <c r="Z29">
        <v>2.09</v>
      </c>
      <c r="AA29">
        <v>2.19</v>
      </c>
      <c r="AB29">
        <v>3.88</v>
      </c>
      <c r="AC29">
        <v>2.54</v>
      </c>
      <c r="AD29">
        <v>3.82</v>
      </c>
      <c r="AE29">
        <v>3.44</v>
      </c>
      <c r="AH29" s="20" t="s">
        <v>48</v>
      </c>
      <c r="AI29" t="s">
        <v>228</v>
      </c>
      <c r="AJ29">
        <f>(53+62+50+51+85)/5</f>
        <v>60.2</v>
      </c>
      <c r="AK29" s="17">
        <f t="shared" si="3"/>
        <v>152.90800000000002</v>
      </c>
    </row>
    <row r="30" spans="1:37" x14ac:dyDescent="0.3">
      <c r="A30" s="20" t="s">
        <v>122</v>
      </c>
      <c r="B30" t="s">
        <v>229</v>
      </c>
      <c r="C30" s="1" t="s">
        <v>236</v>
      </c>
      <c r="D30">
        <v>98</v>
      </c>
      <c r="E30">
        <f t="shared" si="0"/>
        <v>355740.00000000006</v>
      </c>
      <c r="F30">
        <v>4.54</v>
      </c>
      <c r="G30">
        <v>25.99</v>
      </c>
      <c r="H30">
        <f t="shared" si="1"/>
        <v>4283.2039800000002</v>
      </c>
      <c r="I30" s="30">
        <f t="shared" si="2"/>
        <v>4.7214241941504085</v>
      </c>
      <c r="K30" s="20" t="s">
        <v>122</v>
      </c>
      <c r="L30" t="s">
        <v>229</v>
      </c>
      <c r="M30">
        <v>3.99</v>
      </c>
      <c r="N30">
        <v>8.19</v>
      </c>
      <c r="O30">
        <v>10.050000000000001</v>
      </c>
      <c r="P30">
        <v>11.41</v>
      </c>
      <c r="Q30">
        <v>4.41</v>
      </c>
      <c r="R30">
        <v>9.7799999999999994</v>
      </c>
      <c r="S30">
        <v>4.97</v>
      </c>
      <c r="T30">
        <v>4.37</v>
      </c>
      <c r="U30">
        <v>6.39</v>
      </c>
      <c r="V30">
        <v>5.82</v>
      </c>
      <c r="W30">
        <v>1.61</v>
      </c>
      <c r="X30">
        <v>4.93</v>
      </c>
      <c r="Y30">
        <v>4.0599999999999996</v>
      </c>
      <c r="Z30">
        <v>6.67</v>
      </c>
      <c r="AA30">
        <v>1.7</v>
      </c>
      <c r="AB30">
        <v>4.7699999999999996</v>
      </c>
      <c r="AC30">
        <v>1.49</v>
      </c>
      <c r="AD30">
        <v>1.26</v>
      </c>
      <c r="AE30">
        <v>1.85</v>
      </c>
      <c r="AF30">
        <v>1.97</v>
      </c>
      <c r="AH30" s="20" t="s">
        <v>47</v>
      </c>
      <c r="AI30" t="s">
        <v>231</v>
      </c>
      <c r="AJ30">
        <f>(70+54+84+56+88)/5</f>
        <v>70.400000000000006</v>
      </c>
      <c r="AK30" s="17">
        <f t="shared" si="3"/>
        <v>178.81600000000003</v>
      </c>
    </row>
    <row r="31" spans="1:37" x14ac:dyDescent="0.3">
      <c r="A31" s="20" t="s">
        <v>123</v>
      </c>
      <c r="B31" t="s">
        <v>230</v>
      </c>
      <c r="C31" s="1" t="s">
        <v>236</v>
      </c>
      <c r="D31">
        <v>117</v>
      </c>
      <c r="E31">
        <f t="shared" si="0"/>
        <v>424710.00000000006</v>
      </c>
      <c r="F31">
        <v>4.16</v>
      </c>
      <c r="G31">
        <v>24.39</v>
      </c>
      <c r="H31">
        <f t="shared" si="1"/>
        <v>3683.0851200000002</v>
      </c>
      <c r="I31" s="30">
        <f t="shared" si="2"/>
        <v>4.0599063868733518</v>
      </c>
      <c r="K31" s="20" t="s">
        <v>123</v>
      </c>
      <c r="L31" t="s">
        <v>230</v>
      </c>
      <c r="M31">
        <v>3.86</v>
      </c>
      <c r="N31">
        <v>5.95</v>
      </c>
      <c r="O31">
        <v>5.83</v>
      </c>
      <c r="P31">
        <v>6.47</v>
      </c>
      <c r="Q31">
        <v>6.25</v>
      </c>
      <c r="R31">
        <v>5.36</v>
      </c>
      <c r="S31">
        <v>4.55</v>
      </c>
      <c r="T31">
        <v>12.64</v>
      </c>
      <c r="U31">
        <v>3.35</v>
      </c>
      <c r="V31">
        <v>4.32</v>
      </c>
      <c r="W31">
        <v>1.1399999999999999</v>
      </c>
      <c r="X31">
        <v>2.5299999999999998</v>
      </c>
      <c r="Y31">
        <v>2.12</v>
      </c>
      <c r="Z31">
        <v>2.5299999999999998</v>
      </c>
      <c r="AA31">
        <v>3.05</v>
      </c>
      <c r="AB31">
        <v>2.12</v>
      </c>
      <c r="AC31">
        <v>1.24</v>
      </c>
      <c r="AD31">
        <v>4.1500000000000004</v>
      </c>
      <c r="AE31">
        <v>1.61</v>
      </c>
      <c r="AF31">
        <v>1.43</v>
      </c>
      <c r="AH31" s="20" t="s">
        <v>46</v>
      </c>
      <c r="AI31" t="s">
        <v>145</v>
      </c>
      <c r="AJ31">
        <f>(77+51+48+96+79)/5</f>
        <v>70.2</v>
      </c>
      <c r="AK31" s="17">
        <f t="shared" si="3"/>
        <v>178.30800000000002</v>
      </c>
    </row>
    <row r="32" spans="1:37" x14ac:dyDescent="0.3">
      <c r="A32" s="20" t="s">
        <v>124</v>
      </c>
      <c r="B32" t="s">
        <v>228</v>
      </c>
      <c r="C32" s="1" t="s">
        <v>236</v>
      </c>
      <c r="D32">
        <v>129</v>
      </c>
      <c r="E32">
        <f t="shared" si="0"/>
        <v>468270.00000000006</v>
      </c>
      <c r="F32">
        <v>4.96</v>
      </c>
      <c r="G32">
        <v>26.05</v>
      </c>
      <c r="H32">
        <f t="shared" si="1"/>
        <v>4690.2504000000008</v>
      </c>
      <c r="I32" s="30">
        <f t="shared" si="2"/>
        <v>5.1701160669876929</v>
      </c>
      <c r="K32" s="20" t="s">
        <v>124</v>
      </c>
      <c r="L32" t="s">
        <v>228</v>
      </c>
      <c r="M32">
        <v>6.45</v>
      </c>
      <c r="N32">
        <v>5.79</v>
      </c>
      <c r="O32">
        <v>9.8000000000000007</v>
      </c>
      <c r="P32">
        <v>8.66</v>
      </c>
      <c r="Q32">
        <v>7.07</v>
      </c>
      <c r="R32">
        <v>8.32</v>
      </c>
      <c r="S32">
        <v>4.59</v>
      </c>
      <c r="T32">
        <v>5.65</v>
      </c>
      <c r="U32">
        <v>6.63</v>
      </c>
      <c r="V32">
        <v>4.87</v>
      </c>
      <c r="W32">
        <v>3.22</v>
      </c>
      <c r="X32">
        <v>2.82</v>
      </c>
      <c r="Y32">
        <v>3.77</v>
      </c>
      <c r="Z32">
        <v>3.2</v>
      </c>
      <c r="AA32">
        <v>3.72</v>
      </c>
      <c r="AB32">
        <v>3.51</v>
      </c>
      <c r="AC32">
        <v>1.97</v>
      </c>
      <c r="AD32">
        <v>2.08</v>
      </c>
      <c r="AE32">
        <v>2.96</v>
      </c>
      <c r="AF32">
        <v>1.92</v>
      </c>
      <c r="AH32" s="20" t="s">
        <v>45</v>
      </c>
      <c r="AI32" t="s">
        <v>229</v>
      </c>
      <c r="AJ32">
        <f>(86+90+37+85+70)/5</f>
        <v>73.599999999999994</v>
      </c>
      <c r="AK32" s="17">
        <f t="shared" si="3"/>
        <v>186.94399999999999</v>
      </c>
    </row>
    <row r="33" spans="1:37" x14ac:dyDescent="0.3">
      <c r="A33" s="20" t="s">
        <v>125</v>
      </c>
      <c r="B33" t="s">
        <v>231</v>
      </c>
      <c r="C33" s="1" t="s">
        <v>236</v>
      </c>
      <c r="D33">
        <v>105</v>
      </c>
      <c r="E33">
        <f t="shared" si="0"/>
        <v>381150.00000000006</v>
      </c>
      <c r="F33">
        <v>3.34</v>
      </c>
      <c r="G33">
        <v>29.4</v>
      </c>
      <c r="H33">
        <f t="shared" si="1"/>
        <v>3564.5147999999999</v>
      </c>
      <c r="I33" s="30">
        <f t="shared" si="2"/>
        <v>3.9292049819974255</v>
      </c>
      <c r="K33" s="20" t="s">
        <v>125</v>
      </c>
      <c r="L33" t="s">
        <v>231</v>
      </c>
      <c r="M33">
        <v>4.84</v>
      </c>
      <c r="N33">
        <v>8.66</v>
      </c>
      <c r="O33">
        <v>5.26</v>
      </c>
      <c r="P33">
        <v>4.9400000000000004</v>
      </c>
      <c r="Q33">
        <v>5.4</v>
      </c>
      <c r="R33">
        <v>5.43</v>
      </c>
      <c r="S33">
        <v>8.2200000000000006</v>
      </c>
      <c r="T33">
        <v>6.16</v>
      </c>
      <c r="U33">
        <v>4.49</v>
      </c>
      <c r="V33">
        <v>4.3600000000000003</v>
      </c>
      <c r="W33">
        <v>2.15</v>
      </c>
      <c r="X33">
        <v>3.65</v>
      </c>
      <c r="Y33">
        <v>2.0699999999999998</v>
      </c>
      <c r="Z33">
        <v>1.78</v>
      </c>
      <c r="AA33">
        <v>2.04</v>
      </c>
      <c r="AB33">
        <v>1.88</v>
      </c>
      <c r="AC33">
        <v>3.12</v>
      </c>
      <c r="AD33">
        <v>2.57</v>
      </c>
      <c r="AE33">
        <v>1.87</v>
      </c>
      <c r="AF33">
        <v>1.26</v>
      </c>
      <c r="AH33" s="20" t="s">
        <v>37</v>
      </c>
      <c r="AI33" t="s">
        <v>7</v>
      </c>
      <c r="AJ33">
        <f>(64+68+60+81+76)/5</f>
        <v>69.8</v>
      </c>
      <c r="AK33" s="17">
        <f t="shared" si="3"/>
        <v>177.292</v>
      </c>
    </row>
    <row r="34" spans="1:37" x14ac:dyDescent="0.3">
      <c r="A34" s="20" t="s">
        <v>126</v>
      </c>
      <c r="B34" t="s">
        <v>145</v>
      </c>
      <c r="C34" s="1" t="s">
        <v>236</v>
      </c>
      <c r="D34">
        <v>110</v>
      </c>
      <c r="E34">
        <f t="shared" si="0"/>
        <v>399300.00000000006</v>
      </c>
      <c r="F34">
        <v>3.1</v>
      </c>
      <c r="G34">
        <v>31.56</v>
      </c>
      <c r="H34">
        <f t="shared" si="1"/>
        <v>3551.4468000000002</v>
      </c>
      <c r="I34" s="30">
        <f t="shared" si="2"/>
        <v>3.9147999777862657</v>
      </c>
      <c r="K34" s="20" t="s">
        <v>126</v>
      </c>
      <c r="L34" t="s">
        <v>145</v>
      </c>
      <c r="M34">
        <v>3.31</v>
      </c>
      <c r="N34">
        <v>6.9</v>
      </c>
      <c r="O34">
        <v>6.25</v>
      </c>
      <c r="P34">
        <v>4.62</v>
      </c>
      <c r="Q34">
        <v>15.96</v>
      </c>
      <c r="R34">
        <v>4.43</v>
      </c>
      <c r="S34">
        <v>6.81</v>
      </c>
      <c r="T34">
        <v>5.78</v>
      </c>
      <c r="U34">
        <v>6.79</v>
      </c>
      <c r="V34">
        <v>5.5</v>
      </c>
      <c r="W34">
        <v>1.1499999999999999</v>
      </c>
      <c r="X34">
        <v>3.53</v>
      </c>
      <c r="Y34">
        <v>2.2999999999999998</v>
      </c>
      <c r="Z34">
        <v>2.19</v>
      </c>
      <c r="AA34">
        <v>1.76</v>
      </c>
      <c r="AB34">
        <v>2</v>
      </c>
      <c r="AC34">
        <v>3.16</v>
      </c>
      <c r="AD34">
        <v>2.13</v>
      </c>
      <c r="AE34">
        <v>2.78</v>
      </c>
      <c r="AF34">
        <v>2.46</v>
      </c>
      <c r="AH34" s="20" t="s">
        <v>38</v>
      </c>
      <c r="AI34" t="s">
        <v>234</v>
      </c>
      <c r="AJ34">
        <f>(57+53+54+59+62)/5</f>
        <v>57</v>
      </c>
      <c r="AK34" s="17">
        <f t="shared" si="3"/>
        <v>144.78</v>
      </c>
    </row>
    <row r="35" spans="1:37" x14ac:dyDescent="0.3">
      <c r="A35" s="20" t="s">
        <v>127</v>
      </c>
      <c r="B35" t="s">
        <v>233</v>
      </c>
      <c r="C35" s="1" t="s">
        <v>236</v>
      </c>
      <c r="D35">
        <v>45</v>
      </c>
      <c r="E35">
        <f t="shared" si="0"/>
        <v>163350.00000000003</v>
      </c>
      <c r="F35">
        <v>2.34</v>
      </c>
      <c r="G35">
        <v>26.33</v>
      </c>
      <c r="H35">
        <f t="shared" si="1"/>
        <v>2236.52286</v>
      </c>
      <c r="I35" s="30">
        <f t="shared" si="2"/>
        <v>2.4653444457189884</v>
      </c>
      <c r="K35" s="20" t="s">
        <v>127</v>
      </c>
      <c r="L35" t="s">
        <v>233</v>
      </c>
      <c r="M35">
        <v>6.32</v>
      </c>
      <c r="N35">
        <v>6.69</v>
      </c>
      <c r="O35">
        <v>5.97</v>
      </c>
      <c r="P35">
        <v>8.69</v>
      </c>
      <c r="Q35">
        <v>8.7200000000000006</v>
      </c>
      <c r="R35">
        <v>7.83</v>
      </c>
      <c r="S35">
        <v>7.93</v>
      </c>
      <c r="T35">
        <v>5.01</v>
      </c>
      <c r="U35">
        <v>3.58</v>
      </c>
      <c r="V35">
        <v>3.84</v>
      </c>
      <c r="W35">
        <v>2.92</v>
      </c>
      <c r="X35">
        <v>3.12</v>
      </c>
      <c r="Y35">
        <v>2.72</v>
      </c>
      <c r="Z35">
        <v>3.65</v>
      </c>
      <c r="AA35">
        <v>3.78</v>
      </c>
      <c r="AB35">
        <v>3.28</v>
      </c>
      <c r="AC35">
        <v>3.94</v>
      </c>
      <c r="AD35">
        <v>2.1</v>
      </c>
      <c r="AE35">
        <v>1.55</v>
      </c>
      <c r="AF35">
        <v>2.27</v>
      </c>
      <c r="AH35" s="20" t="s">
        <v>39</v>
      </c>
      <c r="AI35" t="s">
        <v>235</v>
      </c>
      <c r="AJ35">
        <f>(64+53+54+59+62)/5</f>
        <v>58.4</v>
      </c>
      <c r="AK35" s="17">
        <f t="shared" si="3"/>
        <v>148.33599999999998</v>
      </c>
    </row>
    <row r="36" spans="1:37" x14ac:dyDescent="0.3">
      <c r="A36" s="20" t="s">
        <v>128</v>
      </c>
      <c r="B36" t="s">
        <v>7</v>
      </c>
      <c r="C36" s="1" t="s">
        <v>236</v>
      </c>
      <c r="D36">
        <v>52</v>
      </c>
      <c r="E36">
        <f t="shared" si="0"/>
        <v>188760.00000000003</v>
      </c>
      <c r="F36">
        <v>2.84</v>
      </c>
      <c r="G36">
        <v>26.61</v>
      </c>
      <c r="H36">
        <f t="shared" si="1"/>
        <v>2743.2781199999999</v>
      </c>
      <c r="I36" s="30">
        <f t="shared" si="2"/>
        <v>3.0239465006874235</v>
      </c>
      <c r="K36" s="20" t="s">
        <v>128</v>
      </c>
      <c r="L36" t="s">
        <v>7</v>
      </c>
      <c r="M36">
        <v>5.47</v>
      </c>
      <c r="N36">
        <v>5.85</v>
      </c>
      <c r="O36">
        <v>6.1</v>
      </c>
      <c r="P36">
        <v>7.27</v>
      </c>
      <c r="Q36">
        <v>8.42</v>
      </c>
      <c r="R36">
        <v>9.58</v>
      </c>
      <c r="S36">
        <v>7.92</v>
      </c>
      <c r="T36">
        <v>5.95</v>
      </c>
      <c r="U36">
        <v>6.09</v>
      </c>
      <c r="V36">
        <v>5.73</v>
      </c>
      <c r="W36">
        <v>2.08</v>
      </c>
      <c r="X36">
        <v>2.42</v>
      </c>
      <c r="Y36">
        <v>2.27</v>
      </c>
      <c r="Z36">
        <v>2.88</v>
      </c>
      <c r="AA36">
        <v>3.48</v>
      </c>
      <c r="AB36">
        <v>4.41</v>
      </c>
      <c r="AC36">
        <v>4.12</v>
      </c>
      <c r="AD36">
        <v>2.15</v>
      </c>
      <c r="AE36">
        <v>2.98</v>
      </c>
      <c r="AF36">
        <v>2.39</v>
      </c>
      <c r="AH36" s="20" t="s">
        <v>40</v>
      </c>
      <c r="AI36" t="s">
        <v>6</v>
      </c>
      <c r="AJ36">
        <f>(70+90+73+53+76)/5</f>
        <v>72.400000000000006</v>
      </c>
      <c r="AK36" s="17">
        <f t="shared" si="3"/>
        <v>183.89600000000002</v>
      </c>
    </row>
    <row r="37" spans="1:37" x14ac:dyDescent="0.3">
      <c r="A37" s="20" t="s">
        <v>129</v>
      </c>
      <c r="B37" t="s">
        <v>232</v>
      </c>
      <c r="C37" s="1" t="s">
        <v>236</v>
      </c>
      <c r="D37">
        <v>145</v>
      </c>
      <c r="E37">
        <f t="shared" si="0"/>
        <v>526350</v>
      </c>
      <c r="F37">
        <v>3.16</v>
      </c>
      <c r="G37">
        <v>27.99</v>
      </c>
      <c r="H37">
        <f t="shared" si="1"/>
        <v>3210.6769199999999</v>
      </c>
      <c r="I37" s="30">
        <f t="shared" si="2"/>
        <v>3.539165484639915</v>
      </c>
      <c r="K37" s="20" t="s">
        <v>129</v>
      </c>
      <c r="L37" t="s">
        <v>232</v>
      </c>
      <c r="M37">
        <v>6.2</v>
      </c>
      <c r="N37">
        <v>3.62</v>
      </c>
      <c r="O37">
        <v>7.71</v>
      </c>
      <c r="P37">
        <v>5.03</v>
      </c>
      <c r="Q37">
        <v>4.8499999999999996</v>
      </c>
      <c r="R37">
        <v>5.09</v>
      </c>
      <c r="S37">
        <v>6.23</v>
      </c>
      <c r="T37">
        <v>3.89</v>
      </c>
      <c r="U37">
        <v>5.32</v>
      </c>
      <c r="V37">
        <v>5.79</v>
      </c>
      <c r="W37">
        <v>4.3899999999999997</v>
      </c>
      <c r="X37">
        <v>3.24</v>
      </c>
      <c r="Y37">
        <v>2.81</v>
      </c>
      <c r="Z37">
        <v>3.05</v>
      </c>
      <c r="AA37">
        <v>4.1500000000000004</v>
      </c>
      <c r="AB37">
        <v>2.2000000000000002</v>
      </c>
      <c r="AC37">
        <v>3.41</v>
      </c>
      <c r="AD37">
        <v>3.27</v>
      </c>
      <c r="AE37">
        <v>3.58</v>
      </c>
      <c r="AF37">
        <v>2.04</v>
      </c>
      <c r="AH37" s="20" t="s">
        <v>41</v>
      </c>
      <c r="AI37" t="s">
        <v>106</v>
      </c>
      <c r="AJ37">
        <f>(55+71+45+44+51)/5</f>
        <v>53.2</v>
      </c>
      <c r="AK37" s="17">
        <f t="shared" si="3"/>
        <v>135.12800000000001</v>
      </c>
    </row>
    <row r="38" spans="1:37" x14ac:dyDescent="0.3">
      <c r="A38" s="20" t="s">
        <v>130</v>
      </c>
      <c r="B38" t="s">
        <v>234</v>
      </c>
      <c r="C38" s="1" t="s">
        <v>236</v>
      </c>
      <c r="D38">
        <v>32</v>
      </c>
      <c r="E38">
        <f t="shared" si="0"/>
        <v>116160.00000000001</v>
      </c>
      <c r="F38">
        <v>2.1</v>
      </c>
      <c r="G38">
        <v>28.08</v>
      </c>
      <c r="H38">
        <f t="shared" si="1"/>
        <v>2140.5383999999999</v>
      </c>
      <c r="I38" s="30">
        <f t="shared" si="2"/>
        <v>2.3595396897880176</v>
      </c>
      <c r="K38" s="20" t="s">
        <v>130</v>
      </c>
      <c r="L38" t="s">
        <v>234</v>
      </c>
      <c r="M38">
        <v>6.72</v>
      </c>
      <c r="N38">
        <v>7.73</v>
      </c>
      <c r="O38">
        <v>7.23</v>
      </c>
      <c r="P38">
        <v>6.83</v>
      </c>
      <c r="Q38">
        <v>4.6399999999999997</v>
      </c>
      <c r="R38">
        <v>5.37</v>
      </c>
      <c r="S38">
        <v>6.57</v>
      </c>
      <c r="T38">
        <v>7.19</v>
      </c>
      <c r="U38">
        <v>6.69</v>
      </c>
      <c r="V38">
        <v>9.92</v>
      </c>
      <c r="W38">
        <v>4.12</v>
      </c>
      <c r="X38">
        <v>5.4</v>
      </c>
      <c r="Y38">
        <v>4.45</v>
      </c>
      <c r="Z38">
        <v>3.89</v>
      </c>
      <c r="AA38">
        <v>2.5099999999999998</v>
      </c>
      <c r="AB38">
        <v>4.5</v>
      </c>
      <c r="AC38">
        <v>4.37</v>
      </c>
      <c r="AD38">
        <v>4.72</v>
      </c>
      <c r="AE38">
        <v>3.52</v>
      </c>
      <c r="AF38">
        <v>5.58</v>
      </c>
      <c r="AH38" s="20" t="s">
        <v>42</v>
      </c>
      <c r="AI38" t="s">
        <v>232</v>
      </c>
      <c r="AJ38">
        <f>(59+59+65+86+74)/5</f>
        <v>68.599999999999994</v>
      </c>
      <c r="AK38" s="17">
        <f t="shared" si="3"/>
        <v>174.244</v>
      </c>
    </row>
    <row r="39" spans="1:37" x14ac:dyDescent="0.3">
      <c r="A39" s="21" t="s">
        <v>131</v>
      </c>
      <c r="B39" t="s">
        <v>234</v>
      </c>
      <c r="C39" s="1" t="s">
        <v>236</v>
      </c>
      <c r="D39">
        <v>41</v>
      </c>
      <c r="E39">
        <f t="shared" si="0"/>
        <v>148830</v>
      </c>
      <c r="F39">
        <v>1.1399999999999999</v>
      </c>
      <c r="G39">
        <v>27.5</v>
      </c>
      <c r="H39">
        <f t="shared" si="1"/>
        <v>1138.0050000000001</v>
      </c>
      <c r="I39" s="30">
        <f t="shared" si="2"/>
        <v>1.254435783388522</v>
      </c>
      <c r="K39" s="21" t="s">
        <v>131</v>
      </c>
      <c r="L39" t="s">
        <v>234</v>
      </c>
      <c r="M39">
        <v>5.26</v>
      </c>
      <c r="N39">
        <v>4.88</v>
      </c>
      <c r="O39">
        <v>3.27</v>
      </c>
      <c r="P39">
        <v>4.46</v>
      </c>
      <c r="Q39">
        <v>4.67</v>
      </c>
      <c r="R39">
        <v>2.94</v>
      </c>
      <c r="S39">
        <v>3.82</v>
      </c>
      <c r="T39">
        <v>4.41</v>
      </c>
      <c r="U39">
        <v>3.99</v>
      </c>
      <c r="V39">
        <v>3.31</v>
      </c>
      <c r="W39">
        <v>2.04</v>
      </c>
      <c r="X39">
        <v>2.39</v>
      </c>
      <c r="Y39">
        <v>1.55</v>
      </c>
      <c r="Z39">
        <v>0.48</v>
      </c>
      <c r="AA39">
        <v>2.87</v>
      </c>
      <c r="AB39">
        <v>1.61</v>
      </c>
      <c r="AC39">
        <v>1.51</v>
      </c>
      <c r="AD39">
        <v>2.58</v>
      </c>
      <c r="AE39">
        <v>2.12</v>
      </c>
      <c r="AF39">
        <v>2.44</v>
      </c>
      <c r="AH39" s="21" t="s">
        <v>49</v>
      </c>
      <c r="AI39" t="s">
        <v>232</v>
      </c>
      <c r="AJ39">
        <f>(38+32+28+28+42)/5</f>
        <v>33.6</v>
      </c>
      <c r="AK39" s="17">
        <f t="shared" si="3"/>
        <v>85.344000000000008</v>
      </c>
    </row>
    <row r="40" spans="1:37" x14ac:dyDescent="0.3">
      <c r="A40" s="21" t="s">
        <v>132</v>
      </c>
      <c r="B40" t="s">
        <v>145</v>
      </c>
      <c r="C40" s="1" t="s">
        <v>236</v>
      </c>
      <c r="D40">
        <v>55</v>
      </c>
      <c r="E40">
        <f t="shared" si="0"/>
        <v>199650.00000000003</v>
      </c>
      <c r="F40">
        <v>2.2000000000000002</v>
      </c>
      <c r="G40">
        <v>27.75</v>
      </c>
      <c r="H40">
        <f t="shared" si="1"/>
        <v>2216.1150000000007</v>
      </c>
      <c r="I40" s="30">
        <f t="shared" si="2"/>
        <v>2.4428486308092277</v>
      </c>
      <c r="K40" s="21" t="s">
        <v>132</v>
      </c>
      <c r="L40" t="s">
        <v>145</v>
      </c>
      <c r="M40">
        <v>4.05</v>
      </c>
      <c r="N40">
        <v>6.21</v>
      </c>
      <c r="O40">
        <v>6.46</v>
      </c>
      <c r="P40">
        <v>6.3</v>
      </c>
      <c r="Q40">
        <v>4.51</v>
      </c>
      <c r="R40">
        <v>4.4000000000000004</v>
      </c>
      <c r="S40">
        <v>5.66</v>
      </c>
      <c r="T40">
        <v>3.35</v>
      </c>
      <c r="U40">
        <v>6.23</v>
      </c>
      <c r="W40">
        <v>2.71</v>
      </c>
      <c r="X40">
        <v>4.6900000000000004</v>
      </c>
      <c r="Y40">
        <v>4.3099999999999996</v>
      </c>
      <c r="Z40">
        <v>3.99</v>
      </c>
      <c r="AA40">
        <v>2.65</v>
      </c>
      <c r="AB40">
        <v>2.42</v>
      </c>
      <c r="AC40">
        <v>4.21</v>
      </c>
      <c r="AD40">
        <v>1.1200000000000001</v>
      </c>
      <c r="AE40">
        <v>4.93</v>
      </c>
      <c r="AH40" s="21" t="s">
        <v>50</v>
      </c>
      <c r="AI40" t="s">
        <v>231</v>
      </c>
      <c r="AJ40">
        <f>(53+67+62+63+68)/5</f>
        <v>62.6</v>
      </c>
      <c r="AK40" s="17">
        <f t="shared" si="3"/>
        <v>159.00400000000002</v>
      </c>
    </row>
    <row r="41" spans="1:37" x14ac:dyDescent="0.3">
      <c r="A41" s="21" t="s">
        <v>133</v>
      </c>
      <c r="B41" t="s">
        <v>232</v>
      </c>
      <c r="C41" s="1" t="s">
        <v>236</v>
      </c>
      <c r="D41">
        <v>108</v>
      </c>
      <c r="E41">
        <f t="shared" si="0"/>
        <v>392040.00000000006</v>
      </c>
      <c r="F41">
        <v>2.52</v>
      </c>
      <c r="G41">
        <v>30.71</v>
      </c>
      <c r="H41">
        <f t="shared" si="1"/>
        <v>2809.2279600000002</v>
      </c>
      <c r="I41" s="30">
        <f t="shared" si="2"/>
        <v>3.0966437552730781</v>
      </c>
      <c r="K41" s="21" t="s">
        <v>133</v>
      </c>
      <c r="L41" t="s">
        <v>232</v>
      </c>
      <c r="M41">
        <v>2.35</v>
      </c>
      <c r="N41">
        <v>4.04</v>
      </c>
      <c r="O41">
        <v>3.39</v>
      </c>
      <c r="P41">
        <v>3.81</v>
      </c>
      <c r="Q41">
        <v>5.62</v>
      </c>
      <c r="R41">
        <v>3.92</v>
      </c>
      <c r="S41">
        <v>3.94</v>
      </c>
      <c r="T41">
        <v>3.91</v>
      </c>
      <c r="U41">
        <v>4.0999999999999996</v>
      </c>
      <c r="V41">
        <v>4.8899999999999997</v>
      </c>
      <c r="W41">
        <v>1.38</v>
      </c>
      <c r="X41">
        <v>1.87</v>
      </c>
      <c r="Y41">
        <v>1.1599999999999999</v>
      </c>
      <c r="Z41">
        <v>1.89</v>
      </c>
      <c r="AA41">
        <v>2.67</v>
      </c>
      <c r="AB41">
        <v>1.91</v>
      </c>
      <c r="AC41">
        <v>2.4</v>
      </c>
      <c r="AD41">
        <v>1.78</v>
      </c>
      <c r="AE41">
        <v>1.83</v>
      </c>
      <c r="AF41">
        <v>2.69</v>
      </c>
      <c r="AH41" s="21" t="s">
        <v>51</v>
      </c>
      <c r="AI41" t="s">
        <v>234</v>
      </c>
      <c r="AJ41">
        <f>(44+45+49+36+51)/5</f>
        <v>45</v>
      </c>
      <c r="AK41" s="17">
        <f t="shared" si="3"/>
        <v>114.3</v>
      </c>
    </row>
    <row r="42" spans="1:37" x14ac:dyDescent="0.3">
      <c r="A42" s="21" t="s">
        <v>134</v>
      </c>
      <c r="B42" t="s">
        <v>106</v>
      </c>
      <c r="C42" s="1" t="s">
        <v>236</v>
      </c>
      <c r="D42">
        <v>49</v>
      </c>
      <c r="E42">
        <f t="shared" si="0"/>
        <v>177870.00000000003</v>
      </c>
      <c r="F42">
        <v>2.06</v>
      </c>
      <c r="G42">
        <v>29.33</v>
      </c>
      <c r="H42">
        <f t="shared" si="1"/>
        <v>2193.2387400000002</v>
      </c>
      <c r="I42" s="30">
        <f t="shared" si="2"/>
        <v>2.4176318706595796</v>
      </c>
      <c r="K42" s="21" t="s">
        <v>134</v>
      </c>
      <c r="L42" t="s">
        <v>106</v>
      </c>
      <c r="M42">
        <v>6.58</v>
      </c>
      <c r="N42">
        <v>5.51</v>
      </c>
      <c r="O42">
        <v>7.71</v>
      </c>
      <c r="P42">
        <v>5.95</v>
      </c>
      <c r="Q42">
        <v>6.76</v>
      </c>
      <c r="R42">
        <v>6.19</v>
      </c>
      <c r="S42">
        <v>4.97</v>
      </c>
      <c r="T42">
        <v>6.57</v>
      </c>
      <c r="U42">
        <v>7.48</v>
      </c>
      <c r="V42">
        <v>6.49</v>
      </c>
      <c r="W42">
        <v>2.8</v>
      </c>
      <c r="X42">
        <v>2.87</v>
      </c>
      <c r="Y42">
        <v>3.92</v>
      </c>
      <c r="Z42">
        <v>2.9</v>
      </c>
      <c r="AA42">
        <v>3.02</v>
      </c>
      <c r="AB42">
        <v>3.03</v>
      </c>
      <c r="AC42">
        <v>2.1</v>
      </c>
      <c r="AD42">
        <v>3.44</v>
      </c>
      <c r="AE42">
        <v>5.09</v>
      </c>
      <c r="AF42">
        <v>2.98</v>
      </c>
      <c r="AH42" s="21" t="s">
        <v>52</v>
      </c>
      <c r="AI42" t="s">
        <v>235</v>
      </c>
      <c r="AJ42">
        <f>(61+58+74+50+53)/5</f>
        <v>59.2</v>
      </c>
      <c r="AK42" s="17">
        <f t="shared" si="3"/>
        <v>150.36800000000002</v>
      </c>
    </row>
    <row r="43" spans="1:37" x14ac:dyDescent="0.3">
      <c r="A43" s="21" t="s">
        <v>135</v>
      </c>
      <c r="B43" t="s">
        <v>233</v>
      </c>
      <c r="C43" s="1" t="s">
        <v>236</v>
      </c>
      <c r="D43">
        <v>105</v>
      </c>
      <c r="E43">
        <f t="shared" si="0"/>
        <v>381150.00000000006</v>
      </c>
      <c r="F43">
        <v>2.82</v>
      </c>
      <c r="G43">
        <v>28.63</v>
      </c>
      <c r="H43">
        <f t="shared" si="1"/>
        <v>2930.7385800000002</v>
      </c>
      <c r="I43" s="30">
        <f t="shared" si="2"/>
        <v>3.2305862860965151</v>
      </c>
      <c r="K43" s="21" t="s">
        <v>135</v>
      </c>
      <c r="L43" t="s">
        <v>233</v>
      </c>
      <c r="M43">
        <v>4.3600000000000003</v>
      </c>
      <c r="N43">
        <v>4.49</v>
      </c>
      <c r="O43">
        <v>5.8</v>
      </c>
      <c r="P43">
        <v>3.8</v>
      </c>
      <c r="Q43">
        <v>4.62</v>
      </c>
      <c r="R43">
        <v>6.16</v>
      </c>
      <c r="S43">
        <v>5.01</v>
      </c>
      <c r="T43">
        <v>2.88</v>
      </c>
      <c r="U43">
        <v>5.16</v>
      </c>
      <c r="W43">
        <v>2.2000000000000002</v>
      </c>
      <c r="X43">
        <v>2.38</v>
      </c>
      <c r="Y43">
        <v>2.88</v>
      </c>
      <c r="Z43">
        <v>2.85</v>
      </c>
      <c r="AA43">
        <v>2.25</v>
      </c>
      <c r="AB43">
        <v>2.89</v>
      </c>
      <c r="AC43">
        <v>3.27</v>
      </c>
      <c r="AD43">
        <v>3.43</v>
      </c>
      <c r="AE43">
        <v>1.8</v>
      </c>
      <c r="AF43">
        <v>2.77</v>
      </c>
      <c r="AH43" s="21" t="s">
        <v>53</v>
      </c>
      <c r="AI43" t="s">
        <v>106</v>
      </c>
      <c r="AJ43">
        <f>(45+54+47+46+55)/5</f>
        <v>49.4</v>
      </c>
      <c r="AK43" s="17">
        <f t="shared" si="3"/>
        <v>125.476</v>
      </c>
    </row>
    <row r="44" spans="1:37" x14ac:dyDescent="0.3">
      <c r="A44" s="21" t="s">
        <v>136</v>
      </c>
      <c r="B44" t="s">
        <v>229</v>
      </c>
      <c r="C44" s="1" t="s">
        <v>236</v>
      </c>
      <c r="D44">
        <v>99</v>
      </c>
      <c r="E44">
        <f t="shared" si="0"/>
        <v>359370.00000000006</v>
      </c>
      <c r="F44">
        <v>3.76</v>
      </c>
      <c r="G44">
        <v>30</v>
      </c>
      <c r="H44">
        <f t="shared" si="1"/>
        <v>4094.64</v>
      </c>
      <c r="I44" s="30">
        <f t="shared" si="2"/>
        <v>4.5135679861634852</v>
      </c>
      <c r="K44" s="21" t="s">
        <v>136</v>
      </c>
      <c r="L44" t="s">
        <v>229</v>
      </c>
      <c r="M44">
        <v>7.34</v>
      </c>
      <c r="N44">
        <v>8.9700000000000006</v>
      </c>
      <c r="O44">
        <v>9</v>
      </c>
      <c r="P44">
        <v>7.49</v>
      </c>
      <c r="Q44">
        <v>5.29</v>
      </c>
      <c r="R44">
        <v>5.55</v>
      </c>
      <c r="S44">
        <v>4.9000000000000004</v>
      </c>
      <c r="T44">
        <v>5.15</v>
      </c>
      <c r="U44">
        <v>9.2899999999999991</v>
      </c>
      <c r="V44">
        <v>6.9</v>
      </c>
      <c r="W44">
        <v>5.0599999999999996</v>
      </c>
      <c r="X44">
        <v>4.45</v>
      </c>
      <c r="Y44">
        <v>5.21</v>
      </c>
      <c r="Z44">
        <v>3.99</v>
      </c>
      <c r="AA44">
        <v>3.27</v>
      </c>
      <c r="AB44">
        <v>3.01</v>
      </c>
      <c r="AC44">
        <v>2.69</v>
      </c>
      <c r="AD44">
        <v>2.61</v>
      </c>
      <c r="AE44">
        <v>2.65</v>
      </c>
      <c r="AF44">
        <v>5.04</v>
      </c>
      <c r="AH44" s="21" t="s">
        <v>54</v>
      </c>
      <c r="AI44" t="s">
        <v>230</v>
      </c>
      <c r="AJ44">
        <f>(43+59+64+56+62)/5</f>
        <v>56.8</v>
      </c>
      <c r="AK44" s="17">
        <f t="shared" si="3"/>
        <v>144.27199999999999</v>
      </c>
    </row>
    <row r="45" spans="1:37" x14ac:dyDescent="0.3">
      <c r="A45" s="21" t="s">
        <v>137</v>
      </c>
      <c r="B45" t="s">
        <v>235</v>
      </c>
      <c r="C45" s="1" t="s">
        <v>236</v>
      </c>
      <c r="D45">
        <v>174</v>
      </c>
      <c r="E45">
        <f t="shared" si="0"/>
        <v>631620</v>
      </c>
      <c r="F45">
        <v>3.42</v>
      </c>
      <c r="G45">
        <v>30.67</v>
      </c>
      <c r="H45">
        <f t="shared" si="1"/>
        <v>3807.5578200000009</v>
      </c>
      <c r="I45" s="30">
        <f t="shared" si="2"/>
        <v>4.1971140519846521</v>
      </c>
      <c r="K45" s="21" t="s">
        <v>137</v>
      </c>
      <c r="L45" t="s">
        <v>235</v>
      </c>
      <c r="M45">
        <v>4.2300000000000004</v>
      </c>
      <c r="N45">
        <v>4.04</v>
      </c>
      <c r="O45">
        <v>3.94</v>
      </c>
      <c r="P45">
        <v>5.26</v>
      </c>
      <c r="Q45">
        <v>4.79</v>
      </c>
      <c r="R45">
        <v>3.1</v>
      </c>
      <c r="S45">
        <v>3.13</v>
      </c>
      <c r="T45">
        <v>3.46</v>
      </c>
      <c r="U45">
        <v>4.0599999999999996</v>
      </c>
      <c r="V45">
        <v>2.09</v>
      </c>
      <c r="W45">
        <v>2.2999999999999998</v>
      </c>
      <c r="X45">
        <v>2.5</v>
      </c>
      <c r="Y45">
        <v>2.0699999999999998</v>
      </c>
      <c r="Z45">
        <v>2.83</v>
      </c>
      <c r="AA45">
        <v>2.82</v>
      </c>
      <c r="AB45">
        <v>1.91</v>
      </c>
      <c r="AC45">
        <v>1.54</v>
      </c>
      <c r="AD45">
        <v>2.27</v>
      </c>
      <c r="AE45">
        <v>2.56</v>
      </c>
      <c r="AF45">
        <v>1.92</v>
      </c>
      <c r="AH45" s="21" t="s">
        <v>55</v>
      </c>
      <c r="AI45" t="s">
        <v>229</v>
      </c>
      <c r="AJ45">
        <f>(38+47+50+64+53)/5</f>
        <v>50.4</v>
      </c>
      <c r="AK45" s="17">
        <f t="shared" si="3"/>
        <v>128.01599999999999</v>
      </c>
    </row>
    <row r="46" spans="1:37" x14ac:dyDescent="0.3">
      <c r="A46" s="21" t="s">
        <v>138</v>
      </c>
      <c r="B46" t="s">
        <v>6</v>
      </c>
      <c r="C46" s="1" t="s">
        <v>236</v>
      </c>
      <c r="D46">
        <v>127</v>
      </c>
      <c r="E46">
        <f t="shared" si="0"/>
        <v>461010.00000000006</v>
      </c>
      <c r="F46">
        <v>3.22</v>
      </c>
      <c r="G46">
        <v>25.49</v>
      </c>
      <c r="H46">
        <f t="shared" si="1"/>
        <v>2979.4241400000001</v>
      </c>
      <c r="I46" s="30">
        <f t="shared" si="2"/>
        <v>3.2842529295632032</v>
      </c>
      <c r="K46" s="21" t="s">
        <v>138</v>
      </c>
      <c r="L46" t="s">
        <v>6</v>
      </c>
      <c r="M46">
        <v>6.2</v>
      </c>
      <c r="N46">
        <v>6.06</v>
      </c>
      <c r="O46">
        <v>7.5</v>
      </c>
      <c r="P46">
        <v>3.33</v>
      </c>
      <c r="Q46">
        <v>6.44</v>
      </c>
      <c r="R46">
        <v>6.55</v>
      </c>
      <c r="S46">
        <v>3.66</v>
      </c>
      <c r="T46">
        <v>5.55</v>
      </c>
      <c r="U46">
        <v>5.75</v>
      </c>
      <c r="V46">
        <v>5.53</v>
      </c>
      <c r="W46">
        <v>3.42</v>
      </c>
      <c r="X46">
        <v>3.9</v>
      </c>
      <c r="Y46">
        <v>3.15</v>
      </c>
      <c r="Z46">
        <v>1.77</v>
      </c>
      <c r="AA46">
        <v>2.82</v>
      </c>
      <c r="AB46">
        <v>3.04</v>
      </c>
      <c r="AC46">
        <v>1.77</v>
      </c>
      <c r="AD46">
        <v>2.66</v>
      </c>
      <c r="AE46">
        <v>2.58</v>
      </c>
      <c r="AF46">
        <v>3.1</v>
      </c>
      <c r="AH46" s="21" t="s">
        <v>56</v>
      </c>
      <c r="AI46" t="s">
        <v>7</v>
      </c>
      <c r="AJ46">
        <f>(63+69+70+63+64)/5</f>
        <v>65.8</v>
      </c>
      <c r="AK46" s="17">
        <f t="shared" si="3"/>
        <v>167.13200000000001</v>
      </c>
    </row>
    <row r="47" spans="1:37" x14ac:dyDescent="0.3">
      <c r="A47" s="21" t="s">
        <v>139</v>
      </c>
      <c r="B47" t="s">
        <v>228</v>
      </c>
      <c r="C47" s="1" t="s">
        <v>236</v>
      </c>
      <c r="D47">
        <v>102</v>
      </c>
      <c r="E47">
        <f t="shared" si="0"/>
        <v>370260.00000000006</v>
      </c>
      <c r="F47">
        <v>3.34</v>
      </c>
      <c r="G47">
        <v>26.09</v>
      </c>
      <c r="H47">
        <f t="shared" si="1"/>
        <v>3163.2037800000003</v>
      </c>
      <c r="I47" s="30">
        <f t="shared" si="2"/>
        <v>3.4868353054528178</v>
      </c>
      <c r="K47" s="21" t="s">
        <v>139</v>
      </c>
      <c r="L47" t="s">
        <v>228</v>
      </c>
      <c r="M47">
        <v>4.3</v>
      </c>
      <c r="N47">
        <v>5.24</v>
      </c>
      <c r="O47">
        <v>7.71</v>
      </c>
      <c r="P47">
        <v>6.68</v>
      </c>
      <c r="Q47">
        <v>6.51</v>
      </c>
      <c r="R47">
        <v>6.82</v>
      </c>
      <c r="S47">
        <v>5.4</v>
      </c>
      <c r="T47">
        <v>3.42</v>
      </c>
      <c r="U47">
        <v>3.39</v>
      </c>
      <c r="V47">
        <v>6.41</v>
      </c>
      <c r="W47">
        <v>3.3</v>
      </c>
      <c r="X47">
        <v>3.02</v>
      </c>
      <c r="Y47">
        <v>4.1500000000000004</v>
      </c>
      <c r="Z47">
        <v>3.72</v>
      </c>
      <c r="AA47">
        <v>3.78</v>
      </c>
      <c r="AB47">
        <v>3.65</v>
      </c>
      <c r="AC47">
        <v>3.62</v>
      </c>
      <c r="AD47">
        <v>1.81</v>
      </c>
      <c r="AE47">
        <v>2.1800000000000002</v>
      </c>
      <c r="AF47">
        <v>3.58</v>
      </c>
      <c r="AH47" s="21" t="s">
        <v>57</v>
      </c>
      <c r="AI47" t="s">
        <v>228</v>
      </c>
      <c r="AJ47">
        <f>(57+79+60+71+66)/5</f>
        <v>66.599999999999994</v>
      </c>
      <c r="AK47" s="17">
        <f t="shared" si="3"/>
        <v>169.16399999999999</v>
      </c>
    </row>
    <row r="48" spans="1:37" x14ac:dyDescent="0.3">
      <c r="A48" s="21" t="s">
        <v>140</v>
      </c>
      <c r="B48" t="s">
        <v>231</v>
      </c>
      <c r="C48" s="1" t="s">
        <v>236</v>
      </c>
      <c r="D48">
        <v>76</v>
      </c>
      <c r="E48">
        <f t="shared" si="0"/>
        <v>275880</v>
      </c>
      <c r="F48">
        <v>2.78</v>
      </c>
      <c r="G48">
        <v>26.73</v>
      </c>
      <c r="H48">
        <f t="shared" si="1"/>
        <v>2697.4312199999999</v>
      </c>
      <c r="I48" s="30">
        <f t="shared" si="2"/>
        <v>2.9734089442466036</v>
      </c>
      <c r="K48" s="21" t="s">
        <v>140</v>
      </c>
      <c r="L48" t="s">
        <v>231</v>
      </c>
      <c r="M48">
        <v>5.97</v>
      </c>
      <c r="N48">
        <v>5.53</v>
      </c>
      <c r="O48">
        <v>3.7</v>
      </c>
      <c r="P48">
        <v>5.92</v>
      </c>
      <c r="Q48">
        <v>3.42</v>
      </c>
      <c r="R48">
        <v>3.54</v>
      </c>
      <c r="S48">
        <v>3.58</v>
      </c>
      <c r="T48">
        <v>4.3099999999999996</v>
      </c>
      <c r="U48">
        <v>8.39</v>
      </c>
      <c r="V48">
        <v>4.07</v>
      </c>
      <c r="W48">
        <v>3.81</v>
      </c>
      <c r="X48">
        <v>2.83</v>
      </c>
      <c r="Y48">
        <v>1.89</v>
      </c>
      <c r="Z48">
        <v>3.71</v>
      </c>
      <c r="AA48">
        <v>2.42</v>
      </c>
      <c r="AB48">
        <v>2.4</v>
      </c>
      <c r="AC48">
        <v>2.48</v>
      </c>
      <c r="AD48">
        <v>2.57</v>
      </c>
      <c r="AE48">
        <v>2.16</v>
      </c>
      <c r="AF48">
        <v>3.3</v>
      </c>
      <c r="AH48" s="21" t="s">
        <v>58</v>
      </c>
      <c r="AI48" t="s">
        <v>145</v>
      </c>
      <c r="AJ48">
        <f>(62+67+39+56+53)/5</f>
        <v>55.4</v>
      </c>
      <c r="AK48" s="17">
        <f t="shared" si="3"/>
        <v>140.71600000000001</v>
      </c>
    </row>
    <row r="49" spans="1:37" x14ac:dyDescent="0.3">
      <c r="A49" s="21" t="s">
        <v>141</v>
      </c>
      <c r="B49" t="s">
        <v>7</v>
      </c>
      <c r="C49" s="1" t="s">
        <v>236</v>
      </c>
      <c r="D49">
        <v>99</v>
      </c>
      <c r="E49">
        <f t="shared" si="0"/>
        <v>359370.00000000006</v>
      </c>
      <c r="F49">
        <v>3.38</v>
      </c>
      <c r="G49">
        <v>28.18</v>
      </c>
      <c r="H49">
        <f t="shared" si="1"/>
        <v>3457.5169200000005</v>
      </c>
      <c r="I49" s="30">
        <f t="shared" si="2"/>
        <v>3.8112600086284947</v>
      </c>
      <c r="K49" s="21" t="s">
        <v>141</v>
      </c>
      <c r="L49" t="s">
        <v>7</v>
      </c>
      <c r="M49">
        <v>7.78</v>
      </c>
      <c r="N49">
        <v>7.84</v>
      </c>
      <c r="O49">
        <v>6.16</v>
      </c>
      <c r="P49">
        <v>9.73</v>
      </c>
      <c r="Q49">
        <v>7.6</v>
      </c>
      <c r="R49">
        <v>6.03</v>
      </c>
      <c r="S49">
        <v>4.12</v>
      </c>
      <c r="T49">
        <v>6.17</v>
      </c>
      <c r="U49">
        <v>6.05</v>
      </c>
      <c r="V49">
        <v>0.21</v>
      </c>
      <c r="W49">
        <v>2.8</v>
      </c>
      <c r="X49">
        <v>4.4800000000000004</v>
      </c>
      <c r="Y49">
        <v>4.3</v>
      </c>
      <c r="Z49">
        <v>3.56</v>
      </c>
      <c r="AA49">
        <v>5.37</v>
      </c>
      <c r="AB49">
        <v>3.38</v>
      </c>
      <c r="AC49">
        <v>3.33</v>
      </c>
      <c r="AD49">
        <v>3.51</v>
      </c>
      <c r="AE49">
        <v>1.88</v>
      </c>
      <c r="AF49">
        <v>2.21</v>
      </c>
      <c r="AH49" s="21" t="s">
        <v>59</v>
      </c>
      <c r="AI49" t="s">
        <v>6</v>
      </c>
      <c r="AJ49">
        <f>(68+69+65+65+68)/5</f>
        <v>67</v>
      </c>
      <c r="AK49" s="17">
        <f t="shared" si="3"/>
        <v>170.18</v>
      </c>
    </row>
    <row r="50" spans="1:37" x14ac:dyDescent="0.3">
      <c r="A50" s="21" t="s">
        <v>142</v>
      </c>
      <c r="B50" t="s">
        <v>230</v>
      </c>
      <c r="C50" s="1" t="s">
        <v>236</v>
      </c>
      <c r="D50">
        <v>97</v>
      </c>
      <c r="E50">
        <f t="shared" si="0"/>
        <v>352110.00000000006</v>
      </c>
      <c r="F50">
        <v>2.42</v>
      </c>
      <c r="G50">
        <v>29.79</v>
      </c>
      <c r="H50">
        <f t="shared" si="1"/>
        <v>2616.9323399999998</v>
      </c>
      <c r="I50" s="30">
        <f t="shared" si="2"/>
        <v>2.8846741183058575</v>
      </c>
      <c r="K50" s="21" t="s">
        <v>142</v>
      </c>
      <c r="L50" t="s">
        <v>230</v>
      </c>
      <c r="M50">
        <v>3.84</v>
      </c>
      <c r="N50">
        <v>3.46</v>
      </c>
      <c r="O50">
        <v>5.47</v>
      </c>
      <c r="P50">
        <v>5.04</v>
      </c>
      <c r="Q50">
        <v>2.8</v>
      </c>
      <c r="R50">
        <v>5.58</v>
      </c>
      <c r="S50">
        <v>4.87</v>
      </c>
      <c r="T50">
        <v>1.82</v>
      </c>
      <c r="U50">
        <v>3.94</v>
      </c>
      <c r="V50">
        <v>5.97</v>
      </c>
      <c r="W50">
        <v>2.4</v>
      </c>
      <c r="X50">
        <v>2.2999999999999998</v>
      </c>
      <c r="Y50">
        <v>2.27</v>
      </c>
      <c r="Z50">
        <v>3.39</v>
      </c>
      <c r="AA50">
        <v>2.2200000000000002</v>
      </c>
      <c r="AB50">
        <v>3.62</v>
      </c>
      <c r="AC50">
        <v>2.94</v>
      </c>
      <c r="AD50">
        <v>1.06</v>
      </c>
      <c r="AE50">
        <v>2.27</v>
      </c>
      <c r="AF50">
        <v>3.84</v>
      </c>
      <c r="AH50" s="21" t="s">
        <v>60</v>
      </c>
      <c r="AI50" t="s">
        <v>233</v>
      </c>
      <c r="AJ50">
        <f>(52+55+56+58+56)/5</f>
        <v>55.4</v>
      </c>
      <c r="AK50" s="17">
        <f t="shared" si="3"/>
        <v>140.71600000000001</v>
      </c>
    </row>
    <row r="51" spans="1:37" x14ac:dyDescent="0.3">
      <c r="A51" s="22" t="s">
        <v>72</v>
      </c>
      <c r="B51" t="s">
        <v>237</v>
      </c>
      <c r="C51" s="1" t="s">
        <v>236</v>
      </c>
      <c r="D51">
        <v>46</v>
      </c>
      <c r="E51">
        <f t="shared" si="0"/>
        <v>166980.00000000003</v>
      </c>
      <c r="F51">
        <v>2.08</v>
      </c>
      <c r="G51">
        <v>30.89</v>
      </c>
      <c r="H51">
        <f t="shared" si="1"/>
        <v>2332.3185600000006</v>
      </c>
      <c r="I51" s="30">
        <f t="shared" si="2"/>
        <v>2.5709411293669095</v>
      </c>
      <c r="K51" s="22" t="s">
        <v>72</v>
      </c>
      <c r="L51" t="s">
        <v>237</v>
      </c>
      <c r="M51">
        <v>5.93</v>
      </c>
      <c r="N51">
        <v>4.9000000000000004</v>
      </c>
      <c r="O51">
        <v>6.93</v>
      </c>
      <c r="P51">
        <v>6.75</v>
      </c>
      <c r="Q51">
        <v>5.69</v>
      </c>
      <c r="R51">
        <v>6.4</v>
      </c>
      <c r="S51">
        <v>6.09</v>
      </c>
      <c r="T51">
        <v>4.2</v>
      </c>
      <c r="U51">
        <v>6.4</v>
      </c>
      <c r="V51">
        <v>7.47</v>
      </c>
      <c r="AH51" s="22" t="s">
        <v>72</v>
      </c>
      <c r="AI51" t="s">
        <v>237</v>
      </c>
      <c r="AJ51">
        <f>(47+81+60+67+68)/5</f>
        <v>64.599999999999994</v>
      </c>
      <c r="AK51" s="17">
        <f t="shared" si="3"/>
        <v>164.08399999999997</v>
      </c>
    </row>
    <row r="52" spans="1:37" x14ac:dyDescent="0.3">
      <c r="A52" s="22" t="s">
        <v>73</v>
      </c>
      <c r="B52" t="s">
        <v>238</v>
      </c>
      <c r="C52" s="1" t="s">
        <v>236</v>
      </c>
      <c r="D52">
        <v>59</v>
      </c>
      <c r="E52">
        <f t="shared" si="0"/>
        <v>214170.00000000003</v>
      </c>
      <c r="F52">
        <v>1.92</v>
      </c>
      <c r="G52">
        <v>31.16</v>
      </c>
      <c r="H52">
        <f t="shared" si="1"/>
        <v>2171.7273599999999</v>
      </c>
      <c r="I52" s="30">
        <f t="shared" si="2"/>
        <v>2.3939196331719863</v>
      </c>
      <c r="K52" s="22" t="s">
        <v>73</v>
      </c>
      <c r="L52" t="s">
        <v>238</v>
      </c>
      <c r="M52">
        <v>4.67</v>
      </c>
      <c r="N52">
        <v>5.07</v>
      </c>
      <c r="O52">
        <v>5.54</v>
      </c>
      <c r="P52">
        <v>7.29</v>
      </c>
      <c r="Q52">
        <v>4.5599999999999996</v>
      </c>
      <c r="R52">
        <v>3.94</v>
      </c>
      <c r="S52">
        <v>3.7</v>
      </c>
      <c r="T52">
        <v>4.1500000000000004</v>
      </c>
      <c r="U52">
        <v>6.83</v>
      </c>
      <c r="AH52" s="22" t="s">
        <v>73</v>
      </c>
      <c r="AI52" t="s">
        <v>238</v>
      </c>
      <c r="AJ52">
        <f>(59+65+67+81+72)/5</f>
        <v>68.8</v>
      </c>
      <c r="AK52" s="17">
        <f t="shared" si="3"/>
        <v>174.75199999999998</v>
      </c>
    </row>
    <row r="53" spans="1:37" x14ac:dyDescent="0.3">
      <c r="A53" s="22" t="s">
        <v>74</v>
      </c>
      <c r="B53" t="s">
        <v>239</v>
      </c>
      <c r="C53" s="1" t="s">
        <v>236</v>
      </c>
      <c r="D53">
        <v>85</v>
      </c>
      <c r="E53">
        <f t="shared" si="0"/>
        <v>308550</v>
      </c>
      <c r="F53">
        <v>2.46</v>
      </c>
      <c r="G53">
        <v>30.34</v>
      </c>
      <c r="H53">
        <f t="shared" si="1"/>
        <v>2709.3013200000005</v>
      </c>
      <c r="I53" s="30">
        <f t="shared" si="2"/>
        <v>2.9864934897384079</v>
      </c>
      <c r="K53" s="22" t="s">
        <v>74</v>
      </c>
      <c r="L53" t="s">
        <v>239</v>
      </c>
      <c r="M53">
        <v>6.42</v>
      </c>
      <c r="N53">
        <v>7.08</v>
      </c>
      <c r="O53">
        <v>6.4</v>
      </c>
      <c r="P53">
        <v>4.99</v>
      </c>
      <c r="Q53">
        <v>6.08</v>
      </c>
      <c r="R53">
        <v>4.84</v>
      </c>
      <c r="S53">
        <v>3</v>
      </c>
      <c r="T53">
        <v>5.57</v>
      </c>
      <c r="U53">
        <v>8.18</v>
      </c>
      <c r="V53">
        <v>4.12</v>
      </c>
      <c r="AH53" s="22" t="s">
        <v>74</v>
      </c>
      <c r="AI53" t="s">
        <v>239</v>
      </c>
      <c r="AJ53">
        <f>(52+57+67+78+81)/5</f>
        <v>67</v>
      </c>
      <c r="AK53" s="17">
        <f t="shared" si="3"/>
        <v>170.18</v>
      </c>
    </row>
    <row r="54" spans="1:37" x14ac:dyDescent="0.3">
      <c r="A54" s="22" t="s">
        <v>75</v>
      </c>
      <c r="B54" t="s">
        <v>240</v>
      </c>
      <c r="C54" s="1" t="s">
        <v>236</v>
      </c>
      <c r="D54">
        <v>166</v>
      </c>
      <c r="E54">
        <f t="shared" si="0"/>
        <v>602580</v>
      </c>
      <c r="F54">
        <v>3.84</v>
      </c>
      <c r="G54">
        <v>27.94</v>
      </c>
      <c r="H54">
        <f t="shared" si="1"/>
        <v>3894.6124800000007</v>
      </c>
      <c r="I54" s="30">
        <f t="shared" si="2"/>
        <v>4.2930753883713297</v>
      </c>
      <c r="K54" s="22" t="s">
        <v>75</v>
      </c>
      <c r="L54" t="s">
        <v>240</v>
      </c>
      <c r="M54">
        <v>2.84</v>
      </c>
      <c r="N54">
        <v>8.56</v>
      </c>
      <c r="O54">
        <v>8.51</v>
      </c>
      <c r="P54">
        <v>7.1</v>
      </c>
      <c r="Q54">
        <v>6.86</v>
      </c>
      <c r="R54">
        <v>3.29</v>
      </c>
      <c r="S54">
        <v>6.45</v>
      </c>
      <c r="T54">
        <v>9.77</v>
      </c>
      <c r="U54">
        <v>4.92</v>
      </c>
      <c r="V54">
        <v>6.35</v>
      </c>
      <c r="AH54" s="22" t="s">
        <v>75</v>
      </c>
      <c r="AI54" t="s">
        <v>240</v>
      </c>
      <c r="AJ54">
        <f>(66+70+68+65+71)/5</f>
        <v>68</v>
      </c>
      <c r="AK54" s="17">
        <f t="shared" si="3"/>
        <v>172.72</v>
      </c>
    </row>
    <row r="55" spans="1:37" x14ac:dyDescent="0.3">
      <c r="A55" s="22" t="s">
        <v>76</v>
      </c>
      <c r="B55" t="s">
        <v>241</v>
      </c>
      <c r="C55" s="1" t="s">
        <v>236</v>
      </c>
      <c r="D55">
        <v>128</v>
      </c>
      <c r="E55">
        <f t="shared" si="0"/>
        <v>464640.00000000006</v>
      </c>
      <c r="F55">
        <v>3.22</v>
      </c>
      <c r="G55">
        <v>29.98</v>
      </c>
      <c r="H55">
        <f t="shared" si="1"/>
        <v>3504.2422800000008</v>
      </c>
      <c r="I55" s="30">
        <f t="shared" si="2"/>
        <v>3.8627659014635096</v>
      </c>
      <c r="K55" s="22" t="s">
        <v>76</v>
      </c>
      <c r="L55" t="s">
        <v>241</v>
      </c>
      <c r="M55">
        <v>5.95</v>
      </c>
      <c r="N55">
        <v>4.4000000000000004</v>
      </c>
      <c r="O55">
        <v>3.44</v>
      </c>
      <c r="P55">
        <v>6.15</v>
      </c>
      <c r="Q55">
        <v>4.13</v>
      </c>
      <c r="R55">
        <v>4.47</v>
      </c>
      <c r="S55">
        <v>6.52</v>
      </c>
      <c r="T55">
        <v>6.51</v>
      </c>
      <c r="U55">
        <v>5.92</v>
      </c>
      <c r="V55">
        <v>6.07</v>
      </c>
      <c r="AH55" s="22" t="s">
        <v>76</v>
      </c>
      <c r="AI55" t="s">
        <v>241</v>
      </c>
      <c r="AJ55">
        <f>(71+53+46+48+53)/5</f>
        <v>54.2</v>
      </c>
      <c r="AK55" s="17">
        <f t="shared" si="3"/>
        <v>137.66800000000001</v>
      </c>
    </row>
    <row r="56" spans="1:37" x14ac:dyDescent="0.3">
      <c r="A56" s="22" t="s">
        <v>77</v>
      </c>
      <c r="B56" t="s">
        <v>242</v>
      </c>
      <c r="C56" s="1" t="s">
        <v>236</v>
      </c>
      <c r="D56">
        <v>84</v>
      </c>
      <c r="E56">
        <f t="shared" si="0"/>
        <v>304920</v>
      </c>
      <c r="F56">
        <v>3.28</v>
      </c>
      <c r="G56">
        <v>27.85</v>
      </c>
      <c r="H56">
        <f t="shared" si="1"/>
        <v>3315.9324000000006</v>
      </c>
      <c r="I56" s="30">
        <f t="shared" si="2"/>
        <v>3.6551897907806929</v>
      </c>
      <c r="K56" s="22" t="s">
        <v>77</v>
      </c>
      <c r="L56" t="s">
        <v>242</v>
      </c>
      <c r="M56">
        <v>5.08</v>
      </c>
      <c r="N56">
        <v>6.1</v>
      </c>
      <c r="O56">
        <v>6.13</v>
      </c>
      <c r="P56">
        <v>6.1</v>
      </c>
      <c r="Q56">
        <v>4.7300000000000004</v>
      </c>
      <c r="R56">
        <v>8.4</v>
      </c>
      <c r="S56">
        <v>4.2</v>
      </c>
      <c r="T56">
        <v>7.54</v>
      </c>
      <c r="U56">
        <v>4.21</v>
      </c>
      <c r="V56">
        <v>7.13</v>
      </c>
      <c r="AH56" s="22" t="s">
        <v>77</v>
      </c>
      <c r="AI56" t="s">
        <v>242</v>
      </c>
      <c r="AJ56">
        <f>(72+76+63+52+59)/5</f>
        <v>64.400000000000006</v>
      </c>
      <c r="AK56" s="17">
        <f t="shared" si="3"/>
        <v>163.57600000000002</v>
      </c>
    </row>
    <row r="57" spans="1:37" x14ac:dyDescent="0.3">
      <c r="A57" s="22" t="s">
        <v>78</v>
      </c>
      <c r="B57" t="s">
        <v>243</v>
      </c>
      <c r="C57" s="1" t="s">
        <v>236</v>
      </c>
      <c r="D57">
        <v>194</v>
      </c>
      <c r="E57">
        <f t="shared" si="0"/>
        <v>704220.00000000012</v>
      </c>
      <c r="F57">
        <v>3.94</v>
      </c>
      <c r="G57">
        <v>30.18</v>
      </c>
      <c r="H57">
        <f t="shared" si="1"/>
        <v>4316.4039600000006</v>
      </c>
      <c r="I57" s="30">
        <f t="shared" si="2"/>
        <v>4.7580209076268725</v>
      </c>
      <c r="K57" s="22" t="s">
        <v>78</v>
      </c>
      <c r="L57" t="s">
        <v>243</v>
      </c>
      <c r="M57">
        <v>7.34</v>
      </c>
      <c r="N57">
        <v>7.52</v>
      </c>
      <c r="O57">
        <v>9.76</v>
      </c>
      <c r="P57">
        <v>3.11</v>
      </c>
      <c r="Q57">
        <v>4.63</v>
      </c>
      <c r="R57">
        <v>3.72</v>
      </c>
      <c r="S57">
        <v>5.09</v>
      </c>
      <c r="T57">
        <v>2.4700000000000002</v>
      </c>
      <c r="U57">
        <v>5.16</v>
      </c>
      <c r="V57">
        <v>6.45</v>
      </c>
      <c r="AH57" s="22" t="s">
        <v>78</v>
      </c>
      <c r="AI57" t="s">
        <v>243</v>
      </c>
      <c r="AJ57">
        <f>(71+43+39+53+54)/5</f>
        <v>52</v>
      </c>
      <c r="AK57" s="17">
        <f t="shared" si="3"/>
        <v>132.08000000000001</v>
      </c>
    </row>
    <row r="58" spans="1:37" x14ac:dyDescent="0.3">
      <c r="A58" s="22" t="s">
        <v>79</v>
      </c>
      <c r="B58" t="s">
        <v>244</v>
      </c>
      <c r="C58" s="1" t="s">
        <v>236</v>
      </c>
      <c r="D58">
        <v>108</v>
      </c>
      <c r="E58">
        <f t="shared" si="0"/>
        <v>392040.00000000006</v>
      </c>
      <c r="F58">
        <v>3.14</v>
      </c>
      <c r="G58">
        <v>20.69</v>
      </c>
      <c r="H58">
        <f t="shared" si="1"/>
        <v>2358.2875800000006</v>
      </c>
      <c r="I58" s="30">
        <f t="shared" si="2"/>
        <v>2.5995670738465315</v>
      </c>
      <c r="K58" s="22" t="s">
        <v>79</v>
      </c>
      <c r="L58" t="s">
        <v>244</v>
      </c>
      <c r="M58">
        <v>7.7</v>
      </c>
      <c r="N58">
        <v>5.74</v>
      </c>
      <c r="O58">
        <v>4.37</v>
      </c>
      <c r="P58">
        <v>5.29</v>
      </c>
      <c r="Q58">
        <v>3.77</v>
      </c>
      <c r="R58">
        <v>3.49</v>
      </c>
      <c r="S58">
        <v>3.66</v>
      </c>
      <c r="T58">
        <v>3.26</v>
      </c>
      <c r="U58">
        <v>4.78</v>
      </c>
      <c r="V58">
        <v>3.42</v>
      </c>
      <c r="AH58" s="22" t="s">
        <v>79</v>
      </c>
      <c r="AI58" t="s">
        <v>244</v>
      </c>
      <c r="AJ58">
        <f>(30+59+76+66+60)/5</f>
        <v>58.2</v>
      </c>
      <c r="AK58" s="17">
        <f t="shared" si="3"/>
        <v>147.828</v>
      </c>
    </row>
    <row r="59" spans="1:37" x14ac:dyDescent="0.3">
      <c r="A59" s="23" t="s">
        <v>80</v>
      </c>
      <c r="B59" t="s">
        <v>244</v>
      </c>
      <c r="C59" s="1" t="s">
        <v>236</v>
      </c>
      <c r="D59">
        <v>156</v>
      </c>
      <c r="E59">
        <f t="shared" si="0"/>
        <v>566280</v>
      </c>
      <c r="F59">
        <v>3.48</v>
      </c>
      <c r="G59">
        <v>30.54</v>
      </c>
      <c r="H59">
        <f t="shared" si="1"/>
        <v>3857.93496</v>
      </c>
      <c r="I59" s="30">
        <f t="shared" si="2"/>
        <v>4.2526453432186733</v>
      </c>
      <c r="K59" s="23" t="s">
        <v>80</v>
      </c>
      <c r="L59" t="s">
        <v>244</v>
      </c>
      <c r="M59">
        <v>5.24</v>
      </c>
      <c r="N59">
        <v>5.67</v>
      </c>
      <c r="O59">
        <v>4.53</v>
      </c>
      <c r="P59">
        <v>2.82</v>
      </c>
      <c r="Q59">
        <v>5.1100000000000003</v>
      </c>
      <c r="R59">
        <v>5.78</v>
      </c>
      <c r="S59">
        <v>3.89</v>
      </c>
      <c r="T59">
        <v>5.01</v>
      </c>
      <c r="U59">
        <v>5.09</v>
      </c>
      <c r="V59">
        <v>3.29</v>
      </c>
      <c r="AH59" s="26" t="s">
        <v>80</v>
      </c>
      <c r="AI59" t="s">
        <v>244</v>
      </c>
      <c r="AJ59">
        <f>(53+63+58+67+57)/5</f>
        <v>59.6</v>
      </c>
      <c r="AK59" s="17">
        <f t="shared" si="3"/>
        <v>151.38400000000001</v>
      </c>
    </row>
    <row r="60" spans="1:37" x14ac:dyDescent="0.3">
      <c r="A60" s="23" t="s">
        <v>81</v>
      </c>
      <c r="B60" t="s">
        <v>240</v>
      </c>
      <c r="C60" s="1" t="s">
        <v>236</v>
      </c>
      <c r="D60">
        <v>32</v>
      </c>
      <c r="E60">
        <f t="shared" si="0"/>
        <v>116160.00000000001</v>
      </c>
      <c r="F60">
        <v>1.78</v>
      </c>
      <c r="G60">
        <v>28.33</v>
      </c>
      <c r="H60">
        <f t="shared" si="1"/>
        <v>1830.5146200000001</v>
      </c>
      <c r="I60" s="30">
        <f t="shared" si="2"/>
        <v>2.0177969704384804</v>
      </c>
      <c r="K60" s="23" t="s">
        <v>81</v>
      </c>
      <c r="L60" t="s">
        <v>240</v>
      </c>
      <c r="M60">
        <v>7.16</v>
      </c>
      <c r="N60">
        <v>7.09</v>
      </c>
      <c r="O60">
        <v>7.01</v>
      </c>
      <c r="P60">
        <v>5.62</v>
      </c>
      <c r="Q60">
        <v>10.08</v>
      </c>
      <c r="R60">
        <v>6.95</v>
      </c>
      <c r="S60">
        <v>5.59</v>
      </c>
      <c r="T60">
        <v>6.26</v>
      </c>
      <c r="U60">
        <v>2.42</v>
      </c>
      <c r="V60">
        <v>5.33</v>
      </c>
      <c r="AH60" s="26" t="s">
        <v>81</v>
      </c>
      <c r="AI60" t="s">
        <v>240</v>
      </c>
      <c r="AJ60">
        <f>(61+60+64+55+66)/5</f>
        <v>61.2</v>
      </c>
      <c r="AK60" s="17">
        <f t="shared" si="3"/>
        <v>155.44800000000001</v>
      </c>
    </row>
    <row r="61" spans="1:37" x14ac:dyDescent="0.3">
      <c r="A61" s="23" t="s">
        <v>82</v>
      </c>
      <c r="B61" t="s">
        <v>237</v>
      </c>
      <c r="C61" s="1" t="s">
        <v>236</v>
      </c>
      <c r="D61">
        <v>61</v>
      </c>
      <c r="E61">
        <f t="shared" si="0"/>
        <v>221430.00000000003</v>
      </c>
      <c r="F61">
        <v>2.88</v>
      </c>
      <c r="G61">
        <v>29.09</v>
      </c>
      <c r="H61">
        <f t="shared" si="1"/>
        <v>3041.18496</v>
      </c>
      <c r="I61" s="30">
        <f t="shared" si="2"/>
        <v>3.3523325800211694</v>
      </c>
      <c r="K61" s="23" t="s">
        <v>82</v>
      </c>
      <c r="L61" t="s">
        <v>237</v>
      </c>
      <c r="M61">
        <v>5.52</v>
      </c>
      <c r="N61">
        <v>6.19</v>
      </c>
      <c r="O61">
        <v>7.91</v>
      </c>
      <c r="P61">
        <v>8.5</v>
      </c>
      <c r="Q61">
        <v>7.96</v>
      </c>
      <c r="R61">
        <v>6.03</v>
      </c>
      <c r="S61">
        <v>9.67</v>
      </c>
      <c r="T61">
        <v>5.66</v>
      </c>
      <c r="U61">
        <v>4.2699999999999996</v>
      </c>
      <c r="V61">
        <v>6.44</v>
      </c>
      <c r="AH61" s="26" t="s">
        <v>82</v>
      </c>
      <c r="AI61" t="s">
        <v>237</v>
      </c>
      <c r="AJ61">
        <f>(70+82+72+55+66)/5</f>
        <v>69</v>
      </c>
      <c r="AK61" s="17">
        <f t="shared" si="3"/>
        <v>175.26</v>
      </c>
    </row>
    <row r="62" spans="1:37" x14ac:dyDescent="0.3">
      <c r="A62" s="23" t="s">
        <v>83</v>
      </c>
      <c r="B62" t="s">
        <v>242</v>
      </c>
      <c r="C62" s="1" t="s">
        <v>236</v>
      </c>
      <c r="D62">
        <v>83</v>
      </c>
      <c r="E62">
        <f t="shared" si="0"/>
        <v>301290</v>
      </c>
      <c r="F62">
        <v>1.82</v>
      </c>
      <c r="G62">
        <v>27.63</v>
      </c>
      <c r="H62">
        <f t="shared" si="1"/>
        <v>1825.4035800000004</v>
      </c>
      <c r="I62" s="30">
        <f t="shared" si="2"/>
        <v>2.0121630132358934</v>
      </c>
      <c r="K62" s="23" t="s">
        <v>83</v>
      </c>
      <c r="L62" t="s">
        <v>242</v>
      </c>
      <c r="M62">
        <v>4.38</v>
      </c>
      <c r="N62">
        <v>4.5</v>
      </c>
      <c r="O62">
        <v>5.13</v>
      </c>
      <c r="P62">
        <v>3.44</v>
      </c>
      <c r="Q62">
        <v>3.15</v>
      </c>
      <c r="R62">
        <v>5.63</v>
      </c>
      <c r="S62">
        <v>5.37</v>
      </c>
      <c r="T62">
        <v>2.7</v>
      </c>
      <c r="U62">
        <v>4.59</v>
      </c>
      <c r="V62">
        <v>5.08</v>
      </c>
      <c r="AH62" s="26" t="s">
        <v>83</v>
      </c>
      <c r="AI62" t="s">
        <v>242</v>
      </c>
      <c r="AJ62">
        <f>(40+41+46+51+56)/5</f>
        <v>46.8</v>
      </c>
      <c r="AK62" s="17">
        <f t="shared" si="3"/>
        <v>118.872</v>
      </c>
    </row>
    <row r="63" spans="1:37" x14ac:dyDescent="0.3">
      <c r="A63" s="23" t="s">
        <v>84</v>
      </c>
      <c r="B63" t="s">
        <v>238</v>
      </c>
      <c r="C63" s="1" t="s">
        <v>236</v>
      </c>
      <c r="D63">
        <v>40</v>
      </c>
      <c r="E63">
        <f t="shared" si="0"/>
        <v>145200</v>
      </c>
      <c r="F63">
        <v>2.52</v>
      </c>
      <c r="G63">
        <v>29.04</v>
      </c>
      <c r="H63">
        <f t="shared" si="1"/>
        <v>2656.4630400000001</v>
      </c>
      <c r="I63" s="30">
        <f t="shared" si="2"/>
        <v>2.9282492560446172</v>
      </c>
      <c r="K63" s="23" t="s">
        <v>84</v>
      </c>
      <c r="L63" t="s">
        <v>238</v>
      </c>
      <c r="M63">
        <v>9.15</v>
      </c>
      <c r="N63">
        <v>4.92</v>
      </c>
      <c r="O63">
        <v>11.74</v>
      </c>
      <c r="P63">
        <v>7.6</v>
      </c>
      <c r="Q63">
        <v>5.69</v>
      </c>
      <c r="R63">
        <v>7.73</v>
      </c>
      <c r="S63">
        <v>6.39</v>
      </c>
      <c r="T63">
        <v>4.07</v>
      </c>
      <c r="U63">
        <v>5.55</v>
      </c>
      <c r="V63">
        <v>5.5</v>
      </c>
      <c r="AH63" s="26" t="s">
        <v>84</v>
      </c>
      <c r="AI63" t="s">
        <v>238</v>
      </c>
      <c r="AJ63">
        <f>(55+87+76+92+84)/5</f>
        <v>78.8</v>
      </c>
      <c r="AK63" s="17">
        <f t="shared" si="3"/>
        <v>200.15199999999999</v>
      </c>
    </row>
    <row r="64" spans="1:37" x14ac:dyDescent="0.3">
      <c r="A64" s="23" t="s">
        <v>85</v>
      </c>
      <c r="B64" t="s">
        <v>241</v>
      </c>
      <c r="C64" s="1" t="s">
        <v>236</v>
      </c>
      <c r="D64">
        <v>20</v>
      </c>
      <c r="E64">
        <f t="shared" si="0"/>
        <v>72600</v>
      </c>
      <c r="F64">
        <v>1.48</v>
      </c>
      <c r="G64">
        <v>26.13</v>
      </c>
      <c r="H64">
        <f t="shared" si="1"/>
        <v>1403.8081199999999</v>
      </c>
      <c r="I64" s="30">
        <f t="shared" si="2"/>
        <v>1.5474335690435175</v>
      </c>
      <c r="K64" s="23" t="s">
        <v>85</v>
      </c>
      <c r="L64" t="s">
        <v>241</v>
      </c>
      <c r="M64" t="s">
        <v>249</v>
      </c>
      <c r="N64">
        <v>6.11</v>
      </c>
      <c r="O64">
        <v>8.26</v>
      </c>
      <c r="P64">
        <v>12.92</v>
      </c>
      <c r="Q64">
        <v>5.5</v>
      </c>
      <c r="R64">
        <v>6.21</v>
      </c>
      <c r="S64">
        <v>7.36</v>
      </c>
      <c r="T64">
        <v>6.59</v>
      </c>
      <c r="U64">
        <v>7.14</v>
      </c>
      <c r="V64">
        <v>8.34</v>
      </c>
      <c r="AH64" s="26" t="s">
        <v>85</v>
      </c>
      <c r="AI64" t="s">
        <v>241</v>
      </c>
      <c r="AJ64">
        <f>(78+37+56+61+79)/5</f>
        <v>62.2</v>
      </c>
      <c r="AK64" s="17">
        <f t="shared" si="3"/>
        <v>157.988</v>
      </c>
    </row>
    <row r="65" spans="1:37" x14ac:dyDescent="0.3">
      <c r="A65" s="23" t="s">
        <v>86</v>
      </c>
      <c r="B65" t="s">
        <v>243</v>
      </c>
      <c r="C65" s="1" t="s">
        <v>236</v>
      </c>
      <c r="D65">
        <v>72</v>
      </c>
      <c r="E65">
        <f t="shared" si="0"/>
        <v>261360.00000000003</v>
      </c>
      <c r="F65">
        <v>2.62</v>
      </c>
      <c r="G65">
        <v>26.57</v>
      </c>
      <c r="H65">
        <f t="shared" si="1"/>
        <v>2526.9664200000002</v>
      </c>
      <c r="I65" s="30">
        <f t="shared" si="2"/>
        <v>2.7855036670921383</v>
      </c>
      <c r="K65" s="23" t="s">
        <v>86</v>
      </c>
      <c r="L65" t="s">
        <v>243</v>
      </c>
      <c r="M65">
        <v>6.23</v>
      </c>
      <c r="N65">
        <v>5.51</v>
      </c>
      <c r="O65">
        <v>8.94</v>
      </c>
      <c r="P65">
        <v>5.71</v>
      </c>
      <c r="Q65">
        <v>5.34</v>
      </c>
      <c r="R65">
        <v>7.41</v>
      </c>
      <c r="S65">
        <v>5.43</v>
      </c>
      <c r="T65">
        <v>4.8499999999999996</v>
      </c>
      <c r="U65">
        <v>4.1900000000000004</v>
      </c>
      <c r="V65">
        <v>5.18</v>
      </c>
      <c r="AH65" s="26" t="s">
        <v>86</v>
      </c>
      <c r="AI65" t="s">
        <v>243</v>
      </c>
      <c r="AJ65">
        <f>(63+59+61+38+69)/5</f>
        <v>58</v>
      </c>
      <c r="AK65" s="17">
        <f t="shared" si="3"/>
        <v>147.32</v>
      </c>
    </row>
    <row r="66" spans="1:37" x14ac:dyDescent="0.3">
      <c r="A66" s="23" t="s">
        <v>87</v>
      </c>
      <c r="B66" t="s">
        <v>239</v>
      </c>
      <c r="C66" s="1" t="s">
        <v>236</v>
      </c>
      <c r="D66">
        <v>73</v>
      </c>
      <c r="E66">
        <f t="shared" si="0"/>
        <v>264990</v>
      </c>
      <c r="F66">
        <v>3.08</v>
      </c>
      <c r="G66">
        <v>29.39</v>
      </c>
      <c r="H66">
        <f t="shared" si="1"/>
        <v>3285.9195600000003</v>
      </c>
      <c r="I66" s="30">
        <f t="shared" si="2"/>
        <v>3.6221062977757281</v>
      </c>
      <c r="K66" s="23" t="s">
        <v>87</v>
      </c>
      <c r="L66" t="s">
        <v>239</v>
      </c>
      <c r="M66">
        <v>9.69</v>
      </c>
      <c r="N66">
        <v>8.9700000000000006</v>
      </c>
      <c r="O66">
        <v>6.86</v>
      </c>
      <c r="P66">
        <v>4.75</v>
      </c>
      <c r="Q66">
        <v>9.4</v>
      </c>
      <c r="R66">
        <v>4.38</v>
      </c>
      <c r="S66">
        <v>8.01</v>
      </c>
      <c r="T66">
        <v>7.77</v>
      </c>
      <c r="U66">
        <v>5.05</v>
      </c>
      <c r="AH66" s="26" t="s">
        <v>87</v>
      </c>
      <c r="AI66" t="s">
        <v>239</v>
      </c>
      <c r="AJ66">
        <f>(61+83+84+82+61)/5</f>
        <v>74.2</v>
      </c>
      <c r="AK66" s="17">
        <f t="shared" si="3"/>
        <v>188.46800000000002</v>
      </c>
    </row>
    <row r="67" spans="1:37" x14ac:dyDescent="0.3">
      <c r="A67" s="24" t="s">
        <v>143</v>
      </c>
      <c r="B67" t="s">
        <v>239</v>
      </c>
      <c r="C67" s="1" t="s">
        <v>236</v>
      </c>
      <c r="D67">
        <v>45</v>
      </c>
      <c r="E67">
        <f t="shared" si="0"/>
        <v>163350.00000000003</v>
      </c>
      <c r="F67">
        <v>1.96</v>
      </c>
      <c r="G67">
        <v>29.74</v>
      </c>
      <c r="H67">
        <f t="shared" si="1"/>
        <v>2115.9415200000003</v>
      </c>
      <c r="I67" s="30">
        <f t="shared" si="2"/>
        <v>2.3324262707505681</v>
      </c>
      <c r="K67" s="24" t="s">
        <v>143</v>
      </c>
      <c r="L67" t="s">
        <v>239</v>
      </c>
      <c r="M67">
        <v>7.97</v>
      </c>
      <c r="N67">
        <v>5.42</v>
      </c>
      <c r="O67">
        <v>6.79</v>
      </c>
      <c r="P67">
        <v>8.23</v>
      </c>
      <c r="Q67">
        <v>5.63</v>
      </c>
      <c r="R67">
        <v>6.18</v>
      </c>
      <c r="S67">
        <v>5.6</v>
      </c>
      <c r="T67">
        <v>6.71</v>
      </c>
      <c r="U67">
        <v>6.4</v>
      </c>
      <c r="V67">
        <v>4.6399999999999997</v>
      </c>
      <c r="AH67" s="24" t="s">
        <v>143</v>
      </c>
      <c r="AI67" t="s">
        <v>239</v>
      </c>
      <c r="AJ67">
        <f>(65+63+80+65+46)/5</f>
        <v>63.8</v>
      </c>
      <c r="AK67" s="17">
        <f t="shared" si="3"/>
        <v>162.05199999999999</v>
      </c>
    </row>
    <row r="68" spans="1:37" x14ac:dyDescent="0.3">
      <c r="A68" s="24" t="s">
        <v>88</v>
      </c>
      <c r="B68" t="s">
        <v>240</v>
      </c>
      <c r="C68" s="1" t="s">
        <v>236</v>
      </c>
      <c r="D68">
        <v>116</v>
      </c>
      <c r="E68">
        <f t="shared" ref="E68:E82" si="4">+(D68/(12/43560))</f>
        <v>421080.00000000006</v>
      </c>
      <c r="F68">
        <v>4.26</v>
      </c>
      <c r="G68">
        <v>27.72</v>
      </c>
      <c r="H68">
        <f t="shared" ref="H68:H74" si="5">+(F68*(G68/100))/(12/43560)</f>
        <v>4286.5653600000005</v>
      </c>
      <c r="I68" s="30">
        <f t="shared" ref="I68:I74" si="6">+(H68*0.0011023113109244)</f>
        <v>4.7251294813447231</v>
      </c>
      <c r="K68" s="24" t="s">
        <v>88</v>
      </c>
      <c r="L68" t="s">
        <v>240</v>
      </c>
      <c r="M68">
        <v>6.77</v>
      </c>
      <c r="N68">
        <v>7.08</v>
      </c>
      <c r="O68">
        <v>4.6100000000000003</v>
      </c>
      <c r="P68">
        <v>9.17</v>
      </c>
      <c r="Q68">
        <v>8.4499999999999993</v>
      </c>
      <c r="R68">
        <v>11.51</v>
      </c>
      <c r="S68">
        <v>10.09</v>
      </c>
      <c r="T68">
        <v>7.94</v>
      </c>
      <c r="U68">
        <v>6.57</v>
      </c>
      <c r="V68">
        <v>6.99</v>
      </c>
      <c r="AH68" s="24" t="s">
        <v>88</v>
      </c>
      <c r="AI68" t="s">
        <v>240</v>
      </c>
      <c r="AJ68">
        <f>(65+84+76+72+70)/5</f>
        <v>73.400000000000006</v>
      </c>
      <c r="AK68" s="17">
        <f t="shared" ref="AK68:AK74" si="7">AJ68*2.54</f>
        <v>186.43600000000001</v>
      </c>
    </row>
    <row r="69" spans="1:37" x14ac:dyDescent="0.3">
      <c r="A69" s="24" t="s">
        <v>89</v>
      </c>
      <c r="B69" t="s">
        <v>238</v>
      </c>
      <c r="C69" s="1" t="s">
        <v>236</v>
      </c>
      <c r="D69">
        <v>69</v>
      </c>
      <c r="E69">
        <f t="shared" si="4"/>
        <v>250470.00000000003</v>
      </c>
      <c r="F69">
        <v>3.83</v>
      </c>
      <c r="G69">
        <v>29.02</v>
      </c>
      <c r="H69">
        <f t="shared" si="5"/>
        <v>4034.6215800000004</v>
      </c>
      <c r="I69" s="30">
        <f t="shared" si="6"/>
        <v>4.447409002933675</v>
      </c>
      <c r="K69" s="24" t="s">
        <v>89</v>
      </c>
      <c r="L69" t="s">
        <v>238</v>
      </c>
      <c r="M69">
        <v>5.43</v>
      </c>
      <c r="N69">
        <v>9.2899999999999991</v>
      </c>
      <c r="O69">
        <v>7.9</v>
      </c>
      <c r="P69">
        <v>9.44</v>
      </c>
      <c r="Q69">
        <v>6.62</v>
      </c>
      <c r="R69">
        <v>7.67</v>
      </c>
      <c r="S69">
        <v>8.7100000000000009</v>
      </c>
      <c r="T69">
        <v>11.86</v>
      </c>
      <c r="U69">
        <v>7.34</v>
      </c>
      <c r="V69">
        <v>9.6199999999999992</v>
      </c>
      <c r="AH69" s="24" t="s">
        <v>89</v>
      </c>
      <c r="AI69" t="s">
        <v>238</v>
      </c>
      <c r="AJ69">
        <f>(94+57+85+89+72)/5</f>
        <v>79.400000000000006</v>
      </c>
      <c r="AK69" s="17">
        <f t="shared" si="7"/>
        <v>201.67600000000002</v>
      </c>
    </row>
    <row r="70" spans="1:37" x14ac:dyDescent="0.3">
      <c r="A70" s="24" t="s">
        <v>90</v>
      </c>
      <c r="B70" t="s">
        <v>242</v>
      </c>
      <c r="C70" s="1" t="s">
        <v>236</v>
      </c>
      <c r="D70">
        <v>93</v>
      </c>
      <c r="E70">
        <f t="shared" si="4"/>
        <v>337590.00000000006</v>
      </c>
      <c r="F70">
        <v>3.76</v>
      </c>
      <c r="G70">
        <v>24.6</v>
      </c>
      <c r="H70">
        <f t="shared" si="5"/>
        <v>3357.6048000000005</v>
      </c>
      <c r="I70" s="30">
        <f t="shared" si="6"/>
        <v>3.7011257486540585</v>
      </c>
      <c r="K70" s="24" t="s">
        <v>90</v>
      </c>
      <c r="L70" t="s">
        <v>242</v>
      </c>
      <c r="M70">
        <v>5.21</v>
      </c>
      <c r="N70">
        <v>1.78</v>
      </c>
      <c r="O70">
        <v>9.0299999999999994</v>
      </c>
      <c r="P70">
        <v>3.61</v>
      </c>
      <c r="Q70">
        <v>6.53</v>
      </c>
      <c r="R70">
        <v>3.93</v>
      </c>
      <c r="S70">
        <v>7.73</v>
      </c>
      <c r="T70">
        <v>4.87</v>
      </c>
      <c r="U70">
        <v>5.39</v>
      </c>
      <c r="V70">
        <v>8.27</v>
      </c>
      <c r="AH70" s="24" t="s">
        <v>90</v>
      </c>
      <c r="AI70" t="s">
        <v>242</v>
      </c>
      <c r="AJ70">
        <f>(35+58+60+69+70)/5</f>
        <v>58.4</v>
      </c>
      <c r="AK70" s="17">
        <f t="shared" si="7"/>
        <v>148.33599999999998</v>
      </c>
    </row>
    <row r="71" spans="1:37" x14ac:dyDescent="0.3">
      <c r="A71" s="24" t="s">
        <v>91</v>
      </c>
      <c r="B71" t="s">
        <v>243</v>
      </c>
      <c r="C71" s="1" t="s">
        <v>236</v>
      </c>
      <c r="D71">
        <v>66</v>
      </c>
      <c r="E71">
        <f t="shared" si="4"/>
        <v>239580.00000000003</v>
      </c>
      <c r="F71">
        <v>3.36</v>
      </c>
      <c r="G71">
        <v>29.27</v>
      </c>
      <c r="H71">
        <f t="shared" si="5"/>
        <v>3570.0033600000002</v>
      </c>
      <c r="I71" s="30">
        <f t="shared" si="6"/>
        <v>3.9352550837661133</v>
      </c>
      <c r="K71" s="24" t="s">
        <v>91</v>
      </c>
      <c r="L71" t="s">
        <v>243</v>
      </c>
      <c r="M71">
        <v>8.64</v>
      </c>
      <c r="N71">
        <v>8.2799999999999994</v>
      </c>
      <c r="O71">
        <v>8.26</v>
      </c>
      <c r="P71">
        <v>8.5299999999999994</v>
      </c>
      <c r="Q71">
        <v>3.61</v>
      </c>
      <c r="R71">
        <v>2.79</v>
      </c>
      <c r="S71">
        <v>6.96</v>
      </c>
      <c r="T71">
        <v>6.54</v>
      </c>
      <c r="U71">
        <v>8.06</v>
      </c>
      <c r="V71">
        <v>6.5</v>
      </c>
      <c r="AH71" s="24" t="s">
        <v>91</v>
      </c>
      <c r="AI71" t="s">
        <v>243</v>
      </c>
      <c r="AJ71">
        <f>(50+53+63+62+93)/5</f>
        <v>64.2</v>
      </c>
      <c r="AK71" s="17">
        <f t="shared" si="7"/>
        <v>163.06800000000001</v>
      </c>
    </row>
    <row r="72" spans="1:37" x14ac:dyDescent="0.3">
      <c r="A72" s="24" t="s">
        <v>92</v>
      </c>
      <c r="B72" t="s">
        <v>244</v>
      </c>
      <c r="C72" s="1" t="s">
        <v>236</v>
      </c>
      <c r="D72">
        <v>116</v>
      </c>
      <c r="E72">
        <f t="shared" si="4"/>
        <v>421080.00000000006</v>
      </c>
      <c r="F72">
        <v>3.72</v>
      </c>
      <c r="G72">
        <v>28.42</v>
      </c>
      <c r="H72">
        <f t="shared" si="5"/>
        <v>3837.723120000001</v>
      </c>
      <c r="I72" s="30">
        <f t="shared" si="6"/>
        <v>4.2303656033720802</v>
      </c>
      <c r="K72" s="24" t="s">
        <v>92</v>
      </c>
      <c r="L72" t="s">
        <v>244</v>
      </c>
      <c r="M72">
        <v>4.32</v>
      </c>
      <c r="N72">
        <v>3.26</v>
      </c>
      <c r="O72">
        <v>4.91</v>
      </c>
      <c r="P72">
        <v>5.81</v>
      </c>
      <c r="Q72">
        <v>7.22</v>
      </c>
      <c r="R72">
        <v>6.59</v>
      </c>
      <c r="S72">
        <v>3.95</v>
      </c>
      <c r="T72">
        <v>7.25</v>
      </c>
      <c r="U72">
        <v>4.3099999999999996</v>
      </c>
      <c r="V72">
        <v>6.13</v>
      </c>
      <c r="AH72" s="24" t="s">
        <v>92</v>
      </c>
      <c r="AI72" t="s">
        <v>244</v>
      </c>
      <c r="AJ72">
        <f>(53+54+62+63+55)/5</f>
        <v>57.4</v>
      </c>
      <c r="AK72" s="17">
        <f t="shared" si="7"/>
        <v>145.79599999999999</v>
      </c>
    </row>
    <row r="73" spans="1:37" x14ac:dyDescent="0.3">
      <c r="A73" s="24" t="s">
        <v>93</v>
      </c>
      <c r="B73" t="s">
        <v>237</v>
      </c>
      <c r="C73" s="1" t="s">
        <v>236</v>
      </c>
      <c r="D73">
        <v>69</v>
      </c>
      <c r="E73">
        <f t="shared" si="4"/>
        <v>250470.00000000003</v>
      </c>
      <c r="F73">
        <v>2.52</v>
      </c>
      <c r="G73">
        <v>29.97</v>
      </c>
      <c r="H73">
        <f t="shared" si="5"/>
        <v>2741.5357199999999</v>
      </c>
      <c r="I73" s="30">
        <f t="shared" si="6"/>
        <v>3.0220258334592689</v>
      </c>
      <c r="K73" s="24" t="s">
        <v>93</v>
      </c>
      <c r="L73" t="s">
        <v>237</v>
      </c>
      <c r="M73">
        <v>5.85</v>
      </c>
      <c r="N73">
        <v>5.56</v>
      </c>
      <c r="O73">
        <v>4.47</v>
      </c>
      <c r="P73">
        <v>7.64</v>
      </c>
      <c r="Q73">
        <v>3.12</v>
      </c>
      <c r="R73">
        <v>4.13</v>
      </c>
      <c r="S73">
        <v>3.95</v>
      </c>
      <c r="T73">
        <v>7.4</v>
      </c>
      <c r="U73">
        <v>4.51</v>
      </c>
      <c r="V73">
        <v>5.85</v>
      </c>
      <c r="AH73" s="24" t="s">
        <v>93</v>
      </c>
      <c r="AI73" t="s">
        <v>237</v>
      </c>
      <c r="AJ73">
        <f>(87+68+79+65+62)/5</f>
        <v>72.2</v>
      </c>
      <c r="AK73" s="17">
        <f t="shared" si="7"/>
        <v>183.38800000000001</v>
      </c>
    </row>
    <row r="74" spans="1:37" x14ac:dyDescent="0.3">
      <c r="A74" s="24" t="s">
        <v>94</v>
      </c>
      <c r="B74" t="s">
        <v>241</v>
      </c>
      <c r="C74" s="1" t="s">
        <v>236</v>
      </c>
      <c r="D74">
        <v>92</v>
      </c>
      <c r="E74">
        <f t="shared" si="4"/>
        <v>333960.00000000006</v>
      </c>
      <c r="F74">
        <v>2.66</v>
      </c>
      <c r="G74">
        <v>28.84</v>
      </c>
      <c r="H74">
        <f t="shared" si="5"/>
        <v>2784.7327200000004</v>
      </c>
      <c r="I74" s="30">
        <f t="shared" si="6"/>
        <v>3.069642375157271</v>
      </c>
      <c r="K74" s="24" t="s">
        <v>94</v>
      </c>
      <c r="L74" t="s">
        <v>241</v>
      </c>
      <c r="M74">
        <v>6.44</v>
      </c>
      <c r="N74">
        <v>4.1900000000000004</v>
      </c>
      <c r="O74">
        <v>3.54</v>
      </c>
      <c r="P74">
        <v>4.96</v>
      </c>
      <c r="Q74">
        <v>4.47</v>
      </c>
      <c r="R74">
        <v>4.63</v>
      </c>
      <c r="S74">
        <v>5.57</v>
      </c>
      <c r="T74">
        <v>5.4</v>
      </c>
      <c r="U74">
        <v>4.33</v>
      </c>
      <c r="V74">
        <v>5.12</v>
      </c>
      <c r="AH74" s="24" t="s">
        <v>94</v>
      </c>
      <c r="AI74" t="s">
        <v>241</v>
      </c>
      <c r="AJ74">
        <f>(43+51+56+58+55)/5</f>
        <v>52.6</v>
      </c>
      <c r="AK74" s="17">
        <f t="shared" si="7"/>
        <v>133.60400000000001</v>
      </c>
    </row>
    <row r="75" spans="1:37" x14ac:dyDescent="0.3">
      <c r="A75" s="25" t="s">
        <v>95</v>
      </c>
      <c r="B75" t="s">
        <v>240</v>
      </c>
      <c r="C75" s="1" t="s">
        <v>236</v>
      </c>
      <c r="E75">
        <f t="shared" si="4"/>
        <v>0</v>
      </c>
      <c r="K75" s="25" t="s">
        <v>95</v>
      </c>
      <c r="L75" t="s">
        <v>240</v>
      </c>
    </row>
    <row r="76" spans="1:37" x14ac:dyDescent="0.3">
      <c r="A76" s="25" t="s">
        <v>96</v>
      </c>
      <c r="B76" t="s">
        <v>243</v>
      </c>
      <c r="C76" s="1" t="s">
        <v>236</v>
      </c>
      <c r="E76">
        <f t="shared" si="4"/>
        <v>0</v>
      </c>
      <c r="K76" s="25" t="s">
        <v>96</v>
      </c>
      <c r="L76" t="s">
        <v>243</v>
      </c>
    </row>
    <row r="77" spans="1:37" x14ac:dyDescent="0.3">
      <c r="A77" s="25" t="s">
        <v>97</v>
      </c>
      <c r="B77" t="s">
        <v>241</v>
      </c>
      <c r="C77" s="1" t="s">
        <v>236</v>
      </c>
      <c r="E77">
        <f t="shared" si="4"/>
        <v>0</v>
      </c>
      <c r="K77" s="25" t="s">
        <v>97</v>
      </c>
      <c r="L77" t="s">
        <v>241</v>
      </c>
    </row>
    <row r="78" spans="1:37" x14ac:dyDescent="0.3">
      <c r="A78" s="25" t="s">
        <v>98</v>
      </c>
      <c r="B78" t="s">
        <v>238</v>
      </c>
      <c r="C78" s="1" t="s">
        <v>236</v>
      </c>
      <c r="E78">
        <f t="shared" si="4"/>
        <v>0</v>
      </c>
      <c r="K78" s="25" t="s">
        <v>98</v>
      </c>
      <c r="L78" t="s">
        <v>238</v>
      </c>
    </row>
    <row r="79" spans="1:37" x14ac:dyDescent="0.3">
      <c r="A79" s="25" t="s">
        <v>99</v>
      </c>
      <c r="B79" t="s">
        <v>242</v>
      </c>
      <c r="C79" s="1" t="s">
        <v>236</v>
      </c>
      <c r="E79">
        <f t="shared" si="4"/>
        <v>0</v>
      </c>
      <c r="K79" s="25" t="s">
        <v>99</v>
      </c>
      <c r="L79" t="s">
        <v>242</v>
      </c>
    </row>
    <row r="80" spans="1:37" x14ac:dyDescent="0.3">
      <c r="A80" s="25" t="s">
        <v>100</v>
      </c>
      <c r="B80" t="s">
        <v>239</v>
      </c>
      <c r="C80" s="1" t="s">
        <v>236</v>
      </c>
      <c r="E80">
        <f t="shared" si="4"/>
        <v>0</v>
      </c>
      <c r="K80" s="25" t="s">
        <v>100</v>
      </c>
      <c r="L80" t="s">
        <v>239</v>
      </c>
    </row>
    <row r="81" spans="1:12" x14ac:dyDescent="0.3">
      <c r="A81" s="25" t="s">
        <v>101</v>
      </c>
      <c r="B81" t="s">
        <v>244</v>
      </c>
      <c r="C81" s="1" t="s">
        <v>236</v>
      </c>
      <c r="E81">
        <f t="shared" si="4"/>
        <v>0</v>
      </c>
      <c r="K81" s="25" t="s">
        <v>101</v>
      </c>
      <c r="L81" t="s">
        <v>244</v>
      </c>
    </row>
    <row r="82" spans="1:12" x14ac:dyDescent="0.3">
      <c r="A82" s="25" t="s">
        <v>102</v>
      </c>
      <c r="B82" t="s">
        <v>237</v>
      </c>
      <c r="C82" s="1" t="s">
        <v>236</v>
      </c>
      <c r="E82">
        <f t="shared" si="4"/>
        <v>0</v>
      </c>
      <c r="K82" s="25" t="s">
        <v>102</v>
      </c>
      <c r="L82" t="s">
        <v>237</v>
      </c>
    </row>
    <row r="83" spans="1:12" x14ac:dyDescent="0.3">
      <c r="C83" s="1"/>
    </row>
    <row r="84" spans="1:12" x14ac:dyDescent="0.3">
      <c r="C84" s="1"/>
    </row>
    <row r="85" spans="1:12" x14ac:dyDescent="0.3">
      <c r="C85" s="1"/>
    </row>
    <row r="86" spans="1:12" x14ac:dyDescent="0.3">
      <c r="C86" s="1"/>
    </row>
    <row r="87" spans="1:12" x14ac:dyDescent="0.3">
      <c r="C87" s="1"/>
    </row>
    <row r="88" spans="1:12" x14ac:dyDescent="0.3">
      <c r="C88" s="1"/>
    </row>
    <row r="89" spans="1:12" x14ac:dyDescent="0.3">
      <c r="C89" s="1"/>
    </row>
    <row r="90" spans="1:12" x14ac:dyDescent="0.3">
      <c r="C90" s="1"/>
    </row>
    <row r="91" spans="1:12" x14ac:dyDescent="0.3">
      <c r="C91" s="1"/>
    </row>
    <row r="92" spans="1:12" x14ac:dyDescent="0.3">
      <c r="C92" s="1"/>
    </row>
    <row r="93" spans="1:12" x14ac:dyDescent="0.3">
      <c r="C93" s="1"/>
    </row>
    <row r="94" spans="1:12" x14ac:dyDescent="0.3">
      <c r="C94" s="1"/>
    </row>
    <row r="95" spans="1:12" x14ac:dyDescent="0.3">
      <c r="C95" s="1"/>
    </row>
    <row r="96" spans="1:12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</sheetData>
  <mergeCells count="2">
    <mergeCell ref="M1:V1"/>
    <mergeCell ref="W1:AF1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1871-15FA-4DB4-BF45-D34D5D6B9303}">
  <dimension ref="A2:K144"/>
  <sheetViews>
    <sheetView zoomScale="88" workbookViewId="0">
      <selection activeCell="H2" sqref="H2:K74"/>
    </sheetView>
  </sheetViews>
  <sheetFormatPr defaultRowHeight="14.4" x14ac:dyDescent="0.3"/>
  <cols>
    <col min="1" max="1" width="6.77734375" bestFit="1" customWidth="1"/>
    <col min="2" max="2" width="10.77734375" hidden="1" customWidth="1"/>
    <col min="3" max="3" width="14.33203125" hidden="1" customWidth="1"/>
    <col min="4" max="4" width="10.21875" bestFit="1" customWidth="1"/>
    <col min="5" max="5" width="13.88671875" bestFit="1" customWidth="1"/>
    <col min="6" max="6" width="14.21875" bestFit="1" customWidth="1"/>
    <col min="7" max="7" width="8.5546875" customWidth="1"/>
    <col min="8" max="8" width="7.109375" customWidth="1"/>
    <col min="9" max="9" width="10.77734375" bestFit="1" customWidth="1"/>
    <col min="10" max="10" width="12.77734375" bestFit="1" customWidth="1"/>
    <col min="11" max="11" width="13.77734375" bestFit="1" customWidth="1"/>
    <col min="12" max="12" width="8.33203125" customWidth="1"/>
    <col min="13" max="13" width="8" customWidth="1"/>
    <col min="14" max="14" width="7.33203125" customWidth="1"/>
    <col min="15" max="15" width="8.6640625" customWidth="1"/>
    <col min="16" max="16" width="8.44140625" customWidth="1"/>
    <col min="17" max="17" width="8.21875" customWidth="1"/>
    <col min="18" max="18" width="8.33203125" customWidth="1"/>
    <col min="19" max="19" width="9.44140625" customWidth="1"/>
    <col min="20" max="20" width="7.21875" customWidth="1"/>
    <col min="21" max="21" width="9.6640625" customWidth="1"/>
    <col min="22" max="22" width="8.77734375" customWidth="1"/>
    <col min="23" max="23" width="8.21875" customWidth="1"/>
    <col min="24" max="24" width="8.88671875" customWidth="1"/>
    <col min="25" max="25" width="8.77734375" customWidth="1"/>
    <col min="26" max="26" width="13.88671875" bestFit="1" customWidth="1"/>
  </cols>
  <sheetData>
    <row r="2" spans="1:11" x14ac:dyDescent="0.3">
      <c r="A2" t="s">
        <v>146</v>
      </c>
      <c r="B2" t="s">
        <v>150</v>
      </c>
      <c r="C2" t="s">
        <v>147</v>
      </c>
      <c r="D2" t="s">
        <v>148</v>
      </c>
      <c r="E2" t="s">
        <v>151</v>
      </c>
      <c r="F2" t="s">
        <v>247</v>
      </c>
      <c r="H2" t="s">
        <v>146</v>
      </c>
      <c r="I2" t="s">
        <v>150</v>
      </c>
      <c r="J2" t="s">
        <v>149</v>
      </c>
      <c r="K2" t="s">
        <v>248</v>
      </c>
    </row>
    <row r="3" spans="1:11" x14ac:dyDescent="0.3">
      <c r="A3" s="19" t="s">
        <v>13</v>
      </c>
      <c r="B3" t="s">
        <v>228</v>
      </c>
      <c r="C3" s="1" t="s">
        <v>236</v>
      </c>
      <c r="D3">
        <v>95</v>
      </c>
      <c r="E3">
        <v>3.66</v>
      </c>
      <c r="H3" s="19" t="s">
        <v>13</v>
      </c>
      <c r="I3" t="s">
        <v>228</v>
      </c>
      <c r="J3">
        <f>(69+78+68+79+80)/5</f>
        <v>74.8</v>
      </c>
      <c r="K3" s="17">
        <f>J3*2.54</f>
        <v>189.99199999999999</v>
      </c>
    </row>
    <row r="4" spans="1:11" x14ac:dyDescent="0.3">
      <c r="A4" s="19" t="s">
        <v>14</v>
      </c>
      <c r="B4" t="s">
        <v>229</v>
      </c>
      <c r="C4" s="1" t="s">
        <v>236</v>
      </c>
      <c r="D4">
        <v>184</v>
      </c>
      <c r="E4">
        <v>5.32</v>
      </c>
      <c r="H4" s="19" t="s">
        <v>14</v>
      </c>
      <c r="I4" t="s">
        <v>229</v>
      </c>
      <c r="J4">
        <f>(74+75+88+52+36)/5</f>
        <v>65</v>
      </c>
      <c r="K4" s="17">
        <f t="shared" ref="K4:K67" si="0">J4*2.54</f>
        <v>165.1</v>
      </c>
    </row>
    <row r="5" spans="1:11" x14ac:dyDescent="0.3">
      <c r="A5" s="19" t="s">
        <v>15</v>
      </c>
      <c r="B5" t="s">
        <v>230</v>
      </c>
      <c r="C5" s="1" t="s">
        <v>236</v>
      </c>
      <c r="D5">
        <v>90</v>
      </c>
      <c r="E5">
        <v>3.98</v>
      </c>
      <c r="H5" s="19" t="s">
        <v>15</v>
      </c>
      <c r="I5" t="s">
        <v>230</v>
      </c>
      <c r="J5">
        <f>(74+67+59+35+88)/5</f>
        <v>64.599999999999994</v>
      </c>
      <c r="K5" s="17">
        <f t="shared" si="0"/>
        <v>164.08399999999997</v>
      </c>
    </row>
    <row r="6" spans="1:11" x14ac:dyDescent="0.3">
      <c r="A6" s="19" t="s">
        <v>16</v>
      </c>
      <c r="B6" t="s">
        <v>231</v>
      </c>
      <c r="C6" s="1" t="s">
        <v>236</v>
      </c>
      <c r="D6">
        <v>114</v>
      </c>
      <c r="E6">
        <v>4.34</v>
      </c>
      <c r="H6" s="19" t="s">
        <v>16</v>
      </c>
      <c r="I6" t="s">
        <v>231</v>
      </c>
      <c r="J6">
        <f>(60+61+82+37+40)/5</f>
        <v>56</v>
      </c>
      <c r="K6" s="17">
        <f t="shared" si="0"/>
        <v>142.24</v>
      </c>
    </row>
    <row r="7" spans="1:11" x14ac:dyDescent="0.3">
      <c r="A7" s="19" t="s">
        <v>17</v>
      </c>
      <c r="B7" t="s">
        <v>6</v>
      </c>
      <c r="C7" s="1" t="s">
        <v>236</v>
      </c>
      <c r="D7">
        <v>145</v>
      </c>
      <c r="E7">
        <v>4.9800000000000004</v>
      </c>
      <c r="H7" s="19" t="s">
        <v>17</v>
      </c>
      <c r="I7" t="s">
        <v>6</v>
      </c>
      <c r="J7">
        <f>(64+88+63+80+82)/5</f>
        <v>75.400000000000006</v>
      </c>
      <c r="K7" s="17">
        <f t="shared" si="0"/>
        <v>191.51600000000002</v>
      </c>
    </row>
    <row r="8" spans="1:11" x14ac:dyDescent="0.3">
      <c r="A8" s="19" t="s">
        <v>18</v>
      </c>
      <c r="B8" t="s">
        <v>7</v>
      </c>
      <c r="C8" s="1" t="s">
        <v>236</v>
      </c>
      <c r="D8">
        <v>225</v>
      </c>
      <c r="E8">
        <v>5.32</v>
      </c>
      <c r="H8" s="19" t="s">
        <v>18</v>
      </c>
      <c r="I8" t="s">
        <v>7</v>
      </c>
      <c r="J8">
        <f>(72+59+67+46+54)/5</f>
        <v>59.6</v>
      </c>
      <c r="K8" s="17">
        <f t="shared" si="0"/>
        <v>151.38400000000001</v>
      </c>
    </row>
    <row r="9" spans="1:11" x14ac:dyDescent="0.3">
      <c r="A9" s="19" t="s">
        <v>19</v>
      </c>
      <c r="B9" t="s">
        <v>232</v>
      </c>
      <c r="C9" s="1" t="s">
        <v>236</v>
      </c>
      <c r="D9">
        <v>91</v>
      </c>
      <c r="E9">
        <v>3.26</v>
      </c>
      <c r="H9" s="19" t="s">
        <v>19</v>
      </c>
      <c r="I9" t="s">
        <v>232</v>
      </c>
      <c r="J9">
        <f>(56+55+68+61+59)/5</f>
        <v>59.8</v>
      </c>
      <c r="K9" s="17">
        <f t="shared" si="0"/>
        <v>151.892</v>
      </c>
    </row>
    <row r="10" spans="1:11" x14ac:dyDescent="0.3">
      <c r="A10" s="19" t="s">
        <v>20</v>
      </c>
      <c r="B10" t="s">
        <v>233</v>
      </c>
      <c r="C10" s="1" t="s">
        <v>236</v>
      </c>
      <c r="D10">
        <v>157</v>
      </c>
      <c r="E10">
        <v>4.5999999999999996</v>
      </c>
      <c r="H10" s="19" t="s">
        <v>20</v>
      </c>
      <c r="I10" t="s">
        <v>233</v>
      </c>
      <c r="J10">
        <f>(61+71+57+67+57)/5</f>
        <v>62.6</v>
      </c>
      <c r="K10" s="17">
        <f t="shared" si="0"/>
        <v>159.00400000000002</v>
      </c>
    </row>
    <row r="11" spans="1:11" x14ac:dyDescent="0.3">
      <c r="A11" s="19" t="s">
        <v>21</v>
      </c>
      <c r="B11" t="s">
        <v>234</v>
      </c>
      <c r="C11" s="1" t="s">
        <v>236</v>
      </c>
      <c r="D11">
        <v>96</v>
      </c>
      <c r="E11">
        <v>4.4000000000000004</v>
      </c>
      <c r="H11" s="19" t="s">
        <v>21</v>
      </c>
      <c r="I11" t="s">
        <v>234</v>
      </c>
      <c r="J11">
        <f>(94+70+103+57+51)/5</f>
        <v>75</v>
      </c>
      <c r="K11" s="17">
        <f t="shared" si="0"/>
        <v>190.5</v>
      </c>
    </row>
    <row r="12" spans="1:11" x14ac:dyDescent="0.3">
      <c r="A12" s="19" t="s">
        <v>22</v>
      </c>
      <c r="B12" t="s">
        <v>235</v>
      </c>
      <c r="C12" s="1" t="s">
        <v>236</v>
      </c>
      <c r="D12">
        <v>111</v>
      </c>
      <c r="E12">
        <v>4.5</v>
      </c>
      <c r="H12" s="19" t="s">
        <v>22</v>
      </c>
      <c r="I12" t="s">
        <v>235</v>
      </c>
      <c r="J12">
        <f>(58+61+68+102+55)/5</f>
        <v>68.8</v>
      </c>
      <c r="K12" s="17">
        <f t="shared" si="0"/>
        <v>174.75199999999998</v>
      </c>
    </row>
    <row r="13" spans="1:11" x14ac:dyDescent="0.3">
      <c r="A13" s="19" t="s">
        <v>23</v>
      </c>
      <c r="B13" t="s">
        <v>145</v>
      </c>
      <c r="C13" s="1" t="s">
        <v>236</v>
      </c>
      <c r="D13">
        <v>183</v>
      </c>
      <c r="E13">
        <v>4.62</v>
      </c>
      <c r="H13" s="19" t="s">
        <v>23</v>
      </c>
      <c r="I13" t="s">
        <v>145</v>
      </c>
      <c r="J13">
        <f>(68+84+83+86+56)/5</f>
        <v>75.400000000000006</v>
      </c>
      <c r="K13" s="17">
        <f t="shared" si="0"/>
        <v>191.51600000000002</v>
      </c>
    </row>
    <row r="14" spans="1:11" x14ac:dyDescent="0.3">
      <c r="A14" s="19" t="s">
        <v>24</v>
      </c>
      <c r="B14" t="s">
        <v>106</v>
      </c>
      <c r="C14" s="1" t="s">
        <v>236</v>
      </c>
      <c r="D14">
        <v>184</v>
      </c>
      <c r="E14">
        <v>4.62</v>
      </c>
      <c r="H14" s="19" t="s">
        <v>24</v>
      </c>
      <c r="I14" t="s">
        <v>106</v>
      </c>
      <c r="J14">
        <f>(54+40+53+65+52)/5</f>
        <v>52.8</v>
      </c>
      <c r="K14" s="17">
        <f t="shared" si="0"/>
        <v>134.11199999999999</v>
      </c>
    </row>
    <row r="15" spans="1:11" x14ac:dyDescent="0.3">
      <c r="A15" s="18" t="s">
        <v>107</v>
      </c>
      <c r="B15" t="s">
        <v>7</v>
      </c>
      <c r="C15" s="1" t="s">
        <v>236</v>
      </c>
      <c r="D15">
        <v>131</v>
      </c>
      <c r="E15">
        <v>5.24</v>
      </c>
      <c r="H15" s="18" t="s">
        <v>25</v>
      </c>
      <c r="I15" t="s">
        <v>229</v>
      </c>
      <c r="J15">
        <f>(74+68+36+83+78)/5</f>
        <v>67.8</v>
      </c>
      <c r="K15" s="17">
        <f t="shared" si="0"/>
        <v>172.21199999999999</v>
      </c>
    </row>
    <row r="16" spans="1:11" x14ac:dyDescent="0.3">
      <c r="A16" s="18" t="s">
        <v>108</v>
      </c>
      <c r="B16" t="s">
        <v>106</v>
      </c>
      <c r="C16" s="1" t="s">
        <v>236</v>
      </c>
      <c r="D16">
        <v>169</v>
      </c>
      <c r="E16">
        <v>6.42</v>
      </c>
      <c r="H16" s="18" t="s">
        <v>26</v>
      </c>
      <c r="I16" t="s">
        <v>7</v>
      </c>
      <c r="J16">
        <f>(87+64+85+76+93)/5</f>
        <v>81</v>
      </c>
      <c r="K16" s="17">
        <f t="shared" si="0"/>
        <v>205.74</v>
      </c>
    </row>
    <row r="17" spans="1:11" x14ac:dyDescent="0.3">
      <c r="A17" s="18" t="s">
        <v>109</v>
      </c>
      <c r="B17" t="s">
        <v>231</v>
      </c>
      <c r="C17" s="1" t="s">
        <v>236</v>
      </c>
      <c r="D17">
        <v>101</v>
      </c>
      <c r="E17">
        <v>5.92</v>
      </c>
      <c r="H17" s="18" t="s">
        <v>27</v>
      </c>
      <c r="I17" t="s">
        <v>235</v>
      </c>
      <c r="J17">
        <f>(48+106+82+41+86)/5</f>
        <v>72.599999999999994</v>
      </c>
      <c r="K17" s="17">
        <f t="shared" si="0"/>
        <v>184.404</v>
      </c>
    </row>
    <row r="18" spans="1:11" x14ac:dyDescent="0.3">
      <c r="A18" s="18" t="s">
        <v>110</v>
      </c>
      <c r="B18" t="s">
        <v>228</v>
      </c>
      <c r="C18" s="1" t="s">
        <v>236</v>
      </c>
      <c r="D18">
        <v>91</v>
      </c>
      <c r="E18">
        <v>4.2</v>
      </c>
      <c r="H18" s="18" t="s">
        <v>28</v>
      </c>
      <c r="I18" t="s">
        <v>231</v>
      </c>
      <c r="J18">
        <f>(77+77+97+47+68)/5</f>
        <v>73.2</v>
      </c>
      <c r="K18" s="17">
        <f t="shared" si="0"/>
        <v>185.928</v>
      </c>
    </row>
    <row r="19" spans="1:11" x14ac:dyDescent="0.3">
      <c r="A19" s="18" t="s">
        <v>111</v>
      </c>
      <c r="B19" t="s">
        <v>234</v>
      </c>
      <c r="C19" s="1" t="s">
        <v>236</v>
      </c>
      <c r="D19">
        <v>97</v>
      </c>
      <c r="E19">
        <v>3.82</v>
      </c>
      <c r="H19" s="18" t="s">
        <v>29</v>
      </c>
      <c r="I19" t="s">
        <v>234</v>
      </c>
      <c r="J19">
        <f>(61+77+69+95+70)/5</f>
        <v>74.400000000000006</v>
      </c>
      <c r="K19" s="17">
        <f t="shared" si="0"/>
        <v>188.97600000000003</v>
      </c>
    </row>
    <row r="20" spans="1:11" x14ac:dyDescent="0.3">
      <c r="A20" s="18" t="s">
        <v>112</v>
      </c>
      <c r="B20" t="s">
        <v>235</v>
      </c>
      <c r="C20" s="1" t="s">
        <v>236</v>
      </c>
      <c r="D20">
        <v>67</v>
      </c>
      <c r="E20">
        <v>2.74</v>
      </c>
      <c r="H20" s="18" t="s">
        <v>30</v>
      </c>
      <c r="I20" t="s">
        <v>232</v>
      </c>
      <c r="J20">
        <f>(77+60+50+51+49)/5</f>
        <v>57.4</v>
      </c>
      <c r="K20" s="17">
        <f t="shared" si="0"/>
        <v>145.79599999999999</v>
      </c>
    </row>
    <row r="21" spans="1:11" x14ac:dyDescent="0.3">
      <c r="A21" s="18" t="s">
        <v>113</v>
      </c>
      <c r="B21" t="s">
        <v>233</v>
      </c>
      <c r="C21" s="1" t="s">
        <v>236</v>
      </c>
      <c r="D21">
        <v>89</v>
      </c>
      <c r="E21">
        <v>3.67</v>
      </c>
      <c r="H21" s="18" t="s">
        <v>31</v>
      </c>
      <c r="I21" t="s">
        <v>145</v>
      </c>
      <c r="J21">
        <f>(70+32+66+49+53)/5</f>
        <v>54</v>
      </c>
      <c r="K21" s="17">
        <f t="shared" si="0"/>
        <v>137.16</v>
      </c>
    </row>
    <row r="22" spans="1:11" x14ac:dyDescent="0.3">
      <c r="A22" s="18" t="s">
        <v>114</v>
      </c>
      <c r="B22" t="s">
        <v>230</v>
      </c>
      <c r="C22" s="1" t="s">
        <v>236</v>
      </c>
      <c r="D22">
        <v>110</v>
      </c>
      <c r="E22">
        <v>5.22</v>
      </c>
      <c r="H22" s="18" t="s">
        <v>32</v>
      </c>
      <c r="I22" t="s">
        <v>228</v>
      </c>
      <c r="J22">
        <f>(64+66+80+53+88)/5</f>
        <v>70.2</v>
      </c>
      <c r="K22" s="17">
        <f t="shared" si="0"/>
        <v>178.30800000000002</v>
      </c>
    </row>
    <row r="23" spans="1:11" x14ac:dyDescent="0.3">
      <c r="A23" s="18" t="s">
        <v>115</v>
      </c>
      <c r="B23" t="s">
        <v>229</v>
      </c>
      <c r="C23" s="1" t="s">
        <v>236</v>
      </c>
      <c r="D23">
        <v>34</v>
      </c>
      <c r="E23">
        <v>3.72</v>
      </c>
      <c r="H23" s="18" t="s">
        <v>33</v>
      </c>
      <c r="I23" t="s">
        <v>106</v>
      </c>
      <c r="J23">
        <f>(109+68+94+71+100)/5</f>
        <v>88.4</v>
      </c>
      <c r="K23" s="17">
        <f t="shared" si="0"/>
        <v>224.53600000000003</v>
      </c>
    </row>
    <row r="24" spans="1:11" x14ac:dyDescent="0.3">
      <c r="A24" s="18" t="s">
        <v>116</v>
      </c>
      <c r="B24" t="s">
        <v>6</v>
      </c>
      <c r="C24" s="1" t="s">
        <v>236</v>
      </c>
      <c r="D24">
        <v>89</v>
      </c>
      <c r="E24">
        <v>3.2</v>
      </c>
      <c r="H24" s="18" t="s">
        <v>34</v>
      </c>
      <c r="I24" t="s">
        <v>233</v>
      </c>
      <c r="J24">
        <f>(59+72+65+72+66)/5</f>
        <v>66.8</v>
      </c>
      <c r="K24" s="17">
        <f t="shared" si="0"/>
        <v>169.672</v>
      </c>
    </row>
    <row r="25" spans="1:11" x14ac:dyDescent="0.3">
      <c r="A25" s="18" t="s">
        <v>117</v>
      </c>
      <c r="B25" t="s">
        <v>232</v>
      </c>
      <c r="C25" s="1" t="s">
        <v>236</v>
      </c>
      <c r="D25">
        <v>87</v>
      </c>
      <c r="E25">
        <v>5.26</v>
      </c>
      <c r="H25" s="18" t="s">
        <v>35</v>
      </c>
      <c r="I25" t="s">
        <v>6</v>
      </c>
      <c r="J25">
        <f>(57+104+103+84+96)/5</f>
        <v>88.8</v>
      </c>
      <c r="K25" s="17">
        <f t="shared" si="0"/>
        <v>225.55199999999999</v>
      </c>
    </row>
    <row r="26" spans="1:11" x14ac:dyDescent="0.3">
      <c r="A26" s="18" t="s">
        <v>118</v>
      </c>
      <c r="B26" t="s">
        <v>145</v>
      </c>
      <c r="C26" s="1" t="s">
        <v>236</v>
      </c>
      <c r="D26">
        <v>102</v>
      </c>
      <c r="E26">
        <v>4.2</v>
      </c>
      <c r="H26" s="18" t="s">
        <v>36</v>
      </c>
      <c r="I26" t="s">
        <v>230</v>
      </c>
      <c r="J26">
        <f>(60+83+42+86+61)/5</f>
        <v>66.400000000000006</v>
      </c>
      <c r="K26" s="17">
        <f t="shared" si="0"/>
        <v>168.65600000000001</v>
      </c>
    </row>
    <row r="27" spans="1:11" x14ac:dyDescent="0.3">
      <c r="A27" s="20" t="s">
        <v>119</v>
      </c>
      <c r="B27" t="s">
        <v>235</v>
      </c>
      <c r="C27" s="1" t="s">
        <v>236</v>
      </c>
      <c r="D27">
        <v>92</v>
      </c>
      <c r="E27">
        <v>3.91</v>
      </c>
      <c r="H27" s="20" t="s">
        <v>43</v>
      </c>
      <c r="I27" t="s">
        <v>233</v>
      </c>
      <c r="J27">
        <f>(46+56+57+68+64)/5</f>
        <v>58.2</v>
      </c>
      <c r="K27" s="17">
        <f t="shared" si="0"/>
        <v>147.828</v>
      </c>
    </row>
    <row r="28" spans="1:11" x14ac:dyDescent="0.3">
      <c r="A28" s="20" t="s">
        <v>120</v>
      </c>
      <c r="B28" t="s">
        <v>6</v>
      </c>
      <c r="C28" s="1" t="s">
        <v>236</v>
      </c>
      <c r="D28">
        <v>111</v>
      </c>
      <c r="E28">
        <v>5.96</v>
      </c>
      <c r="H28" s="20" t="s">
        <v>44</v>
      </c>
      <c r="I28" t="s">
        <v>230</v>
      </c>
      <c r="J28">
        <f>(44+52+72+71+74)/5</f>
        <v>62.6</v>
      </c>
      <c r="K28" s="17">
        <f t="shared" si="0"/>
        <v>159.00400000000002</v>
      </c>
    </row>
    <row r="29" spans="1:11" x14ac:dyDescent="0.3">
      <c r="A29" s="20" t="s">
        <v>121</v>
      </c>
      <c r="B29" t="s">
        <v>106</v>
      </c>
      <c r="C29" s="1" t="s">
        <v>236</v>
      </c>
      <c r="D29">
        <v>109</v>
      </c>
      <c r="E29">
        <v>5.26</v>
      </c>
      <c r="H29" s="20" t="s">
        <v>48</v>
      </c>
      <c r="I29" t="s">
        <v>228</v>
      </c>
      <c r="J29">
        <f>(53+62+50+51+85)/5</f>
        <v>60.2</v>
      </c>
      <c r="K29" s="17">
        <f t="shared" si="0"/>
        <v>152.90800000000002</v>
      </c>
    </row>
    <row r="30" spans="1:11" x14ac:dyDescent="0.3">
      <c r="A30" s="20" t="s">
        <v>122</v>
      </c>
      <c r="B30" t="s">
        <v>229</v>
      </c>
      <c r="C30" s="1" t="s">
        <v>236</v>
      </c>
      <c r="D30">
        <v>98</v>
      </c>
      <c r="E30">
        <v>4.54</v>
      </c>
      <c r="H30" s="20" t="s">
        <v>47</v>
      </c>
      <c r="I30" t="s">
        <v>231</v>
      </c>
      <c r="J30">
        <f>(70+54+84+56+88)/5</f>
        <v>70.400000000000006</v>
      </c>
      <c r="K30" s="17">
        <f t="shared" si="0"/>
        <v>178.81600000000003</v>
      </c>
    </row>
    <row r="31" spans="1:11" x14ac:dyDescent="0.3">
      <c r="A31" s="20" t="s">
        <v>123</v>
      </c>
      <c r="B31" t="s">
        <v>230</v>
      </c>
      <c r="C31" s="1" t="s">
        <v>236</v>
      </c>
      <c r="D31">
        <v>117</v>
      </c>
      <c r="E31">
        <v>4.16</v>
      </c>
      <c r="H31" s="20" t="s">
        <v>46</v>
      </c>
      <c r="I31" t="s">
        <v>145</v>
      </c>
      <c r="J31">
        <f>(77+51+48+96+79)/5</f>
        <v>70.2</v>
      </c>
      <c r="K31" s="17">
        <f t="shared" si="0"/>
        <v>178.30800000000002</v>
      </c>
    </row>
    <row r="32" spans="1:11" x14ac:dyDescent="0.3">
      <c r="A32" s="20" t="s">
        <v>124</v>
      </c>
      <c r="B32" t="s">
        <v>228</v>
      </c>
      <c r="C32" s="1" t="s">
        <v>236</v>
      </c>
      <c r="D32">
        <v>129</v>
      </c>
      <c r="E32">
        <v>4.96</v>
      </c>
      <c r="H32" s="20" t="s">
        <v>45</v>
      </c>
      <c r="I32" t="s">
        <v>229</v>
      </c>
      <c r="J32">
        <f>(86+90+37+85+70)/5</f>
        <v>73.599999999999994</v>
      </c>
      <c r="K32" s="17">
        <f t="shared" si="0"/>
        <v>186.94399999999999</v>
      </c>
    </row>
    <row r="33" spans="1:11" x14ac:dyDescent="0.3">
      <c r="A33" s="20" t="s">
        <v>125</v>
      </c>
      <c r="B33" t="s">
        <v>231</v>
      </c>
      <c r="C33" s="1" t="s">
        <v>236</v>
      </c>
      <c r="D33">
        <v>105</v>
      </c>
      <c r="E33">
        <v>3.34</v>
      </c>
      <c r="H33" s="20" t="s">
        <v>37</v>
      </c>
      <c r="I33" t="s">
        <v>7</v>
      </c>
      <c r="J33">
        <f>(64+68+60+81+76)/5</f>
        <v>69.8</v>
      </c>
      <c r="K33" s="17">
        <f t="shared" si="0"/>
        <v>177.292</v>
      </c>
    </row>
    <row r="34" spans="1:11" x14ac:dyDescent="0.3">
      <c r="A34" s="20" t="s">
        <v>126</v>
      </c>
      <c r="B34" t="s">
        <v>145</v>
      </c>
      <c r="C34" s="1" t="s">
        <v>236</v>
      </c>
      <c r="D34">
        <v>110</v>
      </c>
      <c r="E34">
        <v>3.1</v>
      </c>
      <c r="H34" s="20" t="s">
        <v>38</v>
      </c>
      <c r="I34" t="s">
        <v>234</v>
      </c>
      <c r="J34">
        <f>(57+53+54+59+62)/5</f>
        <v>57</v>
      </c>
      <c r="K34" s="17">
        <f t="shared" si="0"/>
        <v>144.78</v>
      </c>
    </row>
    <row r="35" spans="1:11" x14ac:dyDescent="0.3">
      <c r="A35" s="20" t="s">
        <v>127</v>
      </c>
      <c r="B35" t="s">
        <v>233</v>
      </c>
      <c r="C35" s="1" t="s">
        <v>236</v>
      </c>
      <c r="D35">
        <v>45</v>
      </c>
      <c r="E35">
        <v>2.34</v>
      </c>
      <c r="H35" s="20" t="s">
        <v>39</v>
      </c>
      <c r="I35" t="s">
        <v>235</v>
      </c>
      <c r="J35">
        <f>(64+53+54+59+62)/5</f>
        <v>58.4</v>
      </c>
      <c r="K35" s="17">
        <f t="shared" si="0"/>
        <v>148.33599999999998</v>
      </c>
    </row>
    <row r="36" spans="1:11" x14ac:dyDescent="0.3">
      <c r="A36" s="20" t="s">
        <v>128</v>
      </c>
      <c r="B36" t="s">
        <v>7</v>
      </c>
      <c r="C36" s="1" t="s">
        <v>236</v>
      </c>
      <c r="D36">
        <v>52</v>
      </c>
      <c r="E36">
        <v>2.84</v>
      </c>
      <c r="H36" s="20" t="s">
        <v>40</v>
      </c>
      <c r="I36" t="s">
        <v>6</v>
      </c>
      <c r="J36">
        <f>(70+90+73+53+76)/5</f>
        <v>72.400000000000006</v>
      </c>
      <c r="K36" s="17">
        <f t="shared" si="0"/>
        <v>183.89600000000002</v>
      </c>
    </row>
    <row r="37" spans="1:11" x14ac:dyDescent="0.3">
      <c r="A37" s="20" t="s">
        <v>129</v>
      </c>
      <c r="B37" t="s">
        <v>232</v>
      </c>
      <c r="C37" s="1" t="s">
        <v>236</v>
      </c>
      <c r="D37">
        <v>145</v>
      </c>
      <c r="E37">
        <v>3.16</v>
      </c>
      <c r="H37" s="20" t="s">
        <v>41</v>
      </c>
      <c r="I37" t="s">
        <v>106</v>
      </c>
      <c r="J37">
        <f>(55+71+45+44+51)/5</f>
        <v>53.2</v>
      </c>
      <c r="K37" s="17">
        <f t="shared" si="0"/>
        <v>135.12800000000001</v>
      </c>
    </row>
    <row r="38" spans="1:11" x14ac:dyDescent="0.3">
      <c r="A38" s="20" t="s">
        <v>130</v>
      </c>
      <c r="B38" t="s">
        <v>234</v>
      </c>
      <c r="C38" s="1" t="s">
        <v>236</v>
      </c>
      <c r="D38">
        <v>32</v>
      </c>
      <c r="E38">
        <v>2.1</v>
      </c>
      <c r="H38" s="20" t="s">
        <v>42</v>
      </c>
      <c r="I38" t="s">
        <v>232</v>
      </c>
      <c r="J38">
        <f>(59+59+65+86+74)/5</f>
        <v>68.599999999999994</v>
      </c>
      <c r="K38" s="17">
        <f t="shared" si="0"/>
        <v>174.244</v>
      </c>
    </row>
    <row r="39" spans="1:11" x14ac:dyDescent="0.3">
      <c r="A39" s="21" t="s">
        <v>131</v>
      </c>
      <c r="B39" t="s">
        <v>234</v>
      </c>
      <c r="C39" s="1" t="s">
        <v>236</v>
      </c>
      <c r="D39">
        <v>41</v>
      </c>
      <c r="E39">
        <v>1.1399999999999999</v>
      </c>
      <c r="H39" s="21" t="s">
        <v>49</v>
      </c>
      <c r="I39" t="s">
        <v>232</v>
      </c>
      <c r="J39">
        <f>(38+32+28+28+42)/5</f>
        <v>33.6</v>
      </c>
      <c r="K39" s="17">
        <f t="shared" si="0"/>
        <v>85.344000000000008</v>
      </c>
    </row>
    <row r="40" spans="1:11" x14ac:dyDescent="0.3">
      <c r="A40" s="21" t="s">
        <v>132</v>
      </c>
      <c r="B40" t="s">
        <v>145</v>
      </c>
      <c r="C40" s="1" t="s">
        <v>236</v>
      </c>
      <c r="D40">
        <v>55</v>
      </c>
      <c r="E40">
        <v>2.2000000000000002</v>
      </c>
      <c r="H40" s="21" t="s">
        <v>50</v>
      </c>
      <c r="I40" t="s">
        <v>231</v>
      </c>
      <c r="J40">
        <f>(53+67+62+63+68)/5</f>
        <v>62.6</v>
      </c>
      <c r="K40" s="17">
        <f t="shared" si="0"/>
        <v>159.00400000000002</v>
      </c>
    </row>
    <row r="41" spans="1:11" x14ac:dyDescent="0.3">
      <c r="A41" s="21" t="s">
        <v>133</v>
      </c>
      <c r="B41" t="s">
        <v>232</v>
      </c>
      <c r="C41" s="1" t="s">
        <v>236</v>
      </c>
      <c r="D41">
        <v>108</v>
      </c>
      <c r="E41">
        <v>2.52</v>
      </c>
      <c r="H41" s="21" t="s">
        <v>51</v>
      </c>
      <c r="I41" t="s">
        <v>234</v>
      </c>
      <c r="J41">
        <f>(44+45+49+36+51)/5</f>
        <v>45</v>
      </c>
      <c r="K41" s="17">
        <f t="shared" si="0"/>
        <v>114.3</v>
      </c>
    </row>
    <row r="42" spans="1:11" x14ac:dyDescent="0.3">
      <c r="A42" s="21" t="s">
        <v>134</v>
      </c>
      <c r="B42" t="s">
        <v>106</v>
      </c>
      <c r="C42" s="1" t="s">
        <v>236</v>
      </c>
      <c r="D42">
        <v>49</v>
      </c>
      <c r="E42">
        <v>2.06</v>
      </c>
      <c r="H42" s="21" t="s">
        <v>52</v>
      </c>
      <c r="I42" t="s">
        <v>235</v>
      </c>
      <c r="J42">
        <f>(61+58+74+50+53)/5</f>
        <v>59.2</v>
      </c>
      <c r="K42" s="17">
        <f t="shared" si="0"/>
        <v>150.36800000000002</v>
      </c>
    </row>
    <row r="43" spans="1:11" x14ac:dyDescent="0.3">
      <c r="A43" s="21" t="s">
        <v>135</v>
      </c>
      <c r="B43" t="s">
        <v>233</v>
      </c>
      <c r="C43" s="1" t="s">
        <v>236</v>
      </c>
      <c r="D43">
        <v>105</v>
      </c>
      <c r="E43">
        <v>2.82</v>
      </c>
      <c r="H43" s="21" t="s">
        <v>53</v>
      </c>
      <c r="I43" t="s">
        <v>106</v>
      </c>
      <c r="J43">
        <f>(45+54+47+46+55)/5</f>
        <v>49.4</v>
      </c>
      <c r="K43" s="17">
        <f t="shared" si="0"/>
        <v>125.476</v>
      </c>
    </row>
    <row r="44" spans="1:11" x14ac:dyDescent="0.3">
      <c r="A44" s="21" t="s">
        <v>136</v>
      </c>
      <c r="B44" t="s">
        <v>229</v>
      </c>
      <c r="C44" s="1" t="s">
        <v>236</v>
      </c>
      <c r="D44">
        <v>99</v>
      </c>
      <c r="E44">
        <v>3.76</v>
      </c>
      <c r="H44" s="21" t="s">
        <v>54</v>
      </c>
      <c r="I44" t="s">
        <v>230</v>
      </c>
      <c r="J44">
        <f>(43+59+64+56+62)/5</f>
        <v>56.8</v>
      </c>
      <c r="K44" s="17">
        <f t="shared" si="0"/>
        <v>144.27199999999999</v>
      </c>
    </row>
    <row r="45" spans="1:11" x14ac:dyDescent="0.3">
      <c r="A45" s="21" t="s">
        <v>137</v>
      </c>
      <c r="B45" t="s">
        <v>235</v>
      </c>
      <c r="C45" s="1" t="s">
        <v>236</v>
      </c>
      <c r="D45">
        <v>174</v>
      </c>
      <c r="E45">
        <v>3.42</v>
      </c>
      <c r="H45" s="21" t="s">
        <v>55</v>
      </c>
      <c r="I45" t="s">
        <v>229</v>
      </c>
      <c r="J45">
        <f>(38+47+50+64+53)/5</f>
        <v>50.4</v>
      </c>
      <c r="K45" s="17">
        <f t="shared" si="0"/>
        <v>128.01599999999999</v>
      </c>
    </row>
    <row r="46" spans="1:11" x14ac:dyDescent="0.3">
      <c r="A46" s="21" t="s">
        <v>138</v>
      </c>
      <c r="B46" t="s">
        <v>6</v>
      </c>
      <c r="C46" s="1" t="s">
        <v>236</v>
      </c>
      <c r="D46">
        <v>127</v>
      </c>
      <c r="E46">
        <v>3.22</v>
      </c>
      <c r="H46" s="21" t="s">
        <v>56</v>
      </c>
      <c r="I46" t="s">
        <v>7</v>
      </c>
      <c r="J46">
        <f>(63+69+70+63+64)/5</f>
        <v>65.8</v>
      </c>
      <c r="K46" s="17">
        <f t="shared" si="0"/>
        <v>167.13200000000001</v>
      </c>
    </row>
    <row r="47" spans="1:11" x14ac:dyDescent="0.3">
      <c r="A47" s="21" t="s">
        <v>139</v>
      </c>
      <c r="B47" t="s">
        <v>228</v>
      </c>
      <c r="C47" s="1" t="s">
        <v>236</v>
      </c>
      <c r="D47">
        <v>102</v>
      </c>
      <c r="E47">
        <v>3.34</v>
      </c>
      <c r="H47" s="21" t="s">
        <v>57</v>
      </c>
      <c r="I47" t="s">
        <v>228</v>
      </c>
      <c r="J47">
        <f>(57+79+60+71+66)/5</f>
        <v>66.599999999999994</v>
      </c>
      <c r="K47" s="17">
        <f t="shared" si="0"/>
        <v>169.16399999999999</v>
      </c>
    </row>
    <row r="48" spans="1:11" x14ac:dyDescent="0.3">
      <c r="A48" s="21" t="s">
        <v>140</v>
      </c>
      <c r="B48" t="s">
        <v>231</v>
      </c>
      <c r="C48" s="1" t="s">
        <v>236</v>
      </c>
      <c r="D48">
        <v>76</v>
      </c>
      <c r="E48">
        <v>2.78</v>
      </c>
      <c r="H48" s="21" t="s">
        <v>58</v>
      </c>
      <c r="I48" t="s">
        <v>145</v>
      </c>
      <c r="J48">
        <f>(62+67+39+56+53)/5</f>
        <v>55.4</v>
      </c>
      <c r="K48" s="17">
        <f t="shared" si="0"/>
        <v>140.71600000000001</v>
      </c>
    </row>
    <row r="49" spans="1:11" x14ac:dyDescent="0.3">
      <c r="A49" s="21" t="s">
        <v>141</v>
      </c>
      <c r="B49" t="s">
        <v>7</v>
      </c>
      <c r="C49" s="1" t="s">
        <v>236</v>
      </c>
      <c r="D49">
        <v>99</v>
      </c>
      <c r="E49">
        <v>3.38</v>
      </c>
      <c r="H49" s="21" t="s">
        <v>59</v>
      </c>
      <c r="I49" t="s">
        <v>6</v>
      </c>
      <c r="J49">
        <f>(68+69+65+65+68)/5</f>
        <v>67</v>
      </c>
      <c r="K49" s="17">
        <f t="shared" si="0"/>
        <v>170.18</v>
      </c>
    </row>
    <row r="50" spans="1:11" x14ac:dyDescent="0.3">
      <c r="A50" s="21" t="s">
        <v>142</v>
      </c>
      <c r="B50" t="s">
        <v>230</v>
      </c>
      <c r="C50" s="1" t="s">
        <v>236</v>
      </c>
      <c r="D50">
        <v>97</v>
      </c>
      <c r="E50">
        <v>2.42</v>
      </c>
      <c r="H50" s="21" t="s">
        <v>60</v>
      </c>
      <c r="I50" t="s">
        <v>233</v>
      </c>
      <c r="J50">
        <f>(52+55+56+58+56)/5</f>
        <v>55.4</v>
      </c>
      <c r="K50" s="17">
        <f t="shared" si="0"/>
        <v>140.71600000000001</v>
      </c>
    </row>
    <row r="51" spans="1:11" x14ac:dyDescent="0.3">
      <c r="A51" s="22" t="s">
        <v>72</v>
      </c>
      <c r="B51" t="s">
        <v>237</v>
      </c>
      <c r="C51" s="1" t="s">
        <v>236</v>
      </c>
      <c r="D51">
        <v>46</v>
      </c>
      <c r="E51">
        <v>2.08</v>
      </c>
      <c r="H51" s="22" t="s">
        <v>72</v>
      </c>
      <c r="I51" t="s">
        <v>237</v>
      </c>
      <c r="J51">
        <f>(47+81+60+67+68)/5</f>
        <v>64.599999999999994</v>
      </c>
      <c r="K51" s="17">
        <f t="shared" si="0"/>
        <v>164.08399999999997</v>
      </c>
    </row>
    <row r="52" spans="1:11" x14ac:dyDescent="0.3">
      <c r="A52" s="22" t="s">
        <v>73</v>
      </c>
      <c r="B52" t="s">
        <v>238</v>
      </c>
      <c r="C52" s="1" t="s">
        <v>236</v>
      </c>
      <c r="D52">
        <v>59</v>
      </c>
      <c r="E52">
        <v>1.92</v>
      </c>
      <c r="H52" s="22" t="s">
        <v>73</v>
      </c>
      <c r="I52" t="s">
        <v>238</v>
      </c>
      <c r="J52">
        <f>(59+65+67+81+72)/5</f>
        <v>68.8</v>
      </c>
      <c r="K52" s="17">
        <f t="shared" si="0"/>
        <v>174.75199999999998</v>
      </c>
    </row>
    <row r="53" spans="1:11" x14ac:dyDescent="0.3">
      <c r="A53" s="22" t="s">
        <v>74</v>
      </c>
      <c r="B53" t="s">
        <v>239</v>
      </c>
      <c r="C53" s="1" t="s">
        <v>236</v>
      </c>
      <c r="D53">
        <v>85</v>
      </c>
      <c r="E53">
        <v>2.46</v>
      </c>
      <c r="H53" s="22" t="s">
        <v>74</v>
      </c>
      <c r="I53" t="s">
        <v>239</v>
      </c>
      <c r="J53">
        <f>(52+57+67+78+81)/5</f>
        <v>67</v>
      </c>
      <c r="K53" s="17">
        <f t="shared" si="0"/>
        <v>170.18</v>
      </c>
    </row>
    <row r="54" spans="1:11" x14ac:dyDescent="0.3">
      <c r="A54" s="22" t="s">
        <v>75</v>
      </c>
      <c r="B54" t="s">
        <v>240</v>
      </c>
      <c r="C54" s="1" t="s">
        <v>236</v>
      </c>
      <c r="D54">
        <v>166</v>
      </c>
      <c r="E54">
        <v>3.84</v>
      </c>
      <c r="H54" s="22" t="s">
        <v>75</v>
      </c>
      <c r="I54" t="s">
        <v>240</v>
      </c>
      <c r="J54">
        <f>(66+70+68+65+71)/5</f>
        <v>68</v>
      </c>
      <c r="K54" s="17">
        <f t="shared" si="0"/>
        <v>172.72</v>
      </c>
    </row>
    <row r="55" spans="1:11" x14ac:dyDescent="0.3">
      <c r="A55" s="22" t="s">
        <v>76</v>
      </c>
      <c r="B55" t="s">
        <v>241</v>
      </c>
      <c r="C55" s="1" t="s">
        <v>236</v>
      </c>
      <c r="D55">
        <v>128</v>
      </c>
      <c r="E55">
        <v>3.22</v>
      </c>
      <c r="H55" s="22" t="s">
        <v>76</v>
      </c>
      <c r="I55" t="s">
        <v>241</v>
      </c>
      <c r="J55">
        <f>(71+53+46+48+53)/5</f>
        <v>54.2</v>
      </c>
      <c r="K55" s="17">
        <f t="shared" si="0"/>
        <v>137.66800000000001</v>
      </c>
    </row>
    <row r="56" spans="1:11" x14ac:dyDescent="0.3">
      <c r="A56" s="22" t="s">
        <v>77</v>
      </c>
      <c r="B56" t="s">
        <v>242</v>
      </c>
      <c r="C56" s="1" t="s">
        <v>236</v>
      </c>
      <c r="D56">
        <v>84</v>
      </c>
      <c r="E56">
        <v>3.28</v>
      </c>
      <c r="H56" s="22" t="s">
        <v>77</v>
      </c>
      <c r="I56" t="s">
        <v>242</v>
      </c>
      <c r="J56">
        <f>(72+76+63+52+59)/5</f>
        <v>64.400000000000006</v>
      </c>
      <c r="K56" s="17">
        <f t="shared" si="0"/>
        <v>163.57600000000002</v>
      </c>
    </row>
    <row r="57" spans="1:11" x14ac:dyDescent="0.3">
      <c r="A57" s="22" t="s">
        <v>78</v>
      </c>
      <c r="B57" t="s">
        <v>243</v>
      </c>
      <c r="C57" s="1" t="s">
        <v>236</v>
      </c>
      <c r="D57">
        <v>194</v>
      </c>
      <c r="E57">
        <v>3.94</v>
      </c>
      <c r="H57" s="22" t="s">
        <v>78</v>
      </c>
      <c r="I57" t="s">
        <v>243</v>
      </c>
      <c r="J57">
        <f>(71+43+39+53+54)/5</f>
        <v>52</v>
      </c>
      <c r="K57" s="17">
        <f t="shared" si="0"/>
        <v>132.08000000000001</v>
      </c>
    </row>
    <row r="58" spans="1:11" x14ac:dyDescent="0.3">
      <c r="A58" s="22" t="s">
        <v>79</v>
      </c>
      <c r="B58" t="s">
        <v>244</v>
      </c>
      <c r="C58" s="1" t="s">
        <v>236</v>
      </c>
      <c r="D58">
        <v>108</v>
      </c>
      <c r="E58">
        <v>3.14</v>
      </c>
      <c r="H58" s="22" t="s">
        <v>79</v>
      </c>
      <c r="I58" t="s">
        <v>244</v>
      </c>
      <c r="J58">
        <f>(30+59+76+66+60)/5</f>
        <v>58.2</v>
      </c>
      <c r="K58" s="17">
        <f t="shared" si="0"/>
        <v>147.828</v>
      </c>
    </row>
    <row r="59" spans="1:11" x14ac:dyDescent="0.3">
      <c r="A59" s="23" t="s">
        <v>80</v>
      </c>
      <c r="B59" t="s">
        <v>244</v>
      </c>
      <c r="C59" s="1" t="s">
        <v>236</v>
      </c>
      <c r="D59">
        <v>156</v>
      </c>
      <c r="E59">
        <v>3.48</v>
      </c>
      <c r="H59" s="26" t="s">
        <v>80</v>
      </c>
      <c r="I59" t="s">
        <v>244</v>
      </c>
      <c r="J59">
        <f>(53+63+58+67+57)/5</f>
        <v>59.6</v>
      </c>
      <c r="K59" s="17">
        <f t="shared" si="0"/>
        <v>151.38400000000001</v>
      </c>
    </row>
    <row r="60" spans="1:11" x14ac:dyDescent="0.3">
      <c r="A60" s="23" t="s">
        <v>81</v>
      </c>
      <c r="B60" t="s">
        <v>240</v>
      </c>
      <c r="C60" s="1" t="s">
        <v>236</v>
      </c>
      <c r="D60">
        <v>32</v>
      </c>
      <c r="E60">
        <v>1.78</v>
      </c>
      <c r="H60" s="26" t="s">
        <v>81</v>
      </c>
      <c r="I60" t="s">
        <v>240</v>
      </c>
      <c r="J60">
        <f>(61+60+64+55+66)/5</f>
        <v>61.2</v>
      </c>
      <c r="K60" s="17">
        <f t="shared" si="0"/>
        <v>155.44800000000001</v>
      </c>
    </row>
    <row r="61" spans="1:11" x14ac:dyDescent="0.3">
      <c r="A61" s="23" t="s">
        <v>82</v>
      </c>
      <c r="B61" t="s">
        <v>237</v>
      </c>
      <c r="C61" s="1" t="s">
        <v>236</v>
      </c>
      <c r="D61">
        <v>61</v>
      </c>
      <c r="E61">
        <v>2.88</v>
      </c>
      <c r="H61" s="26" t="s">
        <v>82</v>
      </c>
      <c r="I61" t="s">
        <v>237</v>
      </c>
      <c r="J61">
        <f>(70+82+72+55+66)/5</f>
        <v>69</v>
      </c>
      <c r="K61" s="17">
        <f t="shared" si="0"/>
        <v>175.26</v>
      </c>
    </row>
    <row r="62" spans="1:11" x14ac:dyDescent="0.3">
      <c r="A62" s="23" t="s">
        <v>83</v>
      </c>
      <c r="B62" t="s">
        <v>242</v>
      </c>
      <c r="C62" s="1" t="s">
        <v>236</v>
      </c>
      <c r="D62">
        <v>83</v>
      </c>
      <c r="E62">
        <v>1.82</v>
      </c>
      <c r="H62" s="26" t="s">
        <v>83</v>
      </c>
      <c r="I62" t="s">
        <v>242</v>
      </c>
      <c r="J62">
        <f>(40+41+46+51+56)/5</f>
        <v>46.8</v>
      </c>
      <c r="K62" s="17">
        <f t="shared" si="0"/>
        <v>118.872</v>
      </c>
    </row>
    <row r="63" spans="1:11" x14ac:dyDescent="0.3">
      <c r="A63" s="23" t="s">
        <v>84</v>
      </c>
      <c r="B63" t="s">
        <v>238</v>
      </c>
      <c r="C63" s="1" t="s">
        <v>236</v>
      </c>
      <c r="D63">
        <v>40</v>
      </c>
      <c r="E63">
        <v>2.52</v>
      </c>
      <c r="H63" s="26" t="s">
        <v>84</v>
      </c>
      <c r="I63" t="s">
        <v>238</v>
      </c>
      <c r="J63">
        <f>(55+87+76+92+84)/5</f>
        <v>78.8</v>
      </c>
      <c r="K63" s="17">
        <f t="shared" si="0"/>
        <v>200.15199999999999</v>
      </c>
    </row>
    <row r="64" spans="1:11" x14ac:dyDescent="0.3">
      <c r="A64" s="23" t="s">
        <v>85</v>
      </c>
      <c r="B64" t="s">
        <v>241</v>
      </c>
      <c r="C64" s="1" t="s">
        <v>236</v>
      </c>
      <c r="D64">
        <v>20</v>
      </c>
      <c r="E64">
        <v>1.48</v>
      </c>
      <c r="H64" s="26" t="s">
        <v>85</v>
      </c>
      <c r="I64" t="s">
        <v>241</v>
      </c>
      <c r="J64">
        <f>(78+37+56+61+79)/5</f>
        <v>62.2</v>
      </c>
      <c r="K64" s="17">
        <f t="shared" si="0"/>
        <v>157.988</v>
      </c>
    </row>
    <row r="65" spans="1:11" x14ac:dyDescent="0.3">
      <c r="A65" s="23" t="s">
        <v>86</v>
      </c>
      <c r="B65" t="s">
        <v>243</v>
      </c>
      <c r="C65" s="1" t="s">
        <v>236</v>
      </c>
      <c r="D65">
        <v>72</v>
      </c>
      <c r="E65">
        <v>2.62</v>
      </c>
      <c r="H65" s="26" t="s">
        <v>86</v>
      </c>
      <c r="I65" t="s">
        <v>243</v>
      </c>
      <c r="J65">
        <f>(63+59+61+38+69)/5</f>
        <v>58</v>
      </c>
      <c r="K65" s="17">
        <f t="shared" si="0"/>
        <v>147.32</v>
      </c>
    </row>
    <row r="66" spans="1:11" x14ac:dyDescent="0.3">
      <c r="A66" s="23" t="s">
        <v>87</v>
      </c>
      <c r="B66" t="s">
        <v>239</v>
      </c>
      <c r="C66" s="1" t="s">
        <v>236</v>
      </c>
      <c r="D66">
        <v>73</v>
      </c>
      <c r="E66">
        <v>3.08</v>
      </c>
      <c r="H66" s="26" t="s">
        <v>87</v>
      </c>
      <c r="I66" t="s">
        <v>239</v>
      </c>
      <c r="J66">
        <f>(61+83+84+82+61)/5</f>
        <v>74.2</v>
      </c>
      <c r="K66" s="17">
        <f t="shared" si="0"/>
        <v>188.46800000000002</v>
      </c>
    </row>
    <row r="67" spans="1:11" x14ac:dyDescent="0.3">
      <c r="A67" s="24" t="s">
        <v>143</v>
      </c>
      <c r="B67" t="s">
        <v>239</v>
      </c>
      <c r="C67" s="1" t="s">
        <v>236</v>
      </c>
      <c r="D67">
        <v>45</v>
      </c>
      <c r="E67">
        <v>1.96</v>
      </c>
      <c r="H67" s="24" t="s">
        <v>143</v>
      </c>
      <c r="I67" t="s">
        <v>239</v>
      </c>
      <c r="J67">
        <f>(65+63+80+65+46)/5</f>
        <v>63.8</v>
      </c>
      <c r="K67" s="17">
        <f t="shared" si="0"/>
        <v>162.05199999999999</v>
      </c>
    </row>
    <row r="68" spans="1:11" x14ac:dyDescent="0.3">
      <c r="A68" s="24" t="s">
        <v>88</v>
      </c>
      <c r="B68" t="s">
        <v>240</v>
      </c>
      <c r="C68" s="1" t="s">
        <v>236</v>
      </c>
      <c r="D68">
        <v>116</v>
      </c>
      <c r="E68">
        <v>4.26</v>
      </c>
      <c r="H68" s="24" t="s">
        <v>88</v>
      </c>
      <c r="I68" t="s">
        <v>240</v>
      </c>
      <c r="J68">
        <f>(65+84+76+72+70)/5</f>
        <v>73.400000000000006</v>
      </c>
      <c r="K68" s="17">
        <f t="shared" ref="K68:K74" si="1">J68*2.54</f>
        <v>186.43600000000001</v>
      </c>
    </row>
    <row r="69" spans="1:11" x14ac:dyDescent="0.3">
      <c r="A69" s="24" t="s">
        <v>89</v>
      </c>
      <c r="B69" t="s">
        <v>238</v>
      </c>
      <c r="C69" s="1" t="s">
        <v>236</v>
      </c>
      <c r="D69">
        <v>69</v>
      </c>
      <c r="E69">
        <v>3.83</v>
      </c>
      <c r="H69" s="24" t="s">
        <v>89</v>
      </c>
      <c r="I69" t="s">
        <v>238</v>
      </c>
      <c r="J69">
        <f>(94+57+85+89+72)/5</f>
        <v>79.400000000000006</v>
      </c>
      <c r="K69" s="17">
        <f t="shared" si="1"/>
        <v>201.67600000000002</v>
      </c>
    </row>
    <row r="70" spans="1:11" x14ac:dyDescent="0.3">
      <c r="A70" s="24" t="s">
        <v>90</v>
      </c>
      <c r="B70" t="s">
        <v>242</v>
      </c>
      <c r="C70" s="1" t="s">
        <v>236</v>
      </c>
      <c r="D70">
        <v>93</v>
      </c>
      <c r="E70">
        <v>3.76</v>
      </c>
      <c r="H70" s="24" t="s">
        <v>90</v>
      </c>
      <c r="I70" t="s">
        <v>242</v>
      </c>
      <c r="J70">
        <f>(35+58+60+69+70)/5</f>
        <v>58.4</v>
      </c>
      <c r="K70" s="17">
        <f t="shared" si="1"/>
        <v>148.33599999999998</v>
      </c>
    </row>
    <row r="71" spans="1:11" x14ac:dyDescent="0.3">
      <c r="A71" s="24" t="s">
        <v>91</v>
      </c>
      <c r="B71" t="s">
        <v>243</v>
      </c>
      <c r="C71" s="1" t="s">
        <v>236</v>
      </c>
      <c r="D71">
        <v>66</v>
      </c>
      <c r="E71">
        <v>3.36</v>
      </c>
      <c r="H71" s="24" t="s">
        <v>91</v>
      </c>
      <c r="I71" t="s">
        <v>243</v>
      </c>
      <c r="J71">
        <f>(50+53+63+62+93)/5</f>
        <v>64.2</v>
      </c>
      <c r="K71" s="17">
        <f t="shared" si="1"/>
        <v>163.06800000000001</v>
      </c>
    </row>
    <row r="72" spans="1:11" x14ac:dyDescent="0.3">
      <c r="A72" s="24" t="s">
        <v>92</v>
      </c>
      <c r="B72" t="s">
        <v>244</v>
      </c>
      <c r="C72" s="1" t="s">
        <v>236</v>
      </c>
      <c r="D72">
        <v>116</v>
      </c>
      <c r="E72">
        <v>3.72</v>
      </c>
      <c r="H72" s="24" t="s">
        <v>92</v>
      </c>
      <c r="I72" t="s">
        <v>244</v>
      </c>
      <c r="J72">
        <f>(53+54+62+63+55)/5</f>
        <v>57.4</v>
      </c>
      <c r="K72" s="17">
        <f t="shared" si="1"/>
        <v>145.79599999999999</v>
      </c>
    </row>
    <row r="73" spans="1:11" x14ac:dyDescent="0.3">
      <c r="A73" s="24" t="s">
        <v>93</v>
      </c>
      <c r="B73" t="s">
        <v>237</v>
      </c>
      <c r="C73" s="1" t="s">
        <v>236</v>
      </c>
      <c r="D73">
        <v>69</v>
      </c>
      <c r="E73">
        <v>2.52</v>
      </c>
      <c r="H73" s="24" t="s">
        <v>93</v>
      </c>
      <c r="I73" t="s">
        <v>237</v>
      </c>
      <c r="J73">
        <f>(87+68+79+65+62)/5</f>
        <v>72.2</v>
      </c>
      <c r="K73" s="17">
        <f t="shared" si="1"/>
        <v>183.38800000000001</v>
      </c>
    </row>
    <row r="74" spans="1:11" x14ac:dyDescent="0.3">
      <c r="A74" s="24" t="s">
        <v>94</v>
      </c>
      <c r="B74" t="s">
        <v>241</v>
      </c>
      <c r="C74" s="1" t="s">
        <v>236</v>
      </c>
      <c r="D74">
        <v>92</v>
      </c>
      <c r="E74">
        <v>2.66</v>
      </c>
      <c r="H74" s="24" t="s">
        <v>94</v>
      </c>
      <c r="I74" t="s">
        <v>241</v>
      </c>
      <c r="J74">
        <f>(43+51+56+58+55)/5</f>
        <v>52.6</v>
      </c>
      <c r="K74" s="17">
        <f t="shared" si="1"/>
        <v>133.60400000000001</v>
      </c>
    </row>
    <row r="75" spans="1:11" x14ac:dyDescent="0.3">
      <c r="A75" s="25" t="s">
        <v>95</v>
      </c>
      <c r="B75" t="s">
        <v>240</v>
      </c>
      <c r="C75" s="1" t="s">
        <v>236</v>
      </c>
      <c r="H75" s="25"/>
    </row>
    <row r="76" spans="1:11" x14ac:dyDescent="0.3">
      <c r="A76" s="25" t="s">
        <v>96</v>
      </c>
      <c r="B76" t="s">
        <v>243</v>
      </c>
      <c r="C76" s="1" t="s">
        <v>236</v>
      </c>
      <c r="H76" s="25"/>
    </row>
    <row r="77" spans="1:11" x14ac:dyDescent="0.3">
      <c r="A77" s="25" t="s">
        <v>97</v>
      </c>
      <c r="B77" t="s">
        <v>241</v>
      </c>
      <c r="C77" s="1" t="s">
        <v>236</v>
      </c>
      <c r="H77" s="25"/>
    </row>
    <row r="78" spans="1:11" x14ac:dyDescent="0.3">
      <c r="A78" s="25" t="s">
        <v>98</v>
      </c>
      <c r="B78" t="s">
        <v>238</v>
      </c>
      <c r="C78" s="1" t="s">
        <v>236</v>
      </c>
      <c r="H78" s="25"/>
    </row>
    <row r="79" spans="1:11" x14ac:dyDescent="0.3">
      <c r="A79" s="25" t="s">
        <v>99</v>
      </c>
      <c r="B79" t="s">
        <v>242</v>
      </c>
      <c r="C79" s="1" t="s">
        <v>236</v>
      </c>
      <c r="H79" s="25"/>
    </row>
    <row r="80" spans="1:11" x14ac:dyDescent="0.3">
      <c r="A80" s="25" t="s">
        <v>100</v>
      </c>
      <c r="B80" t="s">
        <v>239</v>
      </c>
      <c r="C80" s="1" t="s">
        <v>236</v>
      </c>
      <c r="H80" s="25"/>
    </row>
    <row r="81" spans="1:8" x14ac:dyDescent="0.3">
      <c r="A81" s="25" t="s">
        <v>101</v>
      </c>
      <c r="B81" t="s">
        <v>244</v>
      </c>
      <c r="C81" s="1" t="s">
        <v>236</v>
      </c>
      <c r="H81" s="25"/>
    </row>
    <row r="82" spans="1:8" x14ac:dyDescent="0.3">
      <c r="A82" s="25" t="s">
        <v>102</v>
      </c>
      <c r="B82" t="s">
        <v>237</v>
      </c>
      <c r="C82" s="1" t="s">
        <v>236</v>
      </c>
      <c r="H82" s="25"/>
    </row>
    <row r="83" spans="1:8" x14ac:dyDescent="0.3">
      <c r="C83" s="1"/>
    </row>
    <row r="84" spans="1:8" x14ac:dyDescent="0.3">
      <c r="C84" s="1"/>
    </row>
    <row r="85" spans="1:8" x14ac:dyDescent="0.3">
      <c r="C85" s="1"/>
    </row>
    <row r="86" spans="1:8" x14ac:dyDescent="0.3">
      <c r="C86" s="1"/>
    </row>
    <row r="87" spans="1:8" x14ac:dyDescent="0.3">
      <c r="C87" s="1"/>
    </row>
    <row r="88" spans="1:8" x14ac:dyDescent="0.3">
      <c r="C88" s="1"/>
    </row>
    <row r="89" spans="1:8" x14ac:dyDescent="0.3">
      <c r="C89" s="1"/>
    </row>
    <row r="90" spans="1:8" x14ac:dyDescent="0.3">
      <c r="C90" s="1"/>
    </row>
    <row r="91" spans="1:8" x14ac:dyDescent="0.3">
      <c r="C91" s="1"/>
    </row>
    <row r="92" spans="1:8" x14ac:dyDescent="0.3">
      <c r="C92" s="1"/>
    </row>
    <row r="93" spans="1:8" x14ac:dyDescent="0.3">
      <c r="C93" s="1"/>
    </row>
    <row r="94" spans="1:8" x14ac:dyDescent="0.3">
      <c r="C94" s="1"/>
    </row>
    <row r="95" spans="1:8" x14ac:dyDescent="0.3">
      <c r="C95" s="1"/>
    </row>
    <row r="96" spans="1:8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9F8C-8944-441A-9E72-AFA361A2180A}">
  <dimension ref="A1:D73"/>
  <sheetViews>
    <sheetView topLeftCell="A51" workbookViewId="0">
      <selection activeCell="A75" sqref="A75"/>
    </sheetView>
  </sheetViews>
  <sheetFormatPr defaultRowHeight="14.4" x14ac:dyDescent="0.3"/>
  <cols>
    <col min="1" max="1" width="14.109375" bestFit="1" customWidth="1"/>
    <col min="2" max="2" width="9.21875" bestFit="1" customWidth="1"/>
    <col min="3" max="3" width="10.21875" bestFit="1" customWidth="1"/>
    <col min="4" max="4" width="11.5546875" bestFit="1" customWidth="1"/>
  </cols>
  <sheetData>
    <row r="1" spans="1:4" x14ac:dyDescent="0.3">
      <c r="A1" s="29" t="s">
        <v>227</v>
      </c>
      <c r="B1" s="29"/>
      <c r="C1" s="29"/>
      <c r="D1" s="29"/>
    </row>
    <row r="2" spans="1:4" x14ac:dyDescent="0.3">
      <c r="A2" t="s">
        <v>152</v>
      </c>
      <c r="B2" t="s">
        <v>153</v>
      </c>
      <c r="C2" t="s">
        <v>154</v>
      </c>
      <c r="D2" t="s">
        <v>155</v>
      </c>
    </row>
    <row r="3" spans="1:4" x14ac:dyDescent="0.3">
      <c r="A3" t="s">
        <v>156</v>
      </c>
      <c r="B3">
        <v>1</v>
      </c>
      <c r="C3">
        <v>72.28</v>
      </c>
      <c r="D3">
        <v>27.72</v>
      </c>
    </row>
    <row r="4" spans="1:4" x14ac:dyDescent="0.3">
      <c r="A4" t="s">
        <v>157</v>
      </c>
      <c r="B4">
        <v>2</v>
      </c>
      <c r="C4">
        <v>74</v>
      </c>
      <c r="D4">
        <v>26</v>
      </c>
    </row>
    <row r="5" spans="1:4" x14ac:dyDescent="0.3">
      <c r="A5" t="s">
        <v>158</v>
      </c>
      <c r="B5">
        <v>3</v>
      </c>
      <c r="C5">
        <v>70.31</v>
      </c>
      <c r="D5">
        <v>29.69</v>
      </c>
    </row>
    <row r="6" spans="1:4" x14ac:dyDescent="0.3">
      <c r="A6" t="s">
        <v>159</v>
      </c>
      <c r="B6">
        <v>4</v>
      </c>
      <c r="C6">
        <v>73.3</v>
      </c>
      <c r="D6">
        <v>26.7</v>
      </c>
    </row>
    <row r="7" spans="1:4" x14ac:dyDescent="0.3">
      <c r="A7" t="s">
        <v>160</v>
      </c>
      <c r="B7">
        <v>5</v>
      </c>
      <c r="C7">
        <v>72.150000000000006</v>
      </c>
      <c r="D7">
        <v>27.85</v>
      </c>
    </row>
    <row r="8" spans="1:4" x14ac:dyDescent="0.3">
      <c r="A8" t="s">
        <v>161</v>
      </c>
      <c r="B8">
        <v>6</v>
      </c>
      <c r="C8">
        <v>72.66</v>
      </c>
      <c r="D8">
        <v>27.34</v>
      </c>
    </row>
    <row r="9" spans="1:4" x14ac:dyDescent="0.3">
      <c r="A9" t="s">
        <v>162</v>
      </c>
      <c r="B9">
        <v>7</v>
      </c>
      <c r="C9">
        <v>70.77</v>
      </c>
      <c r="D9">
        <v>29.23</v>
      </c>
    </row>
    <row r="10" spans="1:4" x14ac:dyDescent="0.3">
      <c r="A10" t="s">
        <v>163</v>
      </c>
      <c r="B10">
        <v>8</v>
      </c>
      <c r="C10">
        <v>71.22</v>
      </c>
      <c r="D10">
        <v>28.78</v>
      </c>
    </row>
    <row r="11" spans="1:4" x14ac:dyDescent="0.3">
      <c r="A11" t="s">
        <v>164</v>
      </c>
      <c r="B11">
        <v>9</v>
      </c>
      <c r="C11">
        <v>72.08</v>
      </c>
      <c r="D11">
        <v>27.92</v>
      </c>
    </row>
    <row r="12" spans="1:4" x14ac:dyDescent="0.3">
      <c r="A12" t="s">
        <v>165</v>
      </c>
      <c r="B12">
        <v>10</v>
      </c>
      <c r="C12">
        <v>71.040000000000006</v>
      </c>
      <c r="D12">
        <v>28.96</v>
      </c>
    </row>
    <row r="13" spans="1:4" x14ac:dyDescent="0.3">
      <c r="A13" t="s">
        <v>166</v>
      </c>
      <c r="B13">
        <v>11</v>
      </c>
      <c r="C13">
        <v>69.94</v>
      </c>
      <c r="D13">
        <v>30.06</v>
      </c>
    </row>
    <row r="14" spans="1:4" x14ac:dyDescent="0.3">
      <c r="A14" t="s">
        <v>167</v>
      </c>
      <c r="B14">
        <v>12</v>
      </c>
      <c r="C14">
        <v>70.88</v>
      </c>
      <c r="D14">
        <v>29.12</v>
      </c>
    </row>
    <row r="15" spans="1:4" x14ac:dyDescent="0.3">
      <c r="A15" t="s">
        <v>168</v>
      </c>
      <c r="B15">
        <v>2</v>
      </c>
      <c r="C15">
        <v>74.37</v>
      </c>
      <c r="D15">
        <v>25.63</v>
      </c>
    </row>
    <row r="16" spans="1:4" x14ac:dyDescent="0.3">
      <c r="A16" t="s">
        <v>169</v>
      </c>
      <c r="B16">
        <v>6</v>
      </c>
      <c r="C16">
        <v>73.180000000000007</v>
      </c>
      <c r="D16">
        <v>26.82</v>
      </c>
    </row>
    <row r="17" spans="1:4" x14ac:dyDescent="0.3">
      <c r="A17" t="s">
        <v>170</v>
      </c>
      <c r="B17">
        <v>10</v>
      </c>
      <c r="C17">
        <v>77.56</v>
      </c>
      <c r="D17">
        <v>22.44</v>
      </c>
    </row>
    <row r="18" spans="1:4" x14ac:dyDescent="0.3">
      <c r="A18" t="s">
        <v>171</v>
      </c>
      <c r="B18">
        <v>4</v>
      </c>
      <c r="C18">
        <v>73.11</v>
      </c>
      <c r="D18">
        <v>26.89</v>
      </c>
    </row>
    <row r="19" spans="1:4" x14ac:dyDescent="0.3">
      <c r="A19" t="s">
        <v>172</v>
      </c>
      <c r="B19">
        <v>9</v>
      </c>
      <c r="C19">
        <v>71.87</v>
      </c>
      <c r="D19">
        <v>28.13</v>
      </c>
    </row>
    <row r="20" spans="1:4" x14ac:dyDescent="0.3">
      <c r="A20" t="s">
        <v>173</v>
      </c>
      <c r="B20">
        <v>7</v>
      </c>
      <c r="C20">
        <v>69.78</v>
      </c>
      <c r="D20">
        <v>30.22</v>
      </c>
    </row>
    <row r="21" spans="1:4" x14ac:dyDescent="0.3">
      <c r="A21" t="s">
        <v>174</v>
      </c>
      <c r="B21">
        <v>11</v>
      </c>
      <c r="C21">
        <v>75.709999999999994</v>
      </c>
      <c r="D21">
        <v>24.29</v>
      </c>
    </row>
    <row r="22" spans="1:4" x14ac:dyDescent="0.3">
      <c r="A22" t="s">
        <v>175</v>
      </c>
      <c r="B22">
        <v>1</v>
      </c>
      <c r="C22">
        <v>74.22</v>
      </c>
      <c r="D22">
        <v>25.78</v>
      </c>
    </row>
    <row r="23" spans="1:4" x14ac:dyDescent="0.3">
      <c r="A23" t="s">
        <v>176</v>
      </c>
      <c r="B23">
        <v>8</v>
      </c>
      <c r="C23">
        <v>70.69</v>
      </c>
      <c r="D23">
        <v>29.31</v>
      </c>
    </row>
    <row r="24" spans="1:4" x14ac:dyDescent="0.3">
      <c r="A24" t="s">
        <v>177</v>
      </c>
      <c r="B24">
        <v>5</v>
      </c>
      <c r="C24">
        <v>69.55</v>
      </c>
      <c r="D24">
        <v>30.45</v>
      </c>
    </row>
    <row r="25" spans="1:4" x14ac:dyDescent="0.3">
      <c r="A25" t="s">
        <v>178</v>
      </c>
      <c r="B25">
        <v>3</v>
      </c>
      <c r="C25">
        <v>74.89</v>
      </c>
      <c r="D25">
        <v>25.11</v>
      </c>
    </row>
    <row r="26" spans="1:4" x14ac:dyDescent="0.3">
      <c r="A26" t="s">
        <v>179</v>
      </c>
      <c r="B26">
        <v>8</v>
      </c>
      <c r="C26">
        <v>74.55</v>
      </c>
      <c r="D26">
        <v>25.45</v>
      </c>
    </row>
    <row r="27" spans="1:4" x14ac:dyDescent="0.3">
      <c r="A27" t="s">
        <v>180</v>
      </c>
      <c r="B27">
        <v>3</v>
      </c>
      <c r="C27">
        <v>73.83</v>
      </c>
      <c r="D27">
        <v>26.17</v>
      </c>
    </row>
    <row r="28" spans="1:4" x14ac:dyDescent="0.3">
      <c r="A28" t="s">
        <v>181</v>
      </c>
      <c r="B28">
        <v>1</v>
      </c>
      <c r="C28">
        <v>77.900000000000006</v>
      </c>
      <c r="D28">
        <v>22.1</v>
      </c>
    </row>
    <row r="29" spans="1:4" x14ac:dyDescent="0.3">
      <c r="A29" t="s">
        <v>182</v>
      </c>
      <c r="B29">
        <v>4</v>
      </c>
      <c r="C29">
        <v>74.010000000000005</v>
      </c>
      <c r="D29">
        <v>25.99</v>
      </c>
    </row>
    <row r="30" spans="1:4" x14ac:dyDescent="0.3">
      <c r="A30" t="s">
        <v>183</v>
      </c>
      <c r="B30">
        <v>11</v>
      </c>
      <c r="C30">
        <v>75.61</v>
      </c>
      <c r="D30">
        <v>24.39</v>
      </c>
    </row>
    <row r="31" spans="1:4" x14ac:dyDescent="0.3">
      <c r="A31" t="s">
        <v>184</v>
      </c>
      <c r="B31">
        <v>2</v>
      </c>
      <c r="C31">
        <v>73.95</v>
      </c>
      <c r="D31">
        <v>26.05</v>
      </c>
    </row>
    <row r="32" spans="1:4" x14ac:dyDescent="0.3">
      <c r="A32" t="s">
        <v>185</v>
      </c>
      <c r="B32">
        <v>6</v>
      </c>
      <c r="C32">
        <v>70.599999999999994</v>
      </c>
      <c r="D32">
        <v>29.4</v>
      </c>
    </row>
    <row r="33" spans="1:4" x14ac:dyDescent="0.3">
      <c r="A33" t="s">
        <v>186</v>
      </c>
      <c r="B33">
        <v>9</v>
      </c>
      <c r="C33">
        <v>68.44</v>
      </c>
      <c r="D33">
        <v>31.56</v>
      </c>
    </row>
    <row r="34" spans="1:4" x14ac:dyDescent="0.3">
      <c r="A34" t="s">
        <v>187</v>
      </c>
      <c r="B34">
        <v>10</v>
      </c>
      <c r="C34">
        <v>73.67</v>
      </c>
      <c r="D34">
        <v>26.33</v>
      </c>
    </row>
    <row r="35" spans="1:4" x14ac:dyDescent="0.3">
      <c r="A35" t="s">
        <v>188</v>
      </c>
      <c r="B35">
        <v>5</v>
      </c>
      <c r="C35">
        <v>73.39</v>
      </c>
      <c r="D35">
        <v>26.61</v>
      </c>
    </row>
    <row r="36" spans="1:4" x14ac:dyDescent="0.3">
      <c r="A36" t="s">
        <v>189</v>
      </c>
      <c r="B36">
        <v>12</v>
      </c>
      <c r="C36">
        <v>72.010000000000005</v>
      </c>
      <c r="D36">
        <v>27.99</v>
      </c>
    </row>
    <row r="37" spans="1:4" x14ac:dyDescent="0.3">
      <c r="A37" t="s">
        <v>190</v>
      </c>
      <c r="B37">
        <v>7</v>
      </c>
      <c r="C37">
        <v>71.92</v>
      </c>
      <c r="D37">
        <v>28.08</v>
      </c>
    </row>
    <row r="38" spans="1:4" x14ac:dyDescent="0.3">
      <c r="A38" t="s">
        <v>191</v>
      </c>
      <c r="B38">
        <v>7</v>
      </c>
      <c r="C38">
        <v>72.5</v>
      </c>
      <c r="D38">
        <v>27.5</v>
      </c>
    </row>
    <row r="39" spans="1:4" x14ac:dyDescent="0.3">
      <c r="A39" t="s">
        <v>192</v>
      </c>
      <c r="B39">
        <v>4</v>
      </c>
      <c r="C39">
        <v>72.25</v>
      </c>
      <c r="D39">
        <v>27.75</v>
      </c>
    </row>
    <row r="40" spans="1:4" x14ac:dyDescent="0.3">
      <c r="A40" t="s">
        <v>193</v>
      </c>
      <c r="B40">
        <v>9</v>
      </c>
      <c r="C40">
        <v>69.290000000000006</v>
      </c>
      <c r="D40">
        <v>30.71</v>
      </c>
    </row>
    <row r="41" spans="1:4" x14ac:dyDescent="0.3">
      <c r="A41" t="s">
        <v>194</v>
      </c>
      <c r="B41">
        <v>10</v>
      </c>
      <c r="C41">
        <v>70.67</v>
      </c>
      <c r="D41">
        <v>29.33</v>
      </c>
    </row>
    <row r="42" spans="1:4" x14ac:dyDescent="0.3">
      <c r="A42" t="s">
        <v>195</v>
      </c>
      <c r="B42">
        <v>12</v>
      </c>
      <c r="C42">
        <v>71.37</v>
      </c>
      <c r="D42">
        <v>28.63</v>
      </c>
    </row>
    <row r="43" spans="1:4" x14ac:dyDescent="0.3">
      <c r="A43" t="s">
        <v>196</v>
      </c>
      <c r="B43">
        <v>3</v>
      </c>
      <c r="C43">
        <v>70</v>
      </c>
      <c r="D43">
        <v>30</v>
      </c>
    </row>
    <row r="44" spans="1:4" x14ac:dyDescent="0.3">
      <c r="A44" t="s">
        <v>197</v>
      </c>
      <c r="B44">
        <v>2</v>
      </c>
      <c r="C44">
        <v>69.33</v>
      </c>
      <c r="D44">
        <v>30.67</v>
      </c>
    </row>
    <row r="45" spans="1:4" x14ac:dyDescent="0.3">
      <c r="A45" t="s">
        <v>198</v>
      </c>
      <c r="B45">
        <v>6</v>
      </c>
      <c r="C45">
        <v>74.510000000000005</v>
      </c>
      <c r="D45">
        <v>25.49</v>
      </c>
    </row>
    <row r="46" spans="1:4" x14ac:dyDescent="0.3">
      <c r="A46" t="s">
        <v>199</v>
      </c>
      <c r="B46">
        <v>1</v>
      </c>
      <c r="C46">
        <v>73.91</v>
      </c>
      <c r="D46">
        <v>26.09</v>
      </c>
    </row>
    <row r="47" spans="1:4" x14ac:dyDescent="0.3">
      <c r="A47" t="s">
        <v>200</v>
      </c>
      <c r="B47">
        <v>11</v>
      </c>
      <c r="C47">
        <v>73.27</v>
      </c>
      <c r="D47">
        <v>26.73</v>
      </c>
    </row>
    <row r="48" spans="1:4" x14ac:dyDescent="0.3">
      <c r="A48" t="s">
        <v>201</v>
      </c>
      <c r="B48">
        <v>5</v>
      </c>
      <c r="C48">
        <v>71.819999999999993</v>
      </c>
      <c r="D48">
        <v>28.18</v>
      </c>
    </row>
    <row r="49" spans="1:4" x14ac:dyDescent="0.3">
      <c r="A49" t="s">
        <v>202</v>
      </c>
      <c r="B49">
        <v>8</v>
      </c>
      <c r="C49">
        <v>70.209999999999994</v>
      </c>
      <c r="D49">
        <v>29.79</v>
      </c>
    </row>
    <row r="50" spans="1:4" x14ac:dyDescent="0.3">
      <c r="A50" t="s">
        <v>203</v>
      </c>
      <c r="B50">
        <v>1</v>
      </c>
      <c r="C50">
        <v>69.11</v>
      </c>
      <c r="D50">
        <v>30.89</v>
      </c>
    </row>
    <row r="51" spans="1:4" x14ac:dyDescent="0.3">
      <c r="A51" t="s">
        <v>204</v>
      </c>
      <c r="B51">
        <v>2</v>
      </c>
      <c r="C51">
        <v>68.84</v>
      </c>
      <c r="D51">
        <v>31.16</v>
      </c>
    </row>
    <row r="52" spans="1:4" x14ac:dyDescent="0.3">
      <c r="A52" t="s">
        <v>205</v>
      </c>
      <c r="B52">
        <v>3</v>
      </c>
      <c r="C52">
        <v>69.66</v>
      </c>
      <c r="D52">
        <v>30.34</v>
      </c>
    </row>
    <row r="53" spans="1:4" x14ac:dyDescent="0.3">
      <c r="A53" t="s">
        <v>206</v>
      </c>
      <c r="B53">
        <v>4</v>
      </c>
      <c r="C53">
        <v>72.06</v>
      </c>
      <c r="D53">
        <v>27.94</v>
      </c>
    </row>
    <row r="54" spans="1:4" x14ac:dyDescent="0.3">
      <c r="A54" t="s">
        <v>207</v>
      </c>
      <c r="B54">
        <v>5</v>
      </c>
      <c r="C54">
        <v>70.02</v>
      </c>
      <c r="D54">
        <v>29.98</v>
      </c>
    </row>
    <row r="55" spans="1:4" x14ac:dyDescent="0.3">
      <c r="A55" t="s">
        <v>208</v>
      </c>
      <c r="B55">
        <v>6</v>
      </c>
      <c r="C55">
        <v>72.150000000000006</v>
      </c>
      <c r="D55">
        <v>27.85</v>
      </c>
    </row>
    <row r="56" spans="1:4" x14ac:dyDescent="0.3">
      <c r="A56" t="s">
        <v>209</v>
      </c>
      <c r="B56">
        <v>7</v>
      </c>
      <c r="C56">
        <v>69.819999999999993</v>
      </c>
      <c r="D56">
        <v>30.18</v>
      </c>
    </row>
    <row r="57" spans="1:4" x14ac:dyDescent="0.3">
      <c r="A57" t="s">
        <v>210</v>
      </c>
      <c r="B57">
        <v>8</v>
      </c>
      <c r="C57">
        <v>79.31</v>
      </c>
      <c r="D57">
        <v>20.69</v>
      </c>
    </row>
    <row r="58" spans="1:4" x14ac:dyDescent="0.3">
      <c r="A58" t="s">
        <v>211</v>
      </c>
      <c r="B58">
        <v>8</v>
      </c>
      <c r="C58">
        <v>69.459999999999994</v>
      </c>
      <c r="D58">
        <v>30.54</v>
      </c>
    </row>
    <row r="59" spans="1:4" x14ac:dyDescent="0.3">
      <c r="A59" t="s">
        <v>212</v>
      </c>
      <c r="B59">
        <v>4</v>
      </c>
      <c r="C59">
        <v>71.67</v>
      </c>
      <c r="D59">
        <v>28.33</v>
      </c>
    </row>
    <row r="60" spans="1:4" x14ac:dyDescent="0.3">
      <c r="A60" t="s">
        <v>213</v>
      </c>
      <c r="B60">
        <v>1</v>
      </c>
      <c r="C60">
        <v>70.91</v>
      </c>
      <c r="D60">
        <v>29.09</v>
      </c>
    </row>
    <row r="61" spans="1:4" x14ac:dyDescent="0.3">
      <c r="A61" t="s">
        <v>214</v>
      </c>
      <c r="B61">
        <v>6</v>
      </c>
      <c r="C61">
        <v>72.37</v>
      </c>
      <c r="D61">
        <v>27.63</v>
      </c>
    </row>
    <row r="62" spans="1:4" x14ac:dyDescent="0.3">
      <c r="A62" t="s">
        <v>215</v>
      </c>
      <c r="B62">
        <v>2</v>
      </c>
      <c r="C62">
        <v>70.959999999999994</v>
      </c>
      <c r="D62">
        <v>29.04</v>
      </c>
    </row>
    <row r="63" spans="1:4" x14ac:dyDescent="0.3">
      <c r="A63" t="s">
        <v>216</v>
      </c>
      <c r="B63">
        <v>5</v>
      </c>
      <c r="C63">
        <v>73.87</v>
      </c>
      <c r="D63">
        <v>26.13</v>
      </c>
    </row>
    <row r="64" spans="1:4" x14ac:dyDescent="0.3">
      <c r="A64" t="s">
        <v>217</v>
      </c>
      <c r="B64">
        <v>7</v>
      </c>
      <c r="C64">
        <v>73.430000000000007</v>
      </c>
      <c r="D64">
        <v>26.57</v>
      </c>
    </row>
    <row r="65" spans="1:4" x14ac:dyDescent="0.3">
      <c r="A65" t="s">
        <v>218</v>
      </c>
      <c r="B65">
        <v>3</v>
      </c>
      <c r="C65">
        <v>70.61</v>
      </c>
      <c r="D65">
        <v>29.39</v>
      </c>
    </row>
    <row r="66" spans="1:4" x14ac:dyDescent="0.3">
      <c r="A66" t="s">
        <v>219</v>
      </c>
      <c r="B66">
        <v>3</v>
      </c>
      <c r="C66">
        <v>70.260000000000005</v>
      </c>
      <c r="D66">
        <v>29.74</v>
      </c>
    </row>
    <row r="67" spans="1:4" x14ac:dyDescent="0.3">
      <c r="A67" t="s">
        <v>220</v>
      </c>
      <c r="B67">
        <v>4</v>
      </c>
      <c r="C67">
        <v>72.28</v>
      </c>
      <c r="D67">
        <v>27.72</v>
      </c>
    </row>
    <row r="68" spans="1:4" x14ac:dyDescent="0.3">
      <c r="A68" t="s">
        <v>221</v>
      </c>
      <c r="B68">
        <v>2</v>
      </c>
      <c r="C68">
        <v>70.98</v>
      </c>
      <c r="D68">
        <v>29.02</v>
      </c>
    </row>
    <row r="69" spans="1:4" x14ac:dyDescent="0.3">
      <c r="A69" t="s">
        <v>222</v>
      </c>
      <c r="B69">
        <v>6</v>
      </c>
      <c r="C69">
        <v>75.400000000000006</v>
      </c>
      <c r="D69">
        <v>24.6</v>
      </c>
    </row>
    <row r="70" spans="1:4" x14ac:dyDescent="0.3">
      <c r="A70" t="s">
        <v>223</v>
      </c>
      <c r="B70">
        <v>7</v>
      </c>
      <c r="C70">
        <v>70.73</v>
      </c>
      <c r="D70">
        <v>29.27</v>
      </c>
    </row>
    <row r="71" spans="1:4" x14ac:dyDescent="0.3">
      <c r="A71" t="s">
        <v>224</v>
      </c>
      <c r="B71">
        <v>8</v>
      </c>
      <c r="C71">
        <v>71.58</v>
      </c>
      <c r="D71">
        <v>28.42</v>
      </c>
    </row>
    <row r="72" spans="1:4" x14ac:dyDescent="0.3">
      <c r="A72" t="s">
        <v>225</v>
      </c>
      <c r="B72">
        <v>1</v>
      </c>
      <c r="C72">
        <v>70.03</v>
      </c>
      <c r="D72">
        <v>29.97</v>
      </c>
    </row>
    <row r="73" spans="1:4" x14ac:dyDescent="0.3">
      <c r="A73" t="s">
        <v>226</v>
      </c>
      <c r="B73">
        <v>5</v>
      </c>
      <c r="C73">
        <v>71.16</v>
      </c>
      <c r="D73">
        <v>28.84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Whirling Thunder</vt:lpstr>
      <vt:lpstr>WT 14 day data and stem diam</vt:lpstr>
      <vt:lpstr>WT Height, stem count, and WW</vt:lpstr>
      <vt:lpstr>WT Moisture and Dry Matter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Duley</dc:creator>
  <cp:lastModifiedBy>Carl Duley</cp:lastModifiedBy>
  <cp:lastPrinted>2022-06-15T20:16:59Z</cp:lastPrinted>
  <dcterms:created xsi:type="dcterms:W3CDTF">2022-05-13T19:31:08Z</dcterms:created>
  <dcterms:modified xsi:type="dcterms:W3CDTF">2023-03-20T22:55:48Z</dcterms:modified>
</cp:coreProperties>
</file>