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kolby_grint_usda_gov/Documents/Documents/R Vizualizations and Data/WI-Hemp-Trial-Analysis/"/>
    </mc:Choice>
  </mc:AlternateContent>
  <xr:revisionPtr revIDLastSave="1" documentId="13_ncr:1_{B43B8817-ED31-4B7C-899B-2E0EAE09DD09}" xr6:coauthVersionLast="47" xr6:coauthVersionMax="47" xr10:uidLastSave="{D4D4D9C5-CD5D-46EB-9519-622DFC169240}"/>
  <bookViews>
    <workbookView xWindow="-120" yWindow="-120" windowWidth="29040" windowHeight="15840" tabRatio="819" xr2:uid="{0FF4FC0E-D994-4B1A-8CE6-1A5A055F7C1F}"/>
  </bookViews>
  <sheets>
    <sheet name="Buffalo County" sheetId="3" r:id="rId1"/>
    <sheet name="BC 14 day data and stem diam" sheetId="5" r:id="rId2"/>
    <sheet name="BC height, stem count, and WW" sheetId="13" r:id="rId3"/>
    <sheet name="BC moisture and dry matter" sheetId="9" r:id="rId4"/>
  </sheets>
  <definedNames>
    <definedName name="_xlnm.Print_Area" localSheetId="0">'Buffalo County'!$G$9:$N$17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J13" i="5" l="1"/>
  <c r="M4" i="5" l="1"/>
  <c r="F4" i="5"/>
  <c r="AS35" i="5"/>
  <c r="AS36" i="5"/>
  <c r="AS37" i="5"/>
  <c r="AS38" i="5"/>
  <c r="AS39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" i="5"/>
  <c r="AS4" i="5" s="1"/>
  <c r="AR99" i="5" l="1"/>
  <c r="AS99" i="5" s="1"/>
  <c r="AR98" i="5"/>
  <c r="AS98" i="5" s="1"/>
  <c r="AR97" i="5"/>
  <c r="AS97" i="5" s="1"/>
  <c r="AR96" i="5"/>
  <c r="AS96" i="5" s="1"/>
  <c r="AR95" i="5"/>
  <c r="AS95" i="5" s="1"/>
  <c r="AR94" i="5"/>
  <c r="AS94" i="5" s="1"/>
  <c r="AR93" i="5"/>
  <c r="AS93" i="5" s="1"/>
  <c r="AR92" i="5"/>
  <c r="AS92" i="5" s="1"/>
  <c r="AR91" i="5"/>
  <c r="AS91" i="5" s="1"/>
  <c r="AR90" i="5"/>
  <c r="AS90" i="5" s="1"/>
  <c r="AR89" i="5"/>
  <c r="AS89" i="5" s="1"/>
  <c r="AR88" i="5"/>
  <c r="AS88" i="5" s="1"/>
  <c r="AR87" i="5"/>
  <c r="AS87" i="5" s="1"/>
  <c r="AR86" i="5"/>
  <c r="AS86" i="5" s="1"/>
  <c r="AR85" i="5"/>
  <c r="AS85" i="5" s="1"/>
  <c r="AR84" i="5"/>
  <c r="AS84" i="5" s="1"/>
  <c r="AR83" i="5"/>
  <c r="AS83" i="5" s="1"/>
  <c r="AR82" i="5"/>
  <c r="AS82" i="5" s="1"/>
  <c r="AR81" i="5"/>
  <c r="AS81" i="5" s="1"/>
  <c r="AR80" i="5"/>
  <c r="AS80" i="5" s="1"/>
  <c r="AR79" i="5"/>
  <c r="AS79" i="5" s="1"/>
  <c r="AR78" i="5"/>
  <c r="AS78" i="5" s="1"/>
  <c r="AR77" i="5"/>
  <c r="AS77" i="5" s="1"/>
  <c r="AR76" i="5"/>
  <c r="AS76" i="5" s="1"/>
  <c r="AR75" i="5"/>
  <c r="AS75" i="5" s="1"/>
  <c r="AR74" i="5"/>
  <c r="AS74" i="5" s="1"/>
  <c r="AR73" i="5"/>
  <c r="AS73" i="5" s="1"/>
  <c r="AR72" i="5"/>
  <c r="AS72" i="5" s="1"/>
  <c r="AR71" i="5"/>
  <c r="AS71" i="5" s="1"/>
  <c r="AR70" i="5"/>
  <c r="AS70" i="5" s="1"/>
  <c r="AR69" i="5"/>
  <c r="AS69" i="5" s="1"/>
  <c r="AR68" i="5"/>
  <c r="AS68" i="5" s="1"/>
  <c r="AR67" i="5"/>
  <c r="AS67" i="5" s="1"/>
  <c r="AR66" i="5"/>
  <c r="AS66" i="5" s="1"/>
  <c r="AR65" i="5"/>
  <c r="AS65" i="5" s="1"/>
  <c r="AR64" i="5"/>
  <c r="AS64" i="5" s="1"/>
  <c r="AR63" i="5"/>
  <c r="AS63" i="5" s="1"/>
  <c r="AR62" i="5"/>
  <c r="AS62" i="5" s="1"/>
  <c r="AR61" i="5"/>
  <c r="AS61" i="5" s="1"/>
  <c r="AR60" i="5"/>
  <c r="AS60" i="5" s="1"/>
  <c r="AR59" i="5"/>
  <c r="AS59" i="5" s="1"/>
  <c r="AR58" i="5"/>
  <c r="AS58" i="5" s="1"/>
  <c r="AS57" i="5"/>
  <c r="AR57" i="5"/>
  <c r="AS56" i="5"/>
  <c r="AR56" i="5"/>
  <c r="AS55" i="5"/>
  <c r="AR55" i="5"/>
  <c r="AS54" i="5"/>
  <c r="AR54" i="5"/>
  <c r="AS53" i="5"/>
  <c r="AR53" i="5"/>
  <c r="AS52" i="5"/>
  <c r="AR52" i="5"/>
  <c r="AS51" i="5"/>
  <c r="AR51" i="5"/>
  <c r="AS50" i="5"/>
  <c r="AR50" i="5"/>
  <c r="AS49" i="5"/>
  <c r="AR49" i="5"/>
  <c r="AS48" i="5"/>
  <c r="AR48" i="5"/>
  <c r="AS47" i="5"/>
  <c r="AR47" i="5"/>
  <c r="AS46" i="5"/>
  <c r="AR46" i="5"/>
  <c r="AS45" i="5"/>
  <c r="AR45" i="5"/>
  <c r="AS44" i="5"/>
  <c r="AR44" i="5"/>
  <c r="AS43" i="5"/>
  <c r="AR43" i="5"/>
  <c r="AS42" i="5"/>
  <c r="AR42" i="5"/>
  <c r="AS41" i="5"/>
  <c r="AR41" i="5"/>
  <c r="AS40" i="5"/>
  <c r="AR40" i="5"/>
  <c r="L5" i="5"/>
  <c r="L6" i="5"/>
  <c r="L7" i="5"/>
  <c r="L8" i="5"/>
  <c r="L9" i="5"/>
  <c r="L10" i="5"/>
  <c r="M10" i="5" s="1"/>
  <c r="L11" i="5"/>
  <c r="M11" i="5" s="1"/>
  <c r="L12" i="5"/>
  <c r="M12" i="5" s="1"/>
  <c r="L13" i="5"/>
  <c r="L14" i="5"/>
  <c r="L15" i="5"/>
  <c r="L16" i="5"/>
  <c r="L17" i="5"/>
  <c r="L18" i="5"/>
  <c r="M18" i="5" s="1"/>
  <c r="L19" i="5"/>
  <c r="M19" i="5" s="1"/>
  <c r="L20" i="5"/>
  <c r="M20" i="5" s="1"/>
  <c r="L21" i="5"/>
  <c r="L22" i="5"/>
  <c r="L23" i="5"/>
  <c r="L24" i="5"/>
  <c r="L25" i="5"/>
  <c r="L26" i="5"/>
  <c r="M26" i="5" s="1"/>
  <c r="L27" i="5"/>
  <c r="M27" i="5" s="1"/>
  <c r="L28" i="5"/>
  <c r="M28" i="5" s="1"/>
  <c r="L29" i="5"/>
  <c r="L30" i="5"/>
  <c r="L31" i="5"/>
  <c r="L32" i="5"/>
  <c r="L33" i="5"/>
  <c r="L34" i="5"/>
  <c r="M34" i="5" s="1"/>
  <c r="L35" i="5"/>
  <c r="M35" i="5" s="1"/>
  <c r="L36" i="5"/>
  <c r="M36" i="5" s="1"/>
  <c r="L37" i="5"/>
  <c r="L38" i="5"/>
  <c r="L39" i="5"/>
  <c r="L40" i="5"/>
  <c r="L41" i="5"/>
  <c r="L42" i="5"/>
  <c r="M42" i="5" s="1"/>
  <c r="L43" i="5"/>
  <c r="M43" i="5" s="1"/>
  <c r="L44" i="5"/>
  <c r="M44" i="5" s="1"/>
  <c r="L45" i="5"/>
  <c r="L46" i="5"/>
  <c r="L47" i="5"/>
  <c r="L48" i="5"/>
  <c r="L49" i="5"/>
  <c r="L50" i="5"/>
  <c r="M50" i="5" s="1"/>
  <c r="L51" i="5"/>
  <c r="M51" i="5" s="1"/>
  <c r="L52" i="5"/>
  <c r="M52" i="5" s="1"/>
  <c r="L53" i="5"/>
  <c r="L54" i="5"/>
  <c r="L55" i="5"/>
  <c r="L56" i="5"/>
  <c r="L57" i="5"/>
  <c r="L58" i="5"/>
  <c r="M58" i="5" s="1"/>
  <c r="L59" i="5"/>
  <c r="M59" i="5" s="1"/>
  <c r="L60" i="5"/>
  <c r="M60" i="5" s="1"/>
  <c r="L61" i="5"/>
  <c r="L62" i="5"/>
  <c r="L63" i="5"/>
  <c r="L64" i="5"/>
  <c r="L65" i="5"/>
  <c r="L66" i="5"/>
  <c r="M66" i="5" s="1"/>
  <c r="L67" i="5"/>
  <c r="M67" i="5" s="1"/>
  <c r="L68" i="5"/>
  <c r="M68" i="5" s="1"/>
  <c r="L69" i="5"/>
  <c r="L70" i="5"/>
  <c r="L71" i="5"/>
  <c r="L72" i="5"/>
  <c r="L73" i="5"/>
  <c r="L74" i="5"/>
  <c r="M74" i="5" s="1"/>
  <c r="L75" i="5"/>
  <c r="M75" i="5" s="1"/>
  <c r="L76" i="5"/>
  <c r="M76" i="5" s="1"/>
  <c r="L77" i="5"/>
  <c r="L78" i="5"/>
  <c r="L79" i="5"/>
  <c r="L80" i="5"/>
  <c r="L81" i="5"/>
  <c r="L82" i="5"/>
  <c r="M82" i="5" s="1"/>
  <c r="L83" i="5"/>
  <c r="M83" i="5" s="1"/>
  <c r="L84" i="5"/>
  <c r="M84" i="5" s="1"/>
  <c r="L85" i="5"/>
  <c r="L86" i="5"/>
  <c r="L87" i="5"/>
  <c r="L88" i="5"/>
  <c r="L89" i="5"/>
  <c r="L90" i="5"/>
  <c r="M90" i="5" s="1"/>
  <c r="L91" i="5"/>
  <c r="M91" i="5" s="1"/>
  <c r="L92" i="5"/>
  <c r="M92" i="5" s="1"/>
  <c r="L93" i="5"/>
  <c r="L94" i="5"/>
  <c r="L95" i="5"/>
  <c r="L96" i="5"/>
  <c r="L97" i="5"/>
  <c r="L98" i="5"/>
  <c r="M98" i="5" s="1"/>
  <c r="L99" i="5"/>
  <c r="M99" i="5" s="1"/>
  <c r="M6" i="5"/>
  <c r="M7" i="5"/>
  <c r="M8" i="5"/>
  <c r="M9" i="5"/>
  <c r="M13" i="5"/>
  <c r="M14" i="5"/>
  <c r="M15" i="5"/>
  <c r="M16" i="5"/>
  <c r="M17" i="5"/>
  <c r="M21" i="5"/>
  <c r="M22" i="5"/>
  <c r="M23" i="5"/>
  <c r="M24" i="5"/>
  <c r="M25" i="5"/>
  <c r="M29" i="5"/>
  <c r="M30" i="5"/>
  <c r="M31" i="5"/>
  <c r="M32" i="5"/>
  <c r="M33" i="5"/>
  <c r="M37" i="5"/>
  <c r="M38" i="5"/>
  <c r="M39" i="5"/>
  <c r="M40" i="5"/>
  <c r="M41" i="5"/>
  <c r="M45" i="5"/>
  <c r="M46" i="5"/>
  <c r="M47" i="5"/>
  <c r="M48" i="5"/>
  <c r="M49" i="5"/>
  <c r="M53" i="5"/>
  <c r="M54" i="5"/>
  <c r="M55" i="5"/>
  <c r="M56" i="5"/>
  <c r="M57" i="5"/>
  <c r="M61" i="5"/>
  <c r="M62" i="5"/>
  <c r="M63" i="5"/>
  <c r="M64" i="5"/>
  <c r="M65" i="5"/>
  <c r="M69" i="5"/>
  <c r="M70" i="5"/>
  <c r="M71" i="5"/>
  <c r="M72" i="5"/>
  <c r="M73" i="5"/>
  <c r="M77" i="5"/>
  <c r="M78" i="5"/>
  <c r="M79" i="5"/>
  <c r="M80" i="5"/>
  <c r="M81" i="5"/>
  <c r="M85" i="5"/>
  <c r="M86" i="5"/>
  <c r="M87" i="5"/>
  <c r="M88" i="5"/>
  <c r="M89" i="5"/>
  <c r="M93" i="5"/>
  <c r="M94" i="5"/>
  <c r="M95" i="5"/>
  <c r="M96" i="5"/>
  <c r="M97" i="5"/>
  <c r="G29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G52" i="5" s="1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G68" i="5" s="1"/>
  <c r="F69" i="5"/>
  <c r="F70" i="5"/>
  <c r="F71" i="5"/>
  <c r="F72" i="5"/>
  <c r="F73" i="5"/>
  <c r="F74" i="5"/>
  <c r="F75" i="5"/>
  <c r="F76" i="5"/>
  <c r="F77" i="5"/>
  <c r="G77" i="5" s="1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G92" i="5" s="1"/>
  <c r="F93" i="5"/>
  <c r="F94" i="5"/>
  <c r="G94" i="5" s="1"/>
  <c r="F95" i="5"/>
  <c r="F96" i="5"/>
  <c r="F97" i="5"/>
  <c r="F98" i="5"/>
  <c r="F99" i="5"/>
  <c r="F5" i="5"/>
  <c r="F6" i="5"/>
  <c r="F7" i="5"/>
  <c r="F8" i="5"/>
  <c r="G4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2" i="5"/>
  <c r="J11" i="5"/>
  <c r="J10" i="5"/>
  <c r="J9" i="5"/>
  <c r="J8" i="5"/>
  <c r="J7" i="5"/>
  <c r="J6" i="5"/>
  <c r="J5" i="5"/>
  <c r="J4" i="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2" i="13"/>
  <c r="N18" i="13"/>
  <c r="O18" i="13" s="1"/>
  <c r="N36" i="13"/>
  <c r="O36" i="13" s="1"/>
  <c r="N11" i="13"/>
  <c r="O11" i="13" s="1"/>
  <c r="N20" i="13"/>
  <c r="O20" i="13" s="1"/>
  <c r="N29" i="13"/>
  <c r="O29" i="13" s="1"/>
  <c r="N3" i="13"/>
  <c r="O3" i="13" s="1"/>
  <c r="N12" i="13"/>
  <c r="O12" i="13" s="1"/>
  <c r="N21" i="13"/>
  <c r="O21" i="13" s="1"/>
  <c r="N30" i="13"/>
  <c r="O30" i="13" s="1"/>
  <c r="N4" i="13"/>
  <c r="O4" i="13" s="1"/>
  <c r="N13" i="13"/>
  <c r="O13" i="13" s="1"/>
  <c r="N22" i="13"/>
  <c r="O22" i="13" s="1"/>
  <c r="N31" i="13"/>
  <c r="O31" i="13" s="1"/>
  <c r="N5" i="13"/>
  <c r="O5" i="13" s="1"/>
  <c r="N14" i="13"/>
  <c r="O14" i="13" s="1"/>
  <c r="N23" i="13"/>
  <c r="O23" i="13" s="1"/>
  <c r="N32" i="13"/>
  <c r="O32" i="13" s="1"/>
  <c r="N6" i="13"/>
  <c r="O6" i="13" s="1"/>
  <c r="N15" i="13"/>
  <c r="O15" i="13" s="1"/>
  <c r="N24" i="13"/>
  <c r="O24" i="13" s="1"/>
  <c r="N33" i="13"/>
  <c r="O33" i="13" s="1"/>
  <c r="N7" i="13"/>
  <c r="O7" i="13" s="1"/>
  <c r="N16" i="13"/>
  <c r="O16" i="13" s="1"/>
  <c r="N25" i="13"/>
  <c r="O25" i="13" s="1"/>
  <c r="N34" i="13"/>
  <c r="O34" i="13" s="1"/>
  <c r="N8" i="13"/>
  <c r="O8" i="13" s="1"/>
  <c r="N17" i="13"/>
  <c r="O17" i="13" s="1"/>
  <c r="N26" i="13"/>
  <c r="O26" i="13" s="1"/>
  <c r="N35" i="13"/>
  <c r="O35" i="13" s="1"/>
  <c r="N9" i="13"/>
  <c r="O9" i="13" s="1"/>
  <c r="N27" i="13"/>
  <c r="O27" i="13" s="1"/>
  <c r="N10" i="13"/>
  <c r="O10" i="13" s="1"/>
  <c r="N19" i="13"/>
  <c r="O19" i="13" s="1"/>
  <c r="N28" i="13"/>
  <c r="O28" i="13" s="1"/>
  <c r="N37" i="13"/>
  <c r="O37" i="13" s="1"/>
  <c r="N38" i="13"/>
  <c r="O38" i="13" s="1"/>
  <c r="N41" i="13"/>
  <c r="O41" i="13" s="1"/>
  <c r="N44" i="13"/>
  <c r="O44" i="13" s="1"/>
  <c r="N47" i="13"/>
  <c r="O47" i="13" s="1"/>
  <c r="N50" i="13"/>
  <c r="O50" i="13" s="1"/>
  <c r="N53" i="13"/>
  <c r="O53" i="13" s="1"/>
  <c r="N56" i="13"/>
  <c r="O56" i="13" s="1"/>
  <c r="N59" i="13"/>
  <c r="O59" i="13" s="1"/>
  <c r="N39" i="13"/>
  <c r="O39" i="13" s="1"/>
  <c r="N42" i="13"/>
  <c r="O42" i="13" s="1"/>
  <c r="N45" i="13"/>
  <c r="O45" i="13" s="1"/>
  <c r="N48" i="13"/>
  <c r="O48" i="13" s="1"/>
  <c r="N51" i="13"/>
  <c r="O51" i="13" s="1"/>
  <c r="N54" i="13"/>
  <c r="O54" i="13" s="1"/>
  <c r="N57" i="13"/>
  <c r="O57" i="13" s="1"/>
  <c r="N60" i="13"/>
  <c r="O60" i="13" s="1"/>
  <c r="N40" i="13"/>
  <c r="O40" i="13" s="1"/>
  <c r="N43" i="13"/>
  <c r="O43" i="13" s="1"/>
  <c r="N46" i="13"/>
  <c r="O46" i="13" s="1"/>
  <c r="N49" i="13"/>
  <c r="O49" i="13" s="1"/>
  <c r="N52" i="13"/>
  <c r="O52" i="13" s="1"/>
  <c r="N55" i="13"/>
  <c r="O55" i="13" s="1"/>
  <c r="N58" i="13"/>
  <c r="O58" i="13" s="1"/>
  <c r="N61" i="13"/>
  <c r="O61" i="13" s="1"/>
  <c r="N2" i="13"/>
  <c r="O2" i="13" s="1"/>
  <c r="B105" i="5"/>
  <c r="C105" i="5" s="1"/>
  <c r="D105" i="5" s="1"/>
  <c r="B106" i="5"/>
  <c r="C106" i="5" s="1"/>
  <c r="D106" i="5" s="1"/>
  <c r="B102" i="5"/>
  <c r="C102" i="5" s="1"/>
  <c r="D102" i="5" s="1"/>
  <c r="B99" i="5"/>
  <c r="C99" i="5" s="1"/>
  <c r="D99" i="5" s="1"/>
  <c r="B90" i="5"/>
  <c r="C90" i="5" s="1"/>
  <c r="D90" i="5" s="1"/>
  <c r="B87" i="5"/>
  <c r="C87" i="5" s="1"/>
  <c r="D87" i="5" s="1"/>
  <c r="B84" i="5"/>
  <c r="C84" i="5" s="1"/>
  <c r="D84" i="5" s="1"/>
  <c r="B78" i="5"/>
  <c r="C78" i="5" s="1"/>
  <c r="D78" i="5" s="1"/>
  <c r="B80" i="5"/>
  <c r="C80" i="5" s="1"/>
  <c r="D80" i="5" s="1"/>
  <c r="B86" i="5"/>
  <c r="C86" i="5" s="1"/>
  <c r="D86" i="5" s="1"/>
  <c r="B92" i="5"/>
  <c r="C92" i="5" s="1"/>
  <c r="D92" i="5" s="1"/>
  <c r="B98" i="5"/>
  <c r="C98" i="5" s="1"/>
  <c r="D98" i="5" s="1"/>
  <c r="B94" i="5"/>
  <c r="C94" i="5" s="1"/>
  <c r="D94" i="5" s="1"/>
  <c r="B88" i="5"/>
  <c r="C88" i="5" s="1"/>
  <c r="D88" i="5" s="1"/>
  <c r="B82" i="5"/>
  <c r="C82" i="5" s="1"/>
  <c r="D82" i="5" s="1"/>
  <c r="B79" i="5"/>
  <c r="C79" i="5" s="1"/>
  <c r="D79" i="5" s="1"/>
  <c r="B75" i="5"/>
  <c r="C75" i="5" s="1"/>
  <c r="D75" i="5" s="1"/>
  <c r="B66" i="5"/>
  <c r="C66" i="5" s="1"/>
  <c r="D66" i="5" s="1"/>
  <c r="B38" i="5"/>
  <c r="C38" i="5" s="1"/>
  <c r="D38" i="5" s="1"/>
  <c r="B30" i="5"/>
  <c r="C30" i="5" s="1"/>
  <c r="D30" i="5" s="1"/>
  <c r="B12" i="5"/>
  <c r="C12" i="5" s="1"/>
  <c r="D12" i="5" s="1"/>
  <c r="B11" i="5"/>
  <c r="C11" i="5" s="1"/>
  <c r="D11" i="5" s="1"/>
  <c r="B37" i="5"/>
  <c r="C37" i="5" s="1"/>
  <c r="D37" i="5" s="1"/>
  <c r="B56" i="5"/>
  <c r="C56" i="5" s="1"/>
  <c r="D56" i="5" s="1"/>
  <c r="B65" i="5"/>
  <c r="C65" i="5" s="1"/>
  <c r="D65" i="5" s="1"/>
  <c r="B73" i="5"/>
  <c r="C73" i="5" s="1"/>
  <c r="D73" i="5" s="1"/>
  <c r="B64" i="5"/>
  <c r="C64" i="5" s="1"/>
  <c r="D64" i="5" s="1"/>
  <c r="B46" i="5"/>
  <c r="C46" i="5" s="1"/>
  <c r="D46" i="5" s="1"/>
  <c r="B28" i="5"/>
  <c r="C28" i="5" s="1"/>
  <c r="D28" i="5" s="1"/>
  <c r="B63" i="5"/>
  <c r="C63" i="5" s="1"/>
  <c r="D63" i="5" s="1"/>
  <c r="B10" i="5"/>
  <c r="C10" i="5" s="1"/>
  <c r="D10" i="5" s="1"/>
  <c r="B27" i="5"/>
  <c r="C27" i="5" s="1"/>
  <c r="D27" i="5" s="1"/>
  <c r="B45" i="5"/>
  <c r="C45" i="5" s="1"/>
  <c r="D45" i="5" s="1"/>
  <c r="B71" i="5"/>
  <c r="C71" i="5" s="1"/>
  <c r="D71" i="5" s="1"/>
  <c r="B53" i="5"/>
  <c r="C53" i="5" s="1"/>
  <c r="D53" i="5" s="1"/>
  <c r="B35" i="5"/>
  <c r="C35" i="5" s="1"/>
  <c r="D35" i="5" s="1"/>
  <c r="B8" i="5"/>
  <c r="C8" i="5" s="1"/>
  <c r="D8" i="5" s="1"/>
  <c r="B25" i="5"/>
  <c r="C25" i="5" s="1"/>
  <c r="D25" i="5" s="1"/>
  <c r="B43" i="5"/>
  <c r="C43" i="5" s="1"/>
  <c r="D43" i="5" s="1"/>
  <c r="B61" i="5"/>
  <c r="C61" i="5" s="1"/>
  <c r="D61" i="5" s="1"/>
  <c r="B70" i="5"/>
  <c r="C70" i="5" s="1"/>
  <c r="D70" i="5" s="1"/>
  <c r="B60" i="5"/>
  <c r="C60" i="5" s="1"/>
  <c r="D60" i="5" s="1"/>
  <c r="B42" i="5"/>
  <c r="C42" i="5" s="1"/>
  <c r="D42" i="5" s="1"/>
  <c r="B33" i="5"/>
  <c r="C33" i="5" s="1"/>
  <c r="D33" i="5" s="1"/>
  <c r="B24" i="5"/>
  <c r="C24" i="5" s="1"/>
  <c r="D24" i="5" s="1"/>
  <c r="B6" i="5"/>
  <c r="C6" i="5" s="1"/>
  <c r="D6" i="5" s="1"/>
  <c r="B23" i="5"/>
  <c r="C23" i="5" s="1"/>
  <c r="D23" i="5" s="1"/>
  <c r="B41" i="5"/>
  <c r="C41" i="5" s="1"/>
  <c r="D41" i="5" s="1"/>
  <c r="B59" i="5"/>
  <c r="C59" i="5" s="1"/>
  <c r="D59" i="5" s="1"/>
  <c r="B67" i="5"/>
  <c r="C67" i="5" s="1"/>
  <c r="D67" i="5" s="1"/>
  <c r="B49" i="5"/>
  <c r="C49" i="5" s="1"/>
  <c r="D49" i="5" s="1"/>
  <c r="B31" i="5"/>
  <c r="C31" i="5" s="1"/>
  <c r="D31" i="5" s="1"/>
  <c r="B13" i="5"/>
  <c r="C13" i="5" s="1"/>
  <c r="D13" i="5" s="1"/>
  <c r="B103" i="5"/>
  <c r="C103" i="5" s="1"/>
  <c r="D103" i="5" s="1"/>
  <c r="B104" i="5"/>
  <c r="C104" i="5" s="1"/>
  <c r="D104" i="5" s="1"/>
  <c r="B107" i="5"/>
  <c r="C107" i="5" s="1"/>
  <c r="D107" i="5" s="1"/>
  <c r="B96" i="5"/>
  <c r="C96" i="5" s="1"/>
  <c r="D96" i="5" s="1"/>
  <c r="B108" i="5"/>
  <c r="C108" i="5" s="1"/>
  <c r="D108" i="5" s="1"/>
  <c r="B93" i="5"/>
  <c r="C93" i="5" s="1"/>
  <c r="D93" i="5" s="1"/>
  <c r="B81" i="5"/>
  <c r="C81" i="5" s="1"/>
  <c r="D81" i="5" s="1"/>
  <c r="B77" i="5"/>
  <c r="C77" i="5" s="1"/>
  <c r="D77" i="5" s="1"/>
  <c r="B83" i="5"/>
  <c r="C83" i="5" s="1"/>
  <c r="D83" i="5" s="1"/>
  <c r="B89" i="5"/>
  <c r="C89" i="5" s="1"/>
  <c r="D89" i="5" s="1"/>
  <c r="B95" i="5"/>
  <c r="C95" i="5" s="1"/>
  <c r="D95" i="5" s="1"/>
  <c r="B97" i="5"/>
  <c r="C97" i="5" s="1"/>
  <c r="D97" i="5" s="1"/>
  <c r="B91" i="5"/>
  <c r="C91" i="5" s="1"/>
  <c r="D91" i="5" s="1"/>
  <c r="B85" i="5"/>
  <c r="C85" i="5" s="1"/>
  <c r="D85" i="5" s="1"/>
  <c r="B76" i="5"/>
  <c r="C76" i="5" s="1"/>
  <c r="D76" i="5" s="1"/>
  <c r="B57" i="5"/>
  <c r="C57" i="5" s="1"/>
  <c r="D57" i="5" s="1"/>
  <c r="B48" i="5"/>
  <c r="C48" i="5" s="1"/>
  <c r="D48" i="5" s="1"/>
  <c r="B39" i="5"/>
  <c r="C39" i="5" s="1"/>
  <c r="D39" i="5" s="1"/>
  <c r="B21" i="5"/>
  <c r="C21" i="5" s="1"/>
  <c r="D21" i="5" s="1"/>
  <c r="B29" i="5"/>
  <c r="C29" i="5" s="1"/>
  <c r="D29" i="5" s="1"/>
  <c r="B47" i="5"/>
  <c r="C47" i="5" s="1"/>
  <c r="D47" i="5" s="1"/>
  <c r="B74" i="5"/>
  <c r="C74" i="5" s="1"/>
  <c r="D74" i="5" s="1"/>
  <c r="B55" i="5"/>
  <c r="C55" i="5" s="1"/>
  <c r="D55" i="5" s="1"/>
  <c r="B20" i="5"/>
  <c r="C20" i="5" s="1"/>
  <c r="D20" i="5" s="1"/>
  <c r="B19" i="5"/>
  <c r="C19" i="5" s="1"/>
  <c r="D19" i="5" s="1"/>
  <c r="B9" i="5"/>
  <c r="C9" i="5" s="1"/>
  <c r="D9" i="5" s="1"/>
  <c r="B18" i="5"/>
  <c r="C18" i="5" s="1"/>
  <c r="D18" i="5" s="1"/>
  <c r="B36" i="5"/>
  <c r="C36" i="5" s="1"/>
  <c r="D36" i="5" s="1"/>
  <c r="B54" i="5"/>
  <c r="C54" i="5" s="1"/>
  <c r="D54" i="5" s="1"/>
  <c r="B72" i="5"/>
  <c r="C72" i="5" s="1"/>
  <c r="D72" i="5" s="1"/>
  <c r="B62" i="5"/>
  <c r="C62" i="5" s="1"/>
  <c r="D62" i="5" s="1"/>
  <c r="B44" i="5"/>
  <c r="C44" i="5" s="1"/>
  <c r="D44" i="5" s="1"/>
  <c r="B26" i="5"/>
  <c r="C26" i="5" s="1"/>
  <c r="D26" i="5" s="1"/>
  <c r="B17" i="5"/>
  <c r="C17" i="5" s="1"/>
  <c r="D17" i="5" s="1"/>
  <c r="B7" i="5"/>
  <c r="C7" i="5" s="1"/>
  <c r="D7" i="5" s="1"/>
  <c r="G7" i="5" s="1"/>
  <c r="B16" i="5"/>
  <c r="C16" i="5" s="1"/>
  <c r="D16" i="5" s="1"/>
  <c r="B34" i="5"/>
  <c r="C34" i="5" s="1"/>
  <c r="D34" i="5" s="1"/>
  <c r="B52" i="5"/>
  <c r="C52" i="5" s="1"/>
  <c r="D52" i="5" s="1"/>
  <c r="B69" i="5"/>
  <c r="C69" i="5" s="1"/>
  <c r="D69" i="5" s="1"/>
  <c r="B51" i="5"/>
  <c r="C51" i="5" s="1"/>
  <c r="D51" i="5" s="1"/>
  <c r="B15" i="5"/>
  <c r="C15" i="5" s="1"/>
  <c r="D15" i="5" s="1"/>
  <c r="B5" i="5"/>
  <c r="C5" i="5" s="1"/>
  <c r="D5" i="5" s="1"/>
  <c r="B14" i="5"/>
  <c r="C14" i="5" s="1"/>
  <c r="D14" i="5" s="1"/>
  <c r="B32" i="5"/>
  <c r="C32" i="5" s="1"/>
  <c r="D32" i="5" s="1"/>
  <c r="B50" i="5"/>
  <c r="C50" i="5" s="1"/>
  <c r="D50" i="5" s="1"/>
  <c r="B68" i="5"/>
  <c r="C68" i="5" s="1"/>
  <c r="D68" i="5" s="1"/>
  <c r="B58" i="5"/>
  <c r="C58" i="5" s="1"/>
  <c r="D58" i="5" s="1"/>
  <c r="B40" i="5"/>
  <c r="C40" i="5" s="1"/>
  <c r="D40" i="5" s="1"/>
  <c r="B22" i="5"/>
  <c r="C22" i="5" s="1"/>
  <c r="D22" i="5" s="1"/>
  <c r="G86" i="5" l="1"/>
  <c r="G78" i="5"/>
  <c r="G70" i="5"/>
  <c r="G62" i="5"/>
  <c r="G54" i="5"/>
  <c r="G46" i="5"/>
  <c r="G30" i="5"/>
  <c r="G6" i="5"/>
  <c r="G45" i="5"/>
  <c r="G37" i="5"/>
  <c r="G13" i="5"/>
  <c r="G49" i="5"/>
  <c r="G90" i="5"/>
  <c r="G97" i="5"/>
  <c r="G65" i="5"/>
  <c r="G85" i="5"/>
  <c r="G93" i="5"/>
  <c r="G53" i="5"/>
  <c r="G38" i="5"/>
  <c r="G69" i="5"/>
  <c r="G41" i="5"/>
  <c r="G25" i="5"/>
  <c r="G95" i="5"/>
  <c r="G87" i="5"/>
  <c r="G79" i="5"/>
  <c r="G63" i="5"/>
  <c r="G15" i="5"/>
  <c r="G22" i="5"/>
  <c r="G14" i="5"/>
  <c r="G61" i="5"/>
  <c r="G21" i="5"/>
  <c r="G36" i="5"/>
  <c r="G10" i="5"/>
  <c r="G82" i="5"/>
  <c r="G5" i="5"/>
  <c r="G84" i="5"/>
  <c r="G76" i="5"/>
  <c r="G60" i="5"/>
  <c r="G44" i="5"/>
  <c r="G28" i="5"/>
  <c r="G20" i="5"/>
  <c r="G12" i="5"/>
  <c r="G26" i="5"/>
  <c r="G99" i="5"/>
  <c r="G91" i="5"/>
  <c r="G83" i="5"/>
  <c r="G75" i="5"/>
  <c r="G67" i="5"/>
  <c r="G59" i="5"/>
  <c r="G51" i="5"/>
  <c r="G43" i="5"/>
  <c r="G35" i="5"/>
  <c r="G27" i="5"/>
  <c r="G19" i="5"/>
  <c r="G11" i="5"/>
  <c r="G58" i="5"/>
  <c r="G98" i="5"/>
  <c r="G89" i="5"/>
  <c r="G81" i="5"/>
  <c r="G73" i="5"/>
  <c r="G57" i="5"/>
  <c r="G33" i="5"/>
  <c r="G17" i="5"/>
  <c r="G9" i="5"/>
  <c r="G74" i="5"/>
  <c r="G42" i="5"/>
  <c r="G96" i="5"/>
  <c r="G88" i="5"/>
  <c r="G80" i="5"/>
  <c r="G72" i="5"/>
  <c r="G64" i="5"/>
  <c r="G56" i="5"/>
  <c r="G48" i="5"/>
  <c r="G40" i="5"/>
  <c r="G32" i="5"/>
  <c r="G24" i="5"/>
  <c r="G16" i="5"/>
  <c r="G50" i="5"/>
  <c r="G71" i="5"/>
  <c r="G55" i="5"/>
  <c r="G31" i="5"/>
  <c r="G34" i="5"/>
  <c r="G66" i="5"/>
  <c r="G8" i="5"/>
  <c r="G47" i="5"/>
  <c r="G39" i="5"/>
  <c r="G23" i="5"/>
  <c r="G18" i="5"/>
</calcChain>
</file>

<file path=xl/sharedStrings.xml><?xml version="1.0" encoding="utf-8"?>
<sst xmlns="http://schemas.openxmlformats.org/spreadsheetml/2006/main" count="926" uniqueCount="263">
  <si>
    <t>Trmt/Variety</t>
  </si>
  <si>
    <t>Description</t>
  </si>
  <si>
    <t>Fibror 79</t>
  </si>
  <si>
    <t>Futura 83</t>
  </si>
  <si>
    <t>Futura 75</t>
  </si>
  <si>
    <t>Santhica 70</t>
  </si>
  <si>
    <t>Bialobrzeske</t>
  </si>
  <si>
    <t>Tiborszallasi</t>
  </si>
  <si>
    <t>Felina 32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</si>
  <si>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</si>
  <si>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</si>
  <si>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</si>
  <si>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</si>
  <si>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</si>
  <si>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</si>
  <si>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</si>
  <si>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</si>
  <si>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</si>
  <si>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</si>
  <si>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</si>
  <si>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</si>
  <si>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Tibor 35</t>
  </si>
  <si>
    <t>Tibor 45</t>
  </si>
  <si>
    <t>Tibor 55</t>
  </si>
  <si>
    <t>Tibor 65</t>
  </si>
  <si>
    <t>Felina32 - 35</t>
  </si>
  <si>
    <t>Felina32 - 45</t>
  </si>
  <si>
    <t>Felina32 - 55</t>
  </si>
  <si>
    <t>Felina32 -65</t>
  </si>
  <si>
    <t>Trnt</t>
  </si>
  <si>
    <t>Trmt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</si>
  <si>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</si>
  <si>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</si>
  <si>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</si>
  <si>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</si>
  <si>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</si>
  <si>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</si>
  <si>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</si>
  <si>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</si>
  <si>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</si>
  <si>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</si>
  <si>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</si>
  <si>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</si>
  <si>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</si>
  <si>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</t>
  </si>
  <si>
    <t>607-7</t>
  </si>
  <si>
    <t>608-3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</si>
  <si>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</si>
  <si>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</si>
  <si>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</si>
  <si>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</si>
  <si>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</si>
  <si>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</si>
  <si>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</si>
  <si>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</si>
  <si>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</si>
  <si>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</si>
  <si>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</si>
  <si>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</si>
  <si>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</si>
  <si>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</si>
  <si>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</si>
  <si>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Fiber Variety Trial</t>
  </si>
  <si>
    <t>Fiber seeding Rate trial</t>
  </si>
  <si>
    <t>Plots are 4 feet by 16 feet</t>
  </si>
  <si>
    <t>Henola</t>
  </si>
  <si>
    <t>Earlina 8FC</t>
  </si>
  <si>
    <t>Amaze Auto</t>
  </si>
  <si>
    <t>Vega</t>
  </si>
  <si>
    <t>CFX-2</t>
  </si>
  <si>
    <t>CRS-1</t>
  </si>
  <si>
    <t>NWG 2463</t>
  </si>
  <si>
    <t>NWG 2730</t>
  </si>
  <si>
    <t>NWG 4000</t>
  </si>
  <si>
    <t>NWG 4113</t>
  </si>
  <si>
    <t>Ferimon</t>
  </si>
  <si>
    <t>113-13</t>
  </si>
  <si>
    <t>114-14</t>
  </si>
  <si>
    <t>115-15</t>
  </si>
  <si>
    <t>116-16</t>
  </si>
  <si>
    <t>117-17</t>
  </si>
  <si>
    <t>118-18</t>
  </si>
  <si>
    <t>201-6</t>
  </si>
  <si>
    <t>202-12</t>
  </si>
  <si>
    <t>203-4</t>
  </si>
  <si>
    <t>204-13</t>
  </si>
  <si>
    <t>205-1</t>
  </si>
  <si>
    <t>206-9</t>
  </si>
  <si>
    <t>207-16</t>
  </si>
  <si>
    <t>208-10</t>
  </si>
  <si>
    <t>209-8</t>
  </si>
  <si>
    <t>210-3</t>
  </si>
  <si>
    <t>211-18</t>
  </si>
  <si>
    <t>212-2</t>
  </si>
  <si>
    <t>213-5</t>
  </si>
  <si>
    <t>214-7</t>
  </si>
  <si>
    <t>215-15</t>
  </si>
  <si>
    <t>216-17</t>
  </si>
  <si>
    <t>217-14</t>
  </si>
  <si>
    <t>218-11</t>
  </si>
  <si>
    <t>301-10</t>
  </si>
  <si>
    <t>302-5</t>
  </si>
  <si>
    <t>303-15</t>
  </si>
  <si>
    <t>304-12</t>
  </si>
  <si>
    <t>305-2</t>
  </si>
  <si>
    <t>306-3</t>
  </si>
  <si>
    <t>307-1</t>
  </si>
  <si>
    <t>308-4</t>
  </si>
  <si>
    <t>309-16</t>
  </si>
  <si>
    <t>311-18</t>
  </si>
  <si>
    <t>312-11</t>
  </si>
  <si>
    <t>313-17</t>
  </si>
  <si>
    <t>314-8</t>
  </si>
  <si>
    <t>315-13</t>
  </si>
  <si>
    <t>316-6</t>
  </si>
  <si>
    <t>317-7</t>
  </si>
  <si>
    <t>318-9</t>
  </si>
  <si>
    <t>401-18</t>
  </si>
  <si>
    <t>402-14</t>
  </si>
  <si>
    <t>403-15</t>
  </si>
  <si>
    <t>404-9</t>
  </si>
  <si>
    <t>405-11</t>
  </si>
  <si>
    <t>406-7</t>
  </si>
  <si>
    <t>407-12</t>
  </si>
  <si>
    <t>408-16</t>
  </si>
  <si>
    <t>409-17</t>
  </si>
  <si>
    <t>410-13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</si>
  <si>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</si>
  <si>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</si>
  <si>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</si>
  <si>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</si>
  <si>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</si>
  <si>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</si>
  <si>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</si>
  <si>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</si>
  <si>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701-3</t>
  </si>
  <si>
    <t>310-14</t>
  </si>
  <si>
    <t>Buffalo County</t>
  </si>
  <si>
    <t>Plot #</t>
  </si>
  <si>
    <t>Density</t>
  </si>
  <si>
    <t>Avg Stand Count</t>
  </si>
  <si>
    <t>Data collected 7/5/2022</t>
  </si>
  <si>
    <t xml:space="preserve">Plants/acre </t>
  </si>
  <si>
    <t>Stem count</t>
  </si>
  <si>
    <t>Avg height (in)</t>
  </si>
  <si>
    <t>Variety</t>
  </si>
  <si>
    <t>Wet weight (kg)</t>
  </si>
  <si>
    <t>Sample number</t>
  </si>
  <si>
    <t>variety/trt</t>
  </si>
  <si>
    <t>% moisture</t>
  </si>
  <si>
    <t>% dry matter</t>
  </si>
  <si>
    <t>Futura83</t>
  </si>
  <si>
    <t>Futura75</t>
  </si>
  <si>
    <t>Bialob</t>
  </si>
  <si>
    <t>Tibor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</si>
  <si>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</si>
  <si>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</si>
  <si>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</si>
  <si>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</si>
  <si>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</si>
  <si>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</si>
  <si>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</si>
  <si>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</si>
  <si>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Stem Diameter - Bottom (cm)</t>
  </si>
  <si>
    <t>Stem Diameter - Top (cm)</t>
  </si>
  <si>
    <t>Tare weight (kg)</t>
  </si>
  <si>
    <t>Avg height (cm)</t>
  </si>
  <si>
    <t>Earlina</t>
  </si>
  <si>
    <t>Amaze</t>
  </si>
  <si>
    <t>Santhica</t>
  </si>
  <si>
    <t>NWG2463</t>
  </si>
  <si>
    <t>NWG2730</t>
  </si>
  <si>
    <t>Fibror</t>
  </si>
  <si>
    <t>NWG4000</t>
  </si>
  <si>
    <t>NWG4113</t>
  </si>
  <si>
    <t>Actual weight (kg)</t>
  </si>
  <si>
    <t>B101-1</t>
  </si>
  <si>
    <t>B102-2</t>
  </si>
  <si>
    <t>B103-3</t>
  </si>
  <si>
    <t>B104-4</t>
  </si>
  <si>
    <t>B105-5</t>
  </si>
  <si>
    <t>B106-6</t>
  </si>
  <si>
    <t>B107-7</t>
  </si>
  <si>
    <t>B108-8</t>
  </si>
  <si>
    <t>B109-9</t>
  </si>
  <si>
    <t>B301-10</t>
  </si>
  <si>
    <t>B302-5</t>
  </si>
  <si>
    <t>B303-15</t>
  </si>
  <si>
    <t>B304-12</t>
  </si>
  <si>
    <t>B305-2</t>
  </si>
  <si>
    <t>B306-3</t>
  </si>
  <si>
    <t>B307-1</t>
  </si>
  <si>
    <t>B308-4</t>
  </si>
  <si>
    <t>B309-16</t>
  </si>
  <si>
    <t>B310-14</t>
  </si>
  <si>
    <t>B311-18</t>
  </si>
  <si>
    <t>B312-11</t>
  </si>
  <si>
    <t>B313-17</t>
  </si>
  <si>
    <t>B314-8</t>
  </si>
  <si>
    <t>B315-13</t>
  </si>
  <si>
    <t>B316-6</t>
  </si>
  <si>
    <t>B317-7</t>
  </si>
  <si>
    <t>B318-9</t>
  </si>
  <si>
    <t>B401-18</t>
  </si>
  <si>
    <t>B402-14</t>
  </si>
  <si>
    <t>B403-15</t>
  </si>
  <si>
    <t>B404-9</t>
  </si>
  <si>
    <t>B405-11</t>
  </si>
  <si>
    <t>B406-7</t>
  </si>
  <si>
    <t>B407-12</t>
  </si>
  <si>
    <t>B408-16</t>
  </si>
  <si>
    <t>B409-17</t>
  </si>
  <si>
    <t>B410-13</t>
  </si>
  <si>
    <t>B411-8</t>
  </si>
  <si>
    <t>B412-2</t>
  </si>
  <si>
    <t>B413-10</t>
  </si>
  <si>
    <t>B414-5</t>
  </si>
  <si>
    <t>B415-1</t>
  </si>
  <si>
    <t>B416-4</t>
  </si>
  <si>
    <t>B417-6</t>
  </si>
  <si>
    <t>B418-3</t>
  </si>
  <si>
    <t>B501-1</t>
  </si>
  <si>
    <t>B502-2</t>
  </si>
  <si>
    <t>B503-3</t>
  </si>
  <si>
    <t>B505-5</t>
  </si>
  <si>
    <t>B506-6</t>
  </si>
  <si>
    <t>B507-7</t>
  </si>
  <si>
    <t>B601-8</t>
  </si>
  <si>
    <t>B602-4</t>
  </si>
  <si>
    <t>B603-1</t>
  </si>
  <si>
    <t>B605-2</t>
  </si>
  <si>
    <t>B606-5</t>
  </si>
  <si>
    <t>B607-7</t>
  </si>
  <si>
    <t>B701-3</t>
  </si>
  <si>
    <t>B702-4</t>
  </si>
  <si>
    <t>B703-2</t>
  </si>
  <si>
    <t>B705-7</t>
  </si>
  <si>
    <t>B706-8</t>
  </si>
  <si>
    <t>B707-1</t>
  </si>
  <si>
    <t>B801-4</t>
  </si>
  <si>
    <t>B802-7</t>
  </si>
  <si>
    <t>B804-2</t>
  </si>
  <si>
    <t>B805-6</t>
  </si>
  <si>
    <t>B806-3</t>
  </si>
  <si>
    <t>B807-8</t>
  </si>
  <si>
    <t>411-08</t>
  </si>
  <si>
    <t>315-3</t>
  </si>
  <si>
    <t>Height 1</t>
  </si>
  <si>
    <t>Height 2</t>
  </si>
  <si>
    <t>Height 3</t>
  </si>
  <si>
    <t>Height 5</t>
  </si>
  <si>
    <t>Height 4</t>
  </si>
  <si>
    <t>Felina32</t>
  </si>
  <si>
    <t>VWG4113</t>
  </si>
  <si>
    <t>6,92</t>
  </si>
  <si>
    <t>Final counts</t>
  </si>
  <si>
    <t>stems/acre</t>
  </si>
  <si>
    <t>% of initial stem count</t>
  </si>
  <si>
    <t>dry matter</t>
  </si>
  <si>
    <t>harvest</t>
  </si>
  <si>
    <t>tons dm/acre</t>
  </si>
  <si>
    <t>kg dm/acre</t>
  </si>
  <si>
    <t>~2 weeks post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</si>
</sst>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8" borderId="0" xfId="0" applyFont="1" applyFill="1"/>
    <xf numFmtId="0" fontId="4" fillId="0" borderId="0" xfId="0" applyFont="1" applyAlignment="1">
      <alignment horizontal="center" wrapText="1"/>
    </xf>
    <xf numFmtId="0" fontId="3" fillId="9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8" borderId="0" xfId="0" applyFill="1"/>
    <xf numFmtId="0" fontId="0" fillId="14" borderId="0" xfId="0" applyFill="1"/>
    <xf numFmtId="0" fontId="0" fillId="0" borderId="0" xfId="0" applyAlignment="1">
      <alignment horizontal="right"/>
    </xf>
    <xf numFmtId="0" fontId="0" fillId="15" borderId="0" xfId="0" applyFill="1"/>
    <xf numFmtId="0" fontId="3" fillId="6" borderId="0" xfId="0" applyFont="1" applyFill="1"/>
    <xf numFmtId="0" fontId="3" fillId="13" borderId="0" xfId="0" applyFont="1" applyFill="1"/>
    <xf numFmtId="0" fontId="0" fillId="16" borderId="0" xfId="0" applyFill="1"/>
    <xf numFmtId="0" fontId="0" fillId="13" borderId="0" xfId="0" applyFill="1"/>
    <xf numFmtId="3" fontId="3" fillId="0" borderId="0" xfId="0" applyNumberFormat="1" applyFont="1"/>
    <xf numFmtId="3" fontId="0" fillId="0" borderId="0" xfId="0" applyNumberForma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27A4-AB24-432F-A61E-F841089686A6}">
  <dimension ref="B2:N26"/>
  <sheetViews>
    <sheetView tabSelected="1" workbookViewId="0">
      <selection activeCell="C23" sqref="C23:C26"/>
    </sheetView>
  </sheetViews>
  <sheetFormatPr defaultRowHeight="15" x14ac:dyDescent="0.25"/>
  <cols>
    <col min="2" max="2" width="25.140625" bestFit="1" customWidth="1"/>
    <col min="3" max="3" width="12.140625" bestFit="1" customWidth="1"/>
    <col min="4" max="4" width="13.28515625" bestFit="1" customWidth="1"/>
    <col min="5" max="5" width="12.7109375" bestFit="1" customWidth="1"/>
  </cols>
  <sheetData>
    <row r="2" spans="2:14" ht="15.75" x14ac:dyDescent="0.25">
      <c r="B2" s="4" t="s">
        <v>137</v>
      </c>
      <c r="C2" s="6"/>
      <c r="D2" s="5"/>
      <c r="E2" s="6"/>
    </row>
    <row r="3" spans="2:14" ht="15.75" x14ac:dyDescent="0.25">
      <c r="B3" s="6" t="s">
        <v>64</v>
      </c>
      <c r="C3" s="6"/>
      <c r="D3" s="5"/>
      <c r="E3" s="6"/>
    </row>
    <row r="4" spans="2:14" ht="15.75" x14ac:dyDescent="0.25">
      <c r="B4" s="5"/>
      <c r="C4" s="6"/>
      <c r="D4" s="5"/>
      <c r="E4" s="6"/>
    </row>
    <row r="5" spans="2:14" ht="15.75" x14ac:dyDescent="0.25">
      <c r="B5" s="5"/>
      <c r="C5" s="6"/>
      <c r="D5" s="5"/>
      <c r="E5" s="6"/>
    </row>
    <row r="6" spans="2:14" ht="15.75" x14ac:dyDescent="0.25">
      <c r="B6" s="5"/>
      <c r="C6" s="6"/>
      <c r="D6" s="5"/>
      <c r="E6" s="6"/>
    </row>
    <row r="7" spans="2:14" ht="15.75" x14ac:dyDescent="0.25">
      <c r="B7" s="4" t="s">
        <v>62</v>
      </c>
      <c r="C7" s="6"/>
      <c r="D7" s="5"/>
      <c r="E7" s="6"/>
    </row>
    <row r="8" spans="2:14" ht="16.5" thickBot="1" x14ac:dyDescent="0.3">
      <c r="B8" s="3" t="s">
        <v>0</v>
      </c>
      <c r="C8" s="4" t="s">
        <v>1</v>
      </c>
      <c r="D8" s="3" t="s">
        <v>0</v>
      </c>
      <c r="E8" s="4" t="s">
        <v>1</v>
      </c>
    </row>
    <row r="9" spans="2:14" ht="16.5" thickBot="1" x14ac:dyDescent="0.3">
      <c r="B9" s="5">
        <v>1</v>
      </c>
      <c r="C9" s="16" t="s">
        <v>65</v>
      </c>
      <c r="D9" s="5">
        <v>10</v>
      </c>
      <c r="E9" s="16" t="s">
        <v>73</v>
      </c>
      <c r="G9" s="12" t="s">
        <v>9</v>
      </c>
      <c r="H9" s="12" t="s">
        <v>18</v>
      </c>
      <c r="I9" s="13" t="s">
        <v>82</v>
      </c>
      <c r="J9" s="13" t="s">
        <v>91</v>
      </c>
      <c r="K9" s="14" t="s">
        <v>100</v>
      </c>
      <c r="L9" s="14" t="s">
        <v>136</v>
      </c>
      <c r="M9" s="15" t="s">
        <v>117</v>
      </c>
      <c r="N9" s="15" t="s">
        <v>126</v>
      </c>
    </row>
    <row r="10" spans="2:14" ht="16.5" thickBot="1" x14ac:dyDescent="0.3">
      <c r="B10" s="5">
        <v>2</v>
      </c>
      <c r="C10" s="16" t="s">
        <v>66</v>
      </c>
      <c r="D10" s="5">
        <v>11</v>
      </c>
      <c r="E10" s="16" t="s">
        <v>74</v>
      </c>
      <c r="G10" s="12" t="s">
        <v>10</v>
      </c>
      <c r="H10" s="12" t="s">
        <v>19</v>
      </c>
      <c r="I10" s="13" t="s">
        <v>83</v>
      </c>
      <c r="J10" s="13" t="s">
        <v>92</v>
      </c>
      <c r="K10" s="14" t="s">
        <v>101</v>
      </c>
      <c r="L10" s="14" t="s">
        <v>109</v>
      </c>
      <c r="M10" s="15" t="s">
        <v>118</v>
      </c>
      <c r="N10" s="15" t="s">
        <v>127</v>
      </c>
    </row>
    <row r="11" spans="2:14" ht="16.5" thickBot="1" x14ac:dyDescent="0.3">
      <c r="B11" s="5">
        <v>3</v>
      </c>
      <c r="C11" s="16" t="s">
        <v>67</v>
      </c>
      <c r="D11" s="5">
        <v>12</v>
      </c>
      <c r="E11" s="6" t="s">
        <v>4</v>
      </c>
      <c r="G11" s="12" t="s">
        <v>11</v>
      </c>
      <c r="H11" s="12" t="s">
        <v>20</v>
      </c>
      <c r="I11" s="13" t="s">
        <v>84</v>
      </c>
      <c r="J11" s="13" t="s">
        <v>93</v>
      </c>
      <c r="K11" s="14" t="s">
        <v>102</v>
      </c>
      <c r="L11" s="14" t="s">
        <v>110</v>
      </c>
      <c r="M11" s="15" t="s">
        <v>119</v>
      </c>
      <c r="N11" s="15" t="s">
        <v>128</v>
      </c>
    </row>
    <row r="12" spans="2:14" ht="16.5" thickBot="1" x14ac:dyDescent="0.3">
      <c r="B12" s="5">
        <v>4</v>
      </c>
      <c r="C12" s="16" t="s">
        <v>68</v>
      </c>
      <c r="D12" s="5">
        <v>13</v>
      </c>
      <c r="E12" s="16" t="s">
        <v>3</v>
      </c>
      <c r="G12" s="12" t="s">
        <v>12</v>
      </c>
      <c r="H12" s="12" t="s">
        <v>76</v>
      </c>
      <c r="I12" s="13" t="s">
        <v>85</v>
      </c>
      <c r="J12" s="13" t="s">
        <v>94</v>
      </c>
      <c r="K12" s="14" t="s">
        <v>103</v>
      </c>
      <c r="L12" s="14" t="s">
        <v>111</v>
      </c>
      <c r="M12" s="15" t="s">
        <v>120</v>
      </c>
      <c r="N12" s="15" t="s">
        <v>129</v>
      </c>
    </row>
    <row r="13" spans="2:14" ht="16.5" thickBot="1" x14ac:dyDescent="0.3">
      <c r="B13" s="5">
        <v>5</v>
      </c>
      <c r="C13" s="16" t="s">
        <v>69</v>
      </c>
      <c r="D13" s="5">
        <v>14</v>
      </c>
      <c r="E13" s="18" t="s">
        <v>5</v>
      </c>
      <c r="G13" s="12" t="s">
        <v>13</v>
      </c>
      <c r="H13" s="12" t="s">
        <v>77</v>
      </c>
      <c r="I13" s="13" t="s">
        <v>86</v>
      </c>
      <c r="J13" s="13" t="s">
        <v>95</v>
      </c>
      <c r="K13" s="14" t="s">
        <v>104</v>
      </c>
      <c r="L13" s="14" t="s">
        <v>112</v>
      </c>
      <c r="M13" s="15" t="s">
        <v>121</v>
      </c>
      <c r="N13" s="15" t="s">
        <v>130</v>
      </c>
    </row>
    <row r="14" spans="2:14" ht="16.5" thickBot="1" x14ac:dyDescent="0.3">
      <c r="B14" s="5">
        <v>6</v>
      </c>
      <c r="C14" s="16" t="s">
        <v>70</v>
      </c>
      <c r="D14" s="5">
        <v>15</v>
      </c>
      <c r="E14" s="6" t="s">
        <v>7</v>
      </c>
      <c r="G14" s="12" t="s">
        <v>14</v>
      </c>
      <c r="H14" s="12" t="s">
        <v>78</v>
      </c>
      <c r="I14" s="13" t="s">
        <v>87</v>
      </c>
      <c r="J14" s="13" t="s">
        <v>96</v>
      </c>
      <c r="K14" s="14" t="s">
        <v>105</v>
      </c>
      <c r="L14" s="14" t="s">
        <v>113</v>
      </c>
      <c r="M14" s="15" t="s">
        <v>122</v>
      </c>
      <c r="N14" s="15" t="s">
        <v>131</v>
      </c>
    </row>
    <row r="15" spans="2:14" ht="16.5" thickBot="1" x14ac:dyDescent="0.3">
      <c r="B15" s="5">
        <v>7</v>
      </c>
      <c r="C15" s="16" t="s">
        <v>71</v>
      </c>
      <c r="D15" s="5">
        <v>16</v>
      </c>
      <c r="E15" s="6" t="s">
        <v>6</v>
      </c>
      <c r="G15" s="12" t="s">
        <v>15</v>
      </c>
      <c r="H15" s="12" t="s">
        <v>79</v>
      </c>
      <c r="I15" s="13" t="s">
        <v>88</v>
      </c>
      <c r="J15" s="13" t="s">
        <v>97</v>
      </c>
      <c r="K15" s="14" t="s">
        <v>106</v>
      </c>
      <c r="L15" s="14" t="s">
        <v>114</v>
      </c>
      <c r="M15" s="15" t="s">
        <v>123</v>
      </c>
      <c r="N15" s="15" t="s">
        <v>132</v>
      </c>
    </row>
    <row r="16" spans="2:14" ht="16.5" thickBot="1" x14ac:dyDescent="0.3">
      <c r="B16" s="5">
        <v>8</v>
      </c>
      <c r="C16" s="16" t="s">
        <v>72</v>
      </c>
      <c r="D16" s="5">
        <v>17</v>
      </c>
      <c r="E16" s="6" t="s">
        <v>8</v>
      </c>
      <c r="G16" s="12" t="s">
        <v>16</v>
      </c>
      <c r="H16" s="12" t="s">
        <v>80</v>
      </c>
      <c r="I16" s="13" t="s">
        <v>89</v>
      </c>
      <c r="J16" s="13" t="s">
        <v>98</v>
      </c>
      <c r="K16" s="14" t="s">
        <v>107</v>
      </c>
      <c r="L16" s="14" t="s">
        <v>115</v>
      </c>
      <c r="M16" s="15" t="s">
        <v>124</v>
      </c>
      <c r="N16" s="15" t="s">
        <v>133</v>
      </c>
    </row>
    <row r="17" spans="2:14" ht="15.75" x14ac:dyDescent="0.25">
      <c r="B17" s="5">
        <v>9</v>
      </c>
      <c r="C17" s="17" t="s">
        <v>2</v>
      </c>
      <c r="D17" s="5">
        <v>18</v>
      </c>
      <c r="E17" s="6" t="s">
        <v>75</v>
      </c>
      <c r="G17" s="12" t="s">
        <v>17</v>
      </c>
      <c r="H17" s="12" t="s">
        <v>81</v>
      </c>
      <c r="I17" s="13" t="s">
        <v>90</v>
      </c>
      <c r="J17" s="13" t="s">
        <v>99</v>
      </c>
      <c r="K17" s="14" t="s">
        <v>108</v>
      </c>
      <c r="L17" s="14" t="s">
        <v>116</v>
      </c>
      <c r="M17" s="15" t="s">
        <v>125</v>
      </c>
      <c r="N17" s="15" t="s">
        <v>134</v>
      </c>
    </row>
    <row r="18" spans="2:14" ht="15.75" x14ac:dyDescent="0.25">
      <c r="B18" s="5"/>
      <c r="C18" s="11"/>
      <c r="D18" s="5"/>
      <c r="E18" s="6"/>
    </row>
    <row r="19" spans="2:14" ht="15.75" x14ac:dyDescent="0.25">
      <c r="B19" s="5"/>
      <c r="C19" s="11"/>
      <c r="D19" s="5"/>
      <c r="E19" s="6"/>
    </row>
    <row r="20" spans="2:14" ht="15.75" x14ac:dyDescent="0.25">
      <c r="B20" s="5"/>
      <c r="C20" s="11"/>
      <c r="D20" s="5"/>
      <c r="E20" s="6"/>
    </row>
    <row r="21" spans="2:14" ht="15.75" x14ac:dyDescent="0.25">
      <c r="B21" s="4" t="s">
        <v>63</v>
      </c>
      <c r="C21" s="6"/>
      <c r="D21" s="5"/>
      <c r="E21" s="6"/>
    </row>
    <row r="22" spans="2:14" ht="15.75" x14ac:dyDescent="0.25">
      <c r="B22" s="3" t="s">
        <v>30</v>
      </c>
      <c r="C22" s="4" t="s">
        <v>1</v>
      </c>
      <c r="D22" s="3" t="s">
        <v>29</v>
      </c>
      <c r="E22" s="4" t="s">
        <v>1</v>
      </c>
    </row>
    <row r="23" spans="2:14" ht="15.75" x14ac:dyDescent="0.25">
      <c r="B23" s="5">
        <v>1</v>
      </c>
      <c r="C23" s="6" t="s">
        <v>21</v>
      </c>
      <c r="D23" s="5">
        <v>5</v>
      </c>
      <c r="E23" s="6" t="s">
        <v>25</v>
      </c>
      <c r="G23" s="7" t="s">
        <v>34</v>
      </c>
      <c r="H23" s="7" t="s">
        <v>38</v>
      </c>
      <c r="I23" s="8" t="s">
        <v>42</v>
      </c>
      <c r="J23" s="8" t="s">
        <v>46</v>
      </c>
      <c r="K23" s="9" t="s">
        <v>49</v>
      </c>
      <c r="L23" s="9" t="s">
        <v>53</v>
      </c>
      <c r="M23" s="10" t="s">
        <v>57</v>
      </c>
      <c r="N23" s="10" t="s">
        <v>61</v>
      </c>
    </row>
    <row r="24" spans="2:14" ht="15.75" x14ac:dyDescent="0.25">
      <c r="B24" s="5">
        <v>2</v>
      </c>
      <c r="C24" s="6" t="s">
        <v>22</v>
      </c>
      <c r="D24" s="5">
        <v>6</v>
      </c>
      <c r="E24" s="6" t="s">
        <v>26</v>
      </c>
      <c r="G24" s="7" t="s">
        <v>33</v>
      </c>
      <c r="H24" s="7" t="s">
        <v>37</v>
      </c>
      <c r="I24" s="8" t="s">
        <v>41</v>
      </c>
      <c r="J24" s="8" t="s">
        <v>45</v>
      </c>
      <c r="K24" s="9" t="s">
        <v>48</v>
      </c>
      <c r="L24" s="9" t="s">
        <v>52</v>
      </c>
      <c r="M24" s="10" t="s">
        <v>56</v>
      </c>
      <c r="N24" s="10" t="s">
        <v>60</v>
      </c>
    </row>
    <row r="25" spans="2:14" ht="15.75" x14ac:dyDescent="0.25">
      <c r="B25" s="5">
        <v>3</v>
      </c>
      <c r="C25" s="6" t="s">
        <v>23</v>
      </c>
      <c r="D25" s="5">
        <v>7</v>
      </c>
      <c r="E25" s="6" t="s">
        <v>27</v>
      </c>
      <c r="G25" s="7" t="s">
        <v>32</v>
      </c>
      <c r="H25" s="7" t="s">
        <v>36</v>
      </c>
      <c r="I25" s="8" t="s">
        <v>40</v>
      </c>
      <c r="J25" s="8" t="s">
        <v>44</v>
      </c>
      <c r="K25" s="9" t="s">
        <v>47</v>
      </c>
      <c r="L25" s="9" t="s">
        <v>51</v>
      </c>
      <c r="M25" s="10" t="s">
        <v>55</v>
      </c>
      <c r="N25" s="10" t="s">
        <v>59</v>
      </c>
    </row>
    <row r="26" spans="2:14" ht="15.75" x14ac:dyDescent="0.25">
      <c r="B26" s="5">
        <v>4</v>
      </c>
      <c r="C26" s="6" t="s">
        <v>24</v>
      </c>
      <c r="D26" s="5">
        <v>8</v>
      </c>
      <c r="E26" s="6" t="s">
        <v>28</v>
      </c>
      <c r="G26" s="7" t="s">
        <v>31</v>
      </c>
      <c r="H26" s="7" t="s">
        <v>35</v>
      </c>
      <c r="I26" s="8" t="s">
        <v>39</v>
      </c>
      <c r="J26" s="8" t="s">
        <v>43</v>
      </c>
      <c r="K26" s="9" t="s">
        <v>135</v>
      </c>
      <c r="L26" s="9" t="s">
        <v>50</v>
      </c>
      <c r="M26" s="10" t="s">
        <v>54</v>
      </c>
      <c r="N26" s="10" t="s">
        <v>58</v>
      </c>
    </row>
  </sheetData>
  <pageMargins left="0.7" right="0.7" top="0.75" bottom="0.75" header="0.3" footer="0.3"/>
  <pageSetup scale="1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D40E-5801-4B4E-9111-0731CC663E5E}">
  <dimension ref="A1:AS108"/>
  <sheetViews>
    <sheetView topLeftCell="A88" zoomScaleNormal="100" workbookViewId="0">
      <selection activeCell="M106" sqref="M106"/>
    </sheetView>
  </sheetViews>
  <sheetFormatPr defaultRowHeight="15" x14ac:dyDescent="0.25"/>
  <cols>
    <col min="2" max="2" width="15.28515625" bestFit="1" customWidth="1"/>
    <col min="4" max="4" width="12.140625" style="34" customWidth="1"/>
    <col min="5" max="5" width="10.85546875" bestFit="1" customWidth="1"/>
    <col min="6" max="6" width="10.85546875" customWidth="1"/>
    <col min="7" max="7" width="20.28515625" style="35" bestFit="1" customWidth="1"/>
    <col min="8" max="9" width="15" bestFit="1" customWidth="1"/>
    <col min="10" max="10" width="16.5703125" bestFit="1" customWidth="1"/>
    <col min="11" max="11" width="16.5703125" style="1" customWidth="1"/>
    <col min="12" max="12" width="16.5703125" customWidth="1"/>
    <col min="13" max="13" width="16.5703125" style="38" customWidth="1"/>
    <col min="16" max="16" width="9.28515625" bestFit="1" customWidth="1"/>
    <col min="38" max="38" width="7.140625" bestFit="1" customWidth="1"/>
    <col min="39" max="43" width="8.28515625" bestFit="1" customWidth="1"/>
    <col min="44" max="44" width="13.42578125" bestFit="1" customWidth="1"/>
    <col min="45" max="45" width="14.5703125" bestFit="1" customWidth="1"/>
  </cols>
  <sheetData>
    <row r="1" spans="1:45" x14ac:dyDescent="0.25">
      <c r="B1" s="21" t="s">
        <v>141</v>
      </c>
      <c r="E1" t="s">
        <v>255</v>
      </c>
    </row>
    <row r="2" spans="1:45" x14ac:dyDescent="0.25">
      <c r="B2" t="s">
        <v>262</v>
      </c>
      <c r="K2" s="1" t="s">
        <v>259</v>
      </c>
      <c r="Q2" s="40" t="s">
        <v>163</v>
      </c>
      <c r="R2" s="40"/>
      <c r="S2" s="40"/>
      <c r="T2" s="40"/>
      <c r="U2" s="40"/>
      <c r="V2" s="40"/>
      <c r="W2" s="40"/>
      <c r="X2" s="40"/>
      <c r="Y2" s="40"/>
      <c r="Z2" s="40"/>
      <c r="AA2" s="41" t="s">
        <v>164</v>
      </c>
      <c r="AB2" s="41"/>
      <c r="AC2" s="41"/>
      <c r="AD2" s="41"/>
      <c r="AE2" s="41"/>
      <c r="AF2" s="41"/>
      <c r="AG2" s="41"/>
      <c r="AH2" s="41"/>
      <c r="AI2" s="41"/>
      <c r="AJ2" s="41"/>
      <c r="AL2" s="19" t="s">
        <v>138</v>
      </c>
      <c r="AM2" s="19" t="s">
        <v>247</v>
      </c>
      <c r="AN2" s="19" t="s">
        <v>248</v>
      </c>
      <c r="AO2" s="19" t="s">
        <v>249</v>
      </c>
      <c r="AP2" s="19" t="s">
        <v>251</v>
      </c>
      <c r="AQ2" s="19" t="s">
        <v>250</v>
      </c>
      <c r="AR2" s="29" t="s">
        <v>144</v>
      </c>
      <c r="AS2" s="30" t="s">
        <v>166</v>
      </c>
    </row>
    <row r="3" spans="1:45" x14ac:dyDescent="0.25">
      <c r="A3" s="19" t="s">
        <v>138</v>
      </c>
      <c r="B3" s="19" t="s">
        <v>140</v>
      </c>
      <c r="C3" s="19" t="s">
        <v>139</v>
      </c>
      <c r="D3" s="33" t="s">
        <v>142</v>
      </c>
      <c r="E3" s="19" t="s">
        <v>143</v>
      </c>
      <c r="F3" s="19" t="s">
        <v>256</v>
      </c>
      <c r="G3" s="36" t="s">
        <v>257</v>
      </c>
      <c r="H3" s="19" t="s">
        <v>146</v>
      </c>
      <c r="I3" s="19" t="s">
        <v>165</v>
      </c>
      <c r="J3" s="19" t="s">
        <v>175</v>
      </c>
      <c r="K3" s="37" t="s">
        <v>258</v>
      </c>
      <c r="L3" s="19" t="s">
        <v>261</v>
      </c>
      <c r="M3" s="39" t="s">
        <v>260</v>
      </c>
      <c r="O3" s="19" t="s">
        <v>138</v>
      </c>
      <c r="P3" s="19" t="s">
        <v>145</v>
      </c>
      <c r="Q3" s="19">
        <v>1</v>
      </c>
      <c r="R3" s="19">
        <v>2</v>
      </c>
      <c r="S3" s="19">
        <v>3</v>
      </c>
      <c r="T3" s="19">
        <v>4</v>
      </c>
      <c r="U3" s="19">
        <v>5</v>
      </c>
      <c r="V3" s="19">
        <v>6</v>
      </c>
      <c r="W3" s="19">
        <v>7</v>
      </c>
      <c r="X3" s="19">
        <v>8</v>
      </c>
      <c r="Y3" s="19">
        <v>9</v>
      </c>
      <c r="Z3" s="19">
        <v>10</v>
      </c>
      <c r="AA3" s="19">
        <v>1</v>
      </c>
      <c r="AB3" s="19">
        <v>2</v>
      </c>
      <c r="AC3" s="19">
        <v>3</v>
      </c>
      <c r="AD3" s="19">
        <v>4</v>
      </c>
      <c r="AE3" s="19">
        <v>5</v>
      </c>
      <c r="AF3" s="19">
        <v>6</v>
      </c>
      <c r="AG3" s="19">
        <v>7</v>
      </c>
      <c r="AH3" s="19">
        <v>8</v>
      </c>
      <c r="AI3" s="19">
        <v>9</v>
      </c>
      <c r="AJ3" s="19">
        <v>10</v>
      </c>
    </row>
    <row r="4" spans="1:45" x14ac:dyDescent="0.25">
      <c r="E4">
        <v>29</v>
      </c>
      <c r="F4">
        <f t="shared" ref="F4:F68" si="0">+(E4/(12/43560))</f>
        <v>105270.00000000001</v>
      </c>
      <c r="G4" s="35" t="e">
        <f>+(F4/D4)*100</f>
        <v>#DIV/0!</v>
      </c>
      <c r="H4">
        <v>3</v>
      </c>
      <c r="I4">
        <v>0.68</v>
      </c>
      <c r="J4">
        <f>H4-I4</f>
        <v>2.3199999999999998</v>
      </c>
      <c r="K4" s="1">
        <v>32.67</v>
      </c>
      <c r="L4">
        <f>+(J4*(K4/100))/(12/43560)</f>
        <v>2751.3367200000002</v>
      </c>
      <c r="M4" s="38">
        <f>+(L4*0.0011023113109244)</f>
        <v>3.0328295866176394</v>
      </c>
      <c r="O4" s="22" t="s">
        <v>9</v>
      </c>
      <c r="P4" t="s">
        <v>65</v>
      </c>
      <c r="Q4">
        <v>6.61</v>
      </c>
      <c r="R4">
        <v>6.82</v>
      </c>
      <c r="S4">
        <v>7</v>
      </c>
      <c r="T4">
        <v>8.91</v>
      </c>
      <c r="U4">
        <v>10.73</v>
      </c>
      <c r="V4">
        <v>10.7</v>
      </c>
      <c r="W4">
        <v>8.34</v>
      </c>
      <c r="X4">
        <v>8.4700000000000006</v>
      </c>
      <c r="Y4">
        <v>9.4600000000000009</v>
      </c>
      <c r="Z4">
        <v>7.2</v>
      </c>
      <c r="AA4">
        <v>4.16</v>
      </c>
      <c r="AB4">
        <v>3.05</v>
      </c>
      <c r="AC4">
        <v>4.3499999999999996</v>
      </c>
      <c r="AD4">
        <v>9.32</v>
      </c>
      <c r="AE4">
        <v>5.28</v>
      </c>
      <c r="AF4">
        <v>5.12</v>
      </c>
      <c r="AG4">
        <v>3.24</v>
      </c>
      <c r="AH4">
        <v>4.0999999999999996</v>
      </c>
      <c r="AI4">
        <v>5.55</v>
      </c>
      <c r="AJ4">
        <v>3.26</v>
      </c>
      <c r="AL4" t="s">
        <v>9</v>
      </c>
      <c r="AM4">
        <v>60</v>
      </c>
      <c r="AN4">
        <v>45</v>
      </c>
      <c r="AO4">
        <v>55</v>
      </c>
      <c r="AP4">
        <v>41</v>
      </c>
      <c r="AQ4">
        <v>52</v>
      </c>
      <c r="AR4">
        <f>+SUM(AM4:AQ4)/5</f>
        <v>50.6</v>
      </c>
      <c r="AS4">
        <f>+(AR4*2.54)</f>
        <v>128.524</v>
      </c>
    </row>
    <row r="5" spans="1:45" x14ac:dyDescent="0.25">
      <c r="A5" t="s">
        <v>10</v>
      </c>
      <c r="B5" s="20">
        <f>(35+16+31)/3</f>
        <v>27.333333333333332</v>
      </c>
      <c r="C5" s="20">
        <f t="shared" ref="C5:C36" si="1">(B5*4)/7</f>
        <v>15.619047619047619</v>
      </c>
      <c r="D5" s="34">
        <f t="shared" ref="D5:D36" si="2">(C5*43560)</f>
        <v>680365.71428571432</v>
      </c>
      <c r="E5">
        <v>103</v>
      </c>
      <c r="F5">
        <f t="shared" si="0"/>
        <v>373890.00000000006</v>
      </c>
      <c r="G5" s="35">
        <f t="shared" ref="G5:G68" si="3">+(F5/D5)*100</f>
        <v>54.954268292682926</v>
      </c>
      <c r="H5">
        <v>3.26</v>
      </c>
      <c r="I5">
        <v>0.68</v>
      </c>
      <c r="J5">
        <f t="shared" ref="J5:J68" si="4">H5-I5</f>
        <v>2.5799999999999996</v>
      </c>
      <c r="K5" s="1">
        <v>30.29</v>
      </c>
      <c r="L5">
        <f t="shared" ref="L5:L68" si="5">+(J5*(K5/100))/(12/43560)</f>
        <v>2836.7796599999997</v>
      </c>
      <c r="O5" s="22" t="s">
        <v>10</v>
      </c>
      <c r="P5" t="s">
        <v>167</v>
      </c>
      <c r="Q5">
        <v>5.7</v>
      </c>
      <c r="R5">
        <v>4.49</v>
      </c>
      <c r="S5">
        <v>1.82</v>
      </c>
      <c r="T5">
        <v>4.57</v>
      </c>
      <c r="U5">
        <v>4.5</v>
      </c>
      <c r="V5">
        <v>3.93</v>
      </c>
      <c r="W5">
        <v>4.1900000000000004</v>
      </c>
      <c r="X5">
        <v>6.02</v>
      </c>
      <c r="Y5">
        <v>4.1900000000000004</v>
      </c>
      <c r="AA5">
        <v>2.5499999999999998</v>
      </c>
      <c r="AB5">
        <v>1.75</v>
      </c>
      <c r="AC5">
        <v>4.58</v>
      </c>
      <c r="AD5">
        <v>4.57</v>
      </c>
      <c r="AE5">
        <v>2</v>
      </c>
      <c r="AF5">
        <v>3</v>
      </c>
      <c r="AG5">
        <v>1.92</v>
      </c>
      <c r="AH5">
        <v>2.15</v>
      </c>
      <c r="AI5">
        <v>3.33</v>
      </c>
      <c r="AJ5">
        <v>1.8</v>
      </c>
      <c r="AL5" t="s">
        <v>10</v>
      </c>
      <c r="AM5">
        <v>29</v>
      </c>
      <c r="AN5">
        <v>44</v>
      </c>
      <c r="AO5">
        <v>55</v>
      </c>
      <c r="AP5">
        <v>49</v>
      </c>
      <c r="AQ5">
        <v>39</v>
      </c>
      <c r="AR5">
        <f t="shared" ref="AR5:AR39" si="6">+SUM(AM5:AQ5)/5</f>
        <v>43.2</v>
      </c>
      <c r="AS5">
        <f t="shared" ref="AS5:AS39" si="7">+(AR5*2.54)</f>
        <v>109.72800000000001</v>
      </c>
    </row>
    <row r="6" spans="1:45" x14ac:dyDescent="0.25">
      <c r="A6" t="s">
        <v>11</v>
      </c>
      <c r="B6" s="20">
        <f>(7+14+9)/3</f>
        <v>10</v>
      </c>
      <c r="C6" s="20">
        <f t="shared" si="1"/>
        <v>5.7142857142857144</v>
      </c>
      <c r="D6" s="34">
        <f t="shared" si="2"/>
        <v>248914.28571428571</v>
      </c>
      <c r="E6">
        <v>32</v>
      </c>
      <c r="F6">
        <f t="shared" si="0"/>
        <v>116160.00000000001</v>
      </c>
      <c r="G6" s="35">
        <f t="shared" si="3"/>
        <v>46.666666666666671</v>
      </c>
      <c r="H6">
        <v>2.36</v>
      </c>
      <c r="I6">
        <v>0.68</v>
      </c>
      <c r="J6">
        <f t="shared" si="4"/>
        <v>1.6799999999999997</v>
      </c>
      <c r="K6" s="1">
        <v>28.49</v>
      </c>
      <c r="L6">
        <f t="shared" si="5"/>
        <v>1737.4341599999998</v>
      </c>
      <c r="M6" s="38">
        <f t="shared" ref="M6:M68" si="8">+(L6*0.0011023113109244)</f>
        <v>1.9151933265544336</v>
      </c>
      <c r="O6" s="22" t="s">
        <v>11</v>
      </c>
      <c r="P6" t="s">
        <v>168</v>
      </c>
      <c r="Q6">
        <v>5.33</v>
      </c>
      <c r="R6">
        <v>5.76</v>
      </c>
      <c r="S6">
        <v>6.6</v>
      </c>
      <c r="T6">
        <v>7</v>
      </c>
      <c r="U6">
        <v>7.92</v>
      </c>
      <c r="V6">
        <v>4.87</v>
      </c>
      <c r="W6">
        <v>8.1999999999999993</v>
      </c>
      <c r="X6">
        <v>3.66</v>
      </c>
      <c r="Y6">
        <v>5.2</v>
      </c>
      <c r="Z6">
        <v>6.3</v>
      </c>
      <c r="AA6">
        <v>4.9000000000000004</v>
      </c>
      <c r="AB6">
        <v>4.38</v>
      </c>
      <c r="AC6">
        <v>2.9</v>
      </c>
      <c r="AD6">
        <v>4.09</v>
      </c>
      <c r="AE6">
        <v>3.21</v>
      </c>
      <c r="AF6">
        <v>2.52</v>
      </c>
      <c r="AG6">
        <v>2.27</v>
      </c>
      <c r="AH6">
        <v>2.46</v>
      </c>
      <c r="AI6">
        <v>2.74</v>
      </c>
      <c r="AJ6">
        <v>2.94</v>
      </c>
      <c r="AL6" t="s">
        <v>11</v>
      </c>
      <c r="AM6">
        <v>43</v>
      </c>
      <c r="AN6">
        <v>44</v>
      </c>
      <c r="AO6">
        <v>29</v>
      </c>
      <c r="AP6">
        <v>25</v>
      </c>
      <c r="AQ6">
        <v>34</v>
      </c>
      <c r="AR6">
        <f t="shared" si="6"/>
        <v>35</v>
      </c>
      <c r="AS6">
        <f t="shared" si="7"/>
        <v>88.9</v>
      </c>
    </row>
    <row r="7" spans="1:45" x14ac:dyDescent="0.25">
      <c r="A7" t="s">
        <v>12</v>
      </c>
      <c r="B7" s="20">
        <f>(25+23+6)/3</f>
        <v>18</v>
      </c>
      <c r="C7" s="20">
        <f t="shared" si="1"/>
        <v>10.285714285714286</v>
      </c>
      <c r="D7" s="34">
        <f t="shared" si="2"/>
        <v>448045.71428571432</v>
      </c>
      <c r="E7">
        <v>77</v>
      </c>
      <c r="F7">
        <f t="shared" si="0"/>
        <v>279510</v>
      </c>
      <c r="G7" s="35">
        <f t="shared" si="3"/>
        <v>62.384259259259252</v>
      </c>
      <c r="H7">
        <v>4.28</v>
      </c>
      <c r="I7">
        <v>0.68</v>
      </c>
      <c r="J7">
        <f t="shared" si="4"/>
        <v>3.6</v>
      </c>
      <c r="K7" s="1">
        <v>30.59</v>
      </c>
      <c r="L7">
        <f t="shared" si="5"/>
        <v>3997.5012000000002</v>
      </c>
      <c r="M7" s="38">
        <f t="shared" si="8"/>
        <v>4.4064907881938629</v>
      </c>
      <c r="O7" s="22" t="s">
        <v>12</v>
      </c>
      <c r="P7" t="s">
        <v>68</v>
      </c>
      <c r="Q7">
        <v>9.26</v>
      </c>
      <c r="R7">
        <v>8.1300000000000008</v>
      </c>
      <c r="S7">
        <v>6.26</v>
      </c>
      <c r="T7">
        <v>7.4</v>
      </c>
      <c r="U7">
        <v>9.61</v>
      </c>
      <c r="V7">
        <v>7.93</v>
      </c>
      <c r="W7">
        <v>10.58</v>
      </c>
      <c r="X7">
        <v>7.17</v>
      </c>
      <c r="Y7">
        <v>6.97</v>
      </c>
      <c r="Z7">
        <v>9.5</v>
      </c>
      <c r="AA7">
        <v>4.9000000000000004</v>
      </c>
      <c r="AB7">
        <v>4.38</v>
      </c>
      <c r="AC7">
        <v>2.9</v>
      </c>
      <c r="AD7">
        <v>4.09</v>
      </c>
      <c r="AE7">
        <v>3.21</v>
      </c>
      <c r="AF7">
        <v>2.52</v>
      </c>
      <c r="AG7">
        <v>2.27</v>
      </c>
      <c r="AH7">
        <v>2.46</v>
      </c>
      <c r="AI7">
        <v>2.74</v>
      </c>
      <c r="AJ7">
        <v>2.94</v>
      </c>
      <c r="AL7" t="s">
        <v>12</v>
      </c>
      <c r="AM7">
        <v>58</v>
      </c>
      <c r="AN7">
        <v>53</v>
      </c>
      <c r="AO7">
        <v>69</v>
      </c>
      <c r="AP7">
        <v>69</v>
      </c>
      <c r="AQ7">
        <v>72</v>
      </c>
      <c r="AR7">
        <f t="shared" si="6"/>
        <v>64.2</v>
      </c>
      <c r="AS7">
        <f t="shared" si="7"/>
        <v>163.06800000000001</v>
      </c>
    </row>
    <row r="8" spans="1:45" x14ac:dyDescent="0.25">
      <c r="A8" t="s">
        <v>13</v>
      </c>
      <c r="B8" s="20">
        <f>(2+9+20)/3</f>
        <v>10.333333333333334</v>
      </c>
      <c r="C8" s="20">
        <f t="shared" si="1"/>
        <v>5.9047619047619051</v>
      </c>
      <c r="D8" s="34">
        <f t="shared" si="2"/>
        <v>257211.42857142858</v>
      </c>
      <c r="E8">
        <v>42</v>
      </c>
      <c r="F8">
        <f t="shared" si="0"/>
        <v>152460</v>
      </c>
      <c r="G8" s="35">
        <f t="shared" si="3"/>
        <v>59.274193548387103</v>
      </c>
      <c r="H8">
        <v>2.58</v>
      </c>
      <c r="I8">
        <v>0.68</v>
      </c>
      <c r="J8">
        <f t="shared" si="4"/>
        <v>1.9</v>
      </c>
      <c r="K8" s="1">
        <v>31.4</v>
      </c>
      <c r="L8">
        <f t="shared" si="5"/>
        <v>2165.6580000000004</v>
      </c>
      <c r="M8" s="38">
        <f t="shared" si="8"/>
        <v>2.3872293089939149</v>
      </c>
      <c r="O8" s="22" t="s">
        <v>13</v>
      </c>
      <c r="P8" t="s">
        <v>69</v>
      </c>
      <c r="Q8">
        <v>7.18</v>
      </c>
      <c r="R8">
        <v>6.55</v>
      </c>
      <c r="S8">
        <v>5.88</v>
      </c>
      <c r="T8">
        <v>6.47</v>
      </c>
      <c r="U8">
        <v>4.96</v>
      </c>
      <c r="V8">
        <v>7.22</v>
      </c>
      <c r="W8">
        <v>5.42</v>
      </c>
      <c r="X8">
        <v>6.56</v>
      </c>
      <c r="Y8">
        <v>7.14</v>
      </c>
      <c r="Z8">
        <v>7.29</v>
      </c>
      <c r="AA8">
        <v>4.18</v>
      </c>
      <c r="AB8">
        <v>3</v>
      </c>
      <c r="AC8">
        <v>2.98</v>
      </c>
      <c r="AD8">
        <v>3.25</v>
      </c>
      <c r="AE8">
        <v>3.2</v>
      </c>
      <c r="AF8">
        <v>2.9</v>
      </c>
      <c r="AG8">
        <v>4.95</v>
      </c>
      <c r="AH8">
        <v>3.1</v>
      </c>
      <c r="AI8">
        <v>3</v>
      </c>
      <c r="AJ8">
        <v>3.59</v>
      </c>
      <c r="AL8" t="s">
        <v>13</v>
      </c>
      <c r="AM8">
        <v>48</v>
      </c>
      <c r="AN8">
        <v>44</v>
      </c>
      <c r="AO8">
        <v>42</v>
      </c>
      <c r="AP8">
        <v>49</v>
      </c>
      <c r="AQ8">
        <v>44</v>
      </c>
      <c r="AR8">
        <f t="shared" si="6"/>
        <v>45.4</v>
      </c>
      <c r="AS8">
        <f t="shared" si="7"/>
        <v>115.316</v>
      </c>
    </row>
    <row r="9" spans="1:45" x14ac:dyDescent="0.25">
      <c r="A9" t="s">
        <v>14</v>
      </c>
      <c r="B9" s="20">
        <f>(51+60+4)/3</f>
        <v>38.333333333333336</v>
      </c>
      <c r="C9" s="20">
        <f t="shared" si="1"/>
        <v>21.904761904761905</v>
      </c>
      <c r="D9" s="34">
        <f t="shared" si="2"/>
        <v>954171.42857142864</v>
      </c>
      <c r="E9">
        <v>160</v>
      </c>
      <c r="F9">
        <f t="shared" si="0"/>
        <v>580800</v>
      </c>
      <c r="G9" s="35">
        <f t="shared" si="3"/>
        <v>60.869565217391298</v>
      </c>
      <c r="H9">
        <v>5.5</v>
      </c>
      <c r="I9">
        <v>0.68</v>
      </c>
      <c r="J9">
        <f t="shared" si="4"/>
        <v>4.82</v>
      </c>
      <c r="K9" s="1">
        <v>30.79</v>
      </c>
      <c r="L9">
        <f t="shared" si="5"/>
        <v>5387.2031400000014</v>
      </c>
      <c r="M9" s="38">
        <f t="shared" si="8"/>
        <v>5.9383749554694463</v>
      </c>
      <c r="O9" s="22" t="s">
        <v>14</v>
      </c>
      <c r="P9" t="s">
        <v>70</v>
      </c>
      <c r="Q9">
        <v>4.2699999999999996</v>
      </c>
      <c r="R9">
        <v>7.73</v>
      </c>
      <c r="S9">
        <v>7.04</v>
      </c>
      <c r="T9">
        <v>4.9400000000000004</v>
      </c>
      <c r="U9">
        <v>7.95</v>
      </c>
      <c r="V9">
        <v>7.48</v>
      </c>
      <c r="W9">
        <v>6.47</v>
      </c>
      <c r="X9">
        <v>4.3099999999999996</v>
      </c>
      <c r="Y9">
        <v>4.41</v>
      </c>
      <c r="Z9">
        <v>9.24</v>
      </c>
      <c r="AA9">
        <v>3.42</v>
      </c>
      <c r="AB9">
        <v>3.6</v>
      </c>
      <c r="AC9">
        <v>2.7</v>
      </c>
      <c r="AD9">
        <v>3.06</v>
      </c>
      <c r="AE9">
        <v>2.71</v>
      </c>
      <c r="AF9">
        <v>2.5499999999999998</v>
      </c>
      <c r="AG9">
        <v>3.23</v>
      </c>
      <c r="AH9">
        <v>3.47</v>
      </c>
      <c r="AI9">
        <v>3.06</v>
      </c>
      <c r="AJ9">
        <v>3.84</v>
      </c>
      <c r="AL9" t="s">
        <v>14</v>
      </c>
      <c r="AM9">
        <v>66</v>
      </c>
      <c r="AN9">
        <v>80</v>
      </c>
      <c r="AO9">
        <v>47</v>
      </c>
      <c r="AP9">
        <v>44</v>
      </c>
      <c r="AQ9">
        <v>80</v>
      </c>
      <c r="AR9">
        <f t="shared" si="6"/>
        <v>63.4</v>
      </c>
      <c r="AS9">
        <f t="shared" si="7"/>
        <v>161.036</v>
      </c>
    </row>
    <row r="10" spans="1:45" x14ac:dyDescent="0.25">
      <c r="A10" t="s">
        <v>15</v>
      </c>
      <c r="B10" s="20">
        <f>(11+15+0)/3</f>
        <v>8.6666666666666661</v>
      </c>
      <c r="C10" s="20">
        <f t="shared" si="1"/>
        <v>4.9523809523809517</v>
      </c>
      <c r="D10" s="34">
        <f t="shared" si="2"/>
        <v>215725.71428571426</v>
      </c>
      <c r="E10">
        <v>80</v>
      </c>
      <c r="F10">
        <f t="shared" si="0"/>
        <v>290400</v>
      </c>
      <c r="G10" s="35">
        <f t="shared" si="3"/>
        <v>134.61538461538461</v>
      </c>
      <c r="H10">
        <v>4.54</v>
      </c>
      <c r="I10">
        <v>0.68</v>
      </c>
      <c r="J10">
        <f t="shared" si="4"/>
        <v>3.86</v>
      </c>
      <c r="K10" s="1">
        <v>31</v>
      </c>
      <c r="L10">
        <f t="shared" si="5"/>
        <v>4343.6580000000004</v>
      </c>
      <c r="M10" s="38">
        <f t="shared" si="8"/>
        <v>4.7880633441872584</v>
      </c>
      <c r="O10" s="22" t="s">
        <v>15</v>
      </c>
      <c r="P10" t="s">
        <v>170</v>
      </c>
      <c r="Q10">
        <v>9.1199999999999992</v>
      </c>
      <c r="R10">
        <v>6.63</v>
      </c>
      <c r="S10">
        <v>7.51</v>
      </c>
      <c r="T10">
        <v>8.08</v>
      </c>
      <c r="U10">
        <v>8.81</v>
      </c>
      <c r="V10">
        <v>9.31</v>
      </c>
      <c r="W10">
        <v>4.55</v>
      </c>
      <c r="X10">
        <v>6.96</v>
      </c>
      <c r="Y10">
        <v>9.17</v>
      </c>
      <c r="Z10">
        <v>8.9499999999999993</v>
      </c>
      <c r="AA10">
        <v>1.66</v>
      </c>
      <c r="AB10">
        <v>3.61</v>
      </c>
      <c r="AC10">
        <v>2.2200000000000002</v>
      </c>
      <c r="AD10">
        <v>2.2200000000000002</v>
      </c>
      <c r="AE10">
        <v>3.44</v>
      </c>
      <c r="AF10">
        <v>2.72</v>
      </c>
      <c r="AG10">
        <v>2.5499999999999998</v>
      </c>
      <c r="AH10">
        <v>1.42</v>
      </c>
      <c r="AI10">
        <v>1.5</v>
      </c>
      <c r="AJ10">
        <v>3.46</v>
      </c>
      <c r="AL10" t="s">
        <v>15</v>
      </c>
      <c r="AM10">
        <v>59</v>
      </c>
      <c r="AN10">
        <v>42</v>
      </c>
      <c r="AO10">
        <v>72</v>
      </c>
      <c r="AP10">
        <v>58</v>
      </c>
      <c r="AQ10">
        <v>62</v>
      </c>
      <c r="AR10">
        <f t="shared" si="6"/>
        <v>58.6</v>
      </c>
      <c r="AS10">
        <f t="shared" si="7"/>
        <v>148.84399999999999</v>
      </c>
    </row>
    <row r="11" spans="1:45" x14ac:dyDescent="0.25">
      <c r="A11" t="s">
        <v>16</v>
      </c>
      <c r="B11" s="20">
        <f>(8+32+26)/3</f>
        <v>22</v>
      </c>
      <c r="C11" s="20">
        <f t="shared" si="1"/>
        <v>12.571428571428571</v>
      </c>
      <c r="D11" s="34">
        <f t="shared" si="2"/>
        <v>547611.42857142852</v>
      </c>
      <c r="E11">
        <v>137</v>
      </c>
      <c r="F11">
        <f t="shared" si="0"/>
        <v>497310.00000000006</v>
      </c>
      <c r="G11" s="35">
        <f t="shared" si="3"/>
        <v>90.814393939393952</v>
      </c>
      <c r="H11">
        <v>3.3</v>
      </c>
      <c r="I11">
        <v>0.68</v>
      </c>
      <c r="J11">
        <f t="shared" si="4"/>
        <v>2.6199999999999997</v>
      </c>
      <c r="K11" s="1">
        <v>29.21</v>
      </c>
      <c r="L11">
        <f t="shared" si="5"/>
        <v>2778.0462600000001</v>
      </c>
      <c r="M11" s="38">
        <f t="shared" si="8"/>
        <v>3.0622718146692267</v>
      </c>
      <c r="O11" s="22" t="s">
        <v>16</v>
      </c>
      <c r="P11" t="s">
        <v>171</v>
      </c>
      <c r="Q11">
        <v>9.07</v>
      </c>
      <c r="R11">
        <v>7.72</v>
      </c>
      <c r="S11">
        <v>7.26</v>
      </c>
      <c r="T11">
        <v>5.09</v>
      </c>
      <c r="U11">
        <v>9.76</v>
      </c>
      <c r="V11">
        <v>7.39</v>
      </c>
      <c r="W11">
        <v>3.9</v>
      </c>
      <c r="X11">
        <v>5.13</v>
      </c>
      <c r="Y11">
        <v>5.27</v>
      </c>
      <c r="Z11">
        <v>6.27</v>
      </c>
      <c r="AA11">
        <v>3.17</v>
      </c>
      <c r="AB11">
        <v>3.17</v>
      </c>
      <c r="AC11">
        <v>2.84</v>
      </c>
      <c r="AD11">
        <v>2.46</v>
      </c>
      <c r="AE11">
        <v>2.77</v>
      </c>
      <c r="AF11">
        <v>4.5</v>
      </c>
      <c r="AG11">
        <v>1.23</v>
      </c>
      <c r="AH11">
        <v>2.15</v>
      </c>
      <c r="AI11">
        <v>3.26</v>
      </c>
      <c r="AJ11">
        <v>2.94</v>
      </c>
      <c r="AL11" t="s">
        <v>16</v>
      </c>
      <c r="AM11">
        <v>77</v>
      </c>
      <c r="AN11">
        <v>82</v>
      </c>
      <c r="AO11">
        <v>46</v>
      </c>
      <c r="AP11">
        <v>40</v>
      </c>
      <c r="AQ11">
        <v>62</v>
      </c>
      <c r="AR11">
        <f t="shared" si="6"/>
        <v>61.4</v>
      </c>
      <c r="AS11">
        <f t="shared" si="7"/>
        <v>155.95599999999999</v>
      </c>
    </row>
    <row r="12" spans="1:45" x14ac:dyDescent="0.25">
      <c r="A12" t="s">
        <v>17</v>
      </c>
      <c r="B12" s="20">
        <f>(52+4+39)/3</f>
        <v>31.666666666666668</v>
      </c>
      <c r="C12" s="20">
        <f t="shared" si="1"/>
        <v>18.095238095238095</v>
      </c>
      <c r="D12" s="34">
        <f t="shared" si="2"/>
        <v>788228.57142857136</v>
      </c>
      <c r="E12">
        <v>199</v>
      </c>
      <c r="F12">
        <f t="shared" si="0"/>
        <v>722370.00000000012</v>
      </c>
      <c r="G12" s="35">
        <f t="shared" si="3"/>
        <v>91.644736842105289</v>
      </c>
      <c r="H12">
        <v>6.5</v>
      </c>
      <c r="I12">
        <v>0.68</v>
      </c>
      <c r="J12">
        <f t="shared" si="4"/>
        <v>5.82</v>
      </c>
      <c r="K12" s="1">
        <v>30.1</v>
      </c>
      <c r="L12">
        <f t="shared" si="5"/>
        <v>6359.1066000000001</v>
      </c>
      <c r="M12" s="38">
        <f t="shared" si="8"/>
        <v>7.009715132554005</v>
      </c>
      <c r="O12" s="22" t="s">
        <v>17</v>
      </c>
      <c r="P12" t="s">
        <v>172</v>
      </c>
      <c r="Q12">
        <v>7.08</v>
      </c>
      <c r="R12">
        <v>4.24</v>
      </c>
      <c r="S12">
        <v>7.03</v>
      </c>
      <c r="T12">
        <v>5.81</v>
      </c>
      <c r="U12">
        <v>3.44</v>
      </c>
      <c r="V12">
        <v>6.23</v>
      </c>
      <c r="W12">
        <v>6.64</v>
      </c>
      <c r="X12">
        <v>8.08</v>
      </c>
      <c r="Y12">
        <v>6.95</v>
      </c>
      <c r="Z12">
        <v>7.98</v>
      </c>
      <c r="AA12">
        <v>3.87</v>
      </c>
      <c r="AB12">
        <v>2.25</v>
      </c>
      <c r="AC12">
        <v>2.4</v>
      </c>
      <c r="AD12">
        <v>2</v>
      </c>
      <c r="AE12">
        <v>3.8</v>
      </c>
      <c r="AF12">
        <v>2.77</v>
      </c>
      <c r="AG12">
        <v>1.93</v>
      </c>
      <c r="AH12">
        <v>1.91</v>
      </c>
      <c r="AI12">
        <v>2.08</v>
      </c>
      <c r="AJ12">
        <v>2.69</v>
      </c>
      <c r="AL12" t="s">
        <v>17</v>
      </c>
      <c r="AM12">
        <v>36</v>
      </c>
      <c r="AN12">
        <v>45</v>
      </c>
      <c r="AO12">
        <v>56</v>
      </c>
      <c r="AP12">
        <v>74</v>
      </c>
      <c r="AQ12">
        <v>71</v>
      </c>
      <c r="AR12">
        <f t="shared" si="6"/>
        <v>56.4</v>
      </c>
      <c r="AS12">
        <f t="shared" si="7"/>
        <v>143.256</v>
      </c>
    </row>
    <row r="13" spans="1:45" x14ac:dyDescent="0.25">
      <c r="A13" t="s">
        <v>18</v>
      </c>
      <c r="B13" s="20">
        <f>(24+22+14)/3</f>
        <v>20</v>
      </c>
      <c r="C13" s="20">
        <f t="shared" si="1"/>
        <v>11.428571428571429</v>
      </c>
      <c r="D13" s="34">
        <f t="shared" si="2"/>
        <v>497828.57142857142</v>
      </c>
      <c r="E13">
        <v>116</v>
      </c>
      <c r="F13">
        <f t="shared" si="0"/>
        <v>421080.00000000006</v>
      </c>
      <c r="G13" s="35">
        <f t="shared" si="3"/>
        <v>84.583333333333343</v>
      </c>
      <c r="H13">
        <v>4.8600000000000003</v>
      </c>
      <c r="I13">
        <v>0.68</v>
      </c>
      <c r="J13">
        <f>H13-I13</f>
        <v>4.1800000000000006</v>
      </c>
      <c r="K13" s="1">
        <v>28.64</v>
      </c>
      <c r="L13">
        <f t="shared" si="5"/>
        <v>4345.6617600000009</v>
      </c>
      <c r="M13" s="38">
        <f t="shared" si="8"/>
        <v>4.7902721114996369</v>
      </c>
      <c r="O13" s="22" t="s">
        <v>18</v>
      </c>
      <c r="P13" t="s">
        <v>173</v>
      </c>
      <c r="Q13">
        <v>6.85</v>
      </c>
      <c r="R13">
        <v>7.66</v>
      </c>
      <c r="S13">
        <v>9.5399999999999991</v>
      </c>
      <c r="T13">
        <v>9.5500000000000007</v>
      </c>
      <c r="U13">
        <v>7.22</v>
      </c>
      <c r="V13">
        <v>10.33</v>
      </c>
      <c r="W13">
        <v>8.58</v>
      </c>
      <c r="X13">
        <v>8.0500000000000007</v>
      </c>
      <c r="Y13">
        <v>9.01</v>
      </c>
      <c r="Z13">
        <v>6.99</v>
      </c>
      <c r="AA13">
        <v>3.17</v>
      </c>
      <c r="AB13">
        <v>2.14</v>
      </c>
      <c r="AC13">
        <v>3.13</v>
      </c>
      <c r="AD13">
        <v>2.6</v>
      </c>
      <c r="AE13">
        <v>2.2200000000000002</v>
      </c>
      <c r="AF13">
        <v>2.4300000000000002</v>
      </c>
      <c r="AG13">
        <v>2.78</v>
      </c>
      <c r="AH13">
        <v>3.38</v>
      </c>
      <c r="AI13">
        <v>3.2</v>
      </c>
      <c r="AJ13">
        <v>4</v>
      </c>
      <c r="AL13" t="s">
        <v>18</v>
      </c>
      <c r="AM13">
        <v>50</v>
      </c>
      <c r="AN13">
        <v>74</v>
      </c>
      <c r="AO13">
        <v>58</v>
      </c>
      <c r="AP13">
        <v>80</v>
      </c>
      <c r="AQ13">
        <v>80</v>
      </c>
      <c r="AR13">
        <f t="shared" si="6"/>
        <v>68.400000000000006</v>
      </c>
      <c r="AS13">
        <f t="shared" si="7"/>
        <v>173.73600000000002</v>
      </c>
    </row>
    <row r="14" spans="1:45" x14ac:dyDescent="0.25">
      <c r="A14" t="s">
        <v>19</v>
      </c>
      <c r="B14" s="20">
        <f>(26+35+3)/3</f>
        <v>21.333333333333332</v>
      </c>
      <c r="C14" s="20">
        <f t="shared" si="1"/>
        <v>12.19047619047619</v>
      </c>
      <c r="D14" s="34">
        <f t="shared" si="2"/>
        <v>531017.14285714284</v>
      </c>
      <c r="E14">
        <v>88</v>
      </c>
      <c r="F14">
        <f t="shared" si="0"/>
        <v>319440</v>
      </c>
      <c r="G14" s="35">
        <f t="shared" si="3"/>
        <v>60.15625</v>
      </c>
      <c r="H14">
        <v>5.52</v>
      </c>
      <c r="I14">
        <v>0.68</v>
      </c>
      <c r="J14">
        <f t="shared" si="4"/>
        <v>4.84</v>
      </c>
      <c r="K14" s="1">
        <v>26.43</v>
      </c>
      <c r="L14">
        <f t="shared" si="5"/>
        <v>4643.5395599999993</v>
      </c>
      <c r="M14" s="38">
        <f t="shared" si="8"/>
        <v>5.1186261797129111</v>
      </c>
      <c r="O14" s="22" t="s">
        <v>19</v>
      </c>
      <c r="P14" t="s">
        <v>174</v>
      </c>
      <c r="Q14">
        <v>7.74</v>
      </c>
      <c r="R14">
        <v>9.4600000000000009</v>
      </c>
      <c r="S14">
        <v>7.59</v>
      </c>
      <c r="T14">
        <v>7.8</v>
      </c>
      <c r="U14">
        <v>8.99</v>
      </c>
      <c r="V14">
        <v>5.92</v>
      </c>
      <c r="W14">
        <v>5.48</v>
      </c>
      <c r="X14">
        <v>7.48</v>
      </c>
      <c r="Y14">
        <v>5.0999999999999996</v>
      </c>
      <c r="Z14">
        <v>9.5399999999999991</v>
      </c>
      <c r="AA14">
        <v>3.22</v>
      </c>
      <c r="AB14">
        <v>3.53</v>
      </c>
      <c r="AC14">
        <v>4.1399999999999997</v>
      </c>
      <c r="AD14">
        <v>4.3</v>
      </c>
      <c r="AE14">
        <v>3.45</v>
      </c>
      <c r="AF14">
        <v>3.93</v>
      </c>
      <c r="AG14">
        <v>3.55</v>
      </c>
      <c r="AH14">
        <v>4.13</v>
      </c>
      <c r="AI14">
        <v>3.18</v>
      </c>
      <c r="AJ14">
        <v>2.67</v>
      </c>
      <c r="AL14" t="s">
        <v>19</v>
      </c>
      <c r="AM14">
        <v>61</v>
      </c>
      <c r="AN14">
        <v>76</v>
      </c>
      <c r="AO14">
        <v>78</v>
      </c>
      <c r="AP14">
        <v>64</v>
      </c>
      <c r="AQ14">
        <v>75</v>
      </c>
      <c r="AR14">
        <f t="shared" si="6"/>
        <v>70.8</v>
      </c>
      <c r="AS14">
        <f t="shared" si="7"/>
        <v>179.83199999999999</v>
      </c>
    </row>
    <row r="15" spans="1:45" x14ac:dyDescent="0.25">
      <c r="A15" t="s">
        <v>20</v>
      </c>
      <c r="B15" s="20">
        <f>(51+70+70)/3</f>
        <v>63.666666666666664</v>
      </c>
      <c r="C15" s="20">
        <f t="shared" si="1"/>
        <v>36.38095238095238</v>
      </c>
      <c r="D15" s="34">
        <f t="shared" si="2"/>
        <v>1584754.2857142857</v>
      </c>
      <c r="E15">
        <v>195</v>
      </c>
      <c r="F15">
        <f t="shared" si="0"/>
        <v>707850.00000000012</v>
      </c>
      <c r="G15" s="35">
        <f t="shared" si="3"/>
        <v>44.666230366492158</v>
      </c>
      <c r="H15">
        <v>5.82</v>
      </c>
      <c r="I15">
        <v>0.68</v>
      </c>
      <c r="J15">
        <f t="shared" si="4"/>
        <v>5.1400000000000006</v>
      </c>
      <c r="K15" s="1">
        <v>29.17</v>
      </c>
      <c r="L15">
        <f t="shared" si="5"/>
        <v>5442.5969400000013</v>
      </c>
      <c r="M15" s="38">
        <f t="shared" si="8"/>
        <v>5.9994361677645296</v>
      </c>
      <c r="O15" s="22" t="s">
        <v>20</v>
      </c>
      <c r="P15" t="s">
        <v>152</v>
      </c>
      <c r="Q15">
        <v>6.16</v>
      </c>
      <c r="R15">
        <v>3.25</v>
      </c>
      <c r="S15">
        <v>9.94</v>
      </c>
      <c r="T15">
        <v>8.14</v>
      </c>
      <c r="U15">
        <v>4.2699999999999996</v>
      </c>
      <c r="V15">
        <v>7.07</v>
      </c>
      <c r="W15">
        <v>6.35</v>
      </c>
      <c r="X15">
        <v>3.75</v>
      </c>
      <c r="Y15">
        <v>6.67</v>
      </c>
      <c r="Z15">
        <v>2.79</v>
      </c>
      <c r="AA15">
        <v>3.28</v>
      </c>
      <c r="AB15">
        <v>3.73</v>
      </c>
      <c r="AC15">
        <v>2.8</v>
      </c>
      <c r="AD15">
        <v>3.92</v>
      </c>
      <c r="AE15">
        <v>3.76</v>
      </c>
      <c r="AF15">
        <v>2.1</v>
      </c>
      <c r="AG15">
        <v>2.2400000000000002</v>
      </c>
      <c r="AH15">
        <v>3.25</v>
      </c>
      <c r="AI15">
        <v>2.7</v>
      </c>
      <c r="AJ15">
        <v>4.6900000000000004</v>
      </c>
      <c r="AL15" t="s">
        <v>20</v>
      </c>
      <c r="AM15">
        <v>55</v>
      </c>
      <c r="AN15">
        <v>59</v>
      </c>
      <c r="AO15">
        <v>52</v>
      </c>
      <c r="AP15">
        <v>60</v>
      </c>
      <c r="AQ15">
        <v>66</v>
      </c>
      <c r="AR15">
        <f t="shared" si="6"/>
        <v>58.4</v>
      </c>
      <c r="AS15">
        <f t="shared" si="7"/>
        <v>148.33599999999998</v>
      </c>
    </row>
    <row r="16" spans="1:45" x14ac:dyDescent="0.25">
      <c r="A16" t="s">
        <v>76</v>
      </c>
      <c r="B16" s="20">
        <f>(3+38+39)/3</f>
        <v>26.666666666666668</v>
      </c>
      <c r="C16" s="20">
        <f t="shared" si="1"/>
        <v>15.238095238095239</v>
      </c>
      <c r="D16" s="34">
        <f t="shared" si="2"/>
        <v>663771.42857142864</v>
      </c>
      <c r="E16">
        <v>93</v>
      </c>
      <c r="F16">
        <f t="shared" si="0"/>
        <v>337590.00000000006</v>
      </c>
      <c r="G16" s="35">
        <f t="shared" si="3"/>
        <v>50.859375000000007</v>
      </c>
      <c r="H16">
        <v>8.7200000000000006</v>
      </c>
      <c r="I16">
        <v>0.68</v>
      </c>
      <c r="J16">
        <f t="shared" si="4"/>
        <v>8.0400000000000009</v>
      </c>
      <c r="K16" s="1">
        <v>28.07</v>
      </c>
      <c r="L16">
        <f t="shared" si="5"/>
        <v>8192.2856400000019</v>
      </c>
      <c r="M16" s="38">
        <f t="shared" si="8"/>
        <v>9.0304491232955399</v>
      </c>
      <c r="O16" s="22" t="s">
        <v>76</v>
      </c>
      <c r="P16" t="s">
        <v>151</v>
      </c>
      <c r="Q16">
        <v>13.05</v>
      </c>
      <c r="R16">
        <v>12.82</v>
      </c>
      <c r="S16">
        <v>10.63</v>
      </c>
      <c r="T16">
        <v>9.75</v>
      </c>
      <c r="U16">
        <v>9.9700000000000006</v>
      </c>
      <c r="V16">
        <v>15.63</v>
      </c>
      <c r="W16">
        <v>7.63</v>
      </c>
      <c r="X16">
        <v>6.23</v>
      </c>
      <c r="Y16">
        <v>6.58</v>
      </c>
      <c r="Z16">
        <v>11.04</v>
      </c>
      <c r="AA16">
        <v>2.66</v>
      </c>
      <c r="AB16">
        <v>1.48</v>
      </c>
      <c r="AC16">
        <v>4.3</v>
      </c>
      <c r="AD16">
        <v>2.88</v>
      </c>
      <c r="AE16">
        <v>1.7</v>
      </c>
      <c r="AF16">
        <v>3</v>
      </c>
      <c r="AG16">
        <v>2.1</v>
      </c>
      <c r="AH16">
        <v>1.55</v>
      </c>
      <c r="AI16">
        <v>3.34</v>
      </c>
      <c r="AJ16">
        <v>1.1599999999999999</v>
      </c>
      <c r="AL16" t="s">
        <v>76</v>
      </c>
      <c r="AM16">
        <v>117</v>
      </c>
      <c r="AN16">
        <v>119</v>
      </c>
      <c r="AO16">
        <v>123</v>
      </c>
      <c r="AP16">
        <v>96</v>
      </c>
      <c r="AQ16">
        <v>96</v>
      </c>
      <c r="AR16">
        <f t="shared" si="6"/>
        <v>110.2</v>
      </c>
      <c r="AS16">
        <f t="shared" si="7"/>
        <v>279.90800000000002</v>
      </c>
    </row>
    <row r="17" spans="1:45" x14ac:dyDescent="0.25">
      <c r="A17" t="s">
        <v>77</v>
      </c>
      <c r="B17" s="20">
        <f>(12+2+45)/3</f>
        <v>19.666666666666668</v>
      </c>
      <c r="C17" s="20">
        <f t="shared" si="1"/>
        <v>11.238095238095239</v>
      </c>
      <c r="D17" s="34">
        <f t="shared" si="2"/>
        <v>489531.42857142864</v>
      </c>
      <c r="E17">
        <v>86</v>
      </c>
      <c r="F17">
        <f t="shared" si="0"/>
        <v>312180</v>
      </c>
      <c r="G17" s="35">
        <f t="shared" si="3"/>
        <v>63.771186440677965</v>
      </c>
      <c r="H17">
        <v>8.1199999999999992</v>
      </c>
      <c r="I17">
        <v>0.68</v>
      </c>
      <c r="J17">
        <f t="shared" si="4"/>
        <v>7.4399999999999995</v>
      </c>
      <c r="K17" s="1">
        <v>28.19</v>
      </c>
      <c r="L17">
        <f t="shared" si="5"/>
        <v>7613.3296800000016</v>
      </c>
      <c r="M17" s="38">
        <f t="shared" si="8"/>
        <v>8.3922594200604443</v>
      </c>
      <c r="O17" s="22" t="s">
        <v>77</v>
      </c>
      <c r="P17" t="s">
        <v>169</v>
      </c>
      <c r="Q17">
        <v>13.84</v>
      </c>
      <c r="R17">
        <v>11.23</v>
      </c>
      <c r="S17">
        <v>8.1</v>
      </c>
      <c r="T17">
        <v>10.09</v>
      </c>
      <c r="U17">
        <v>10.199999999999999</v>
      </c>
      <c r="V17">
        <v>5.93</v>
      </c>
      <c r="W17">
        <v>6.23</v>
      </c>
      <c r="X17">
        <v>5.41</v>
      </c>
      <c r="Y17">
        <v>6.42</v>
      </c>
      <c r="Z17">
        <v>9.5</v>
      </c>
      <c r="AA17">
        <v>4.8</v>
      </c>
      <c r="AB17">
        <v>5.5</v>
      </c>
      <c r="AC17">
        <v>4</v>
      </c>
      <c r="AD17">
        <v>3.7</v>
      </c>
      <c r="AE17">
        <v>3.4</v>
      </c>
      <c r="AF17">
        <v>4.67</v>
      </c>
      <c r="AG17">
        <v>3.73</v>
      </c>
      <c r="AH17">
        <v>1.92</v>
      </c>
      <c r="AI17">
        <v>2.33</v>
      </c>
      <c r="AJ17">
        <v>3.05</v>
      </c>
      <c r="AL17" t="s">
        <v>77</v>
      </c>
      <c r="AM17">
        <v>92</v>
      </c>
      <c r="AN17">
        <v>95</v>
      </c>
      <c r="AO17">
        <v>68</v>
      </c>
      <c r="AP17">
        <v>67</v>
      </c>
      <c r="AQ17">
        <v>91</v>
      </c>
      <c r="AR17">
        <f t="shared" si="6"/>
        <v>82.6</v>
      </c>
      <c r="AS17">
        <f t="shared" si="7"/>
        <v>209.804</v>
      </c>
    </row>
    <row r="18" spans="1:45" x14ac:dyDescent="0.25">
      <c r="A18" t="s">
        <v>78</v>
      </c>
      <c r="B18" s="20">
        <f>(5+46+26)/3</f>
        <v>25.666666666666668</v>
      </c>
      <c r="C18" s="20">
        <f t="shared" si="1"/>
        <v>14.666666666666668</v>
      </c>
      <c r="D18" s="34">
        <f t="shared" si="2"/>
        <v>638880</v>
      </c>
      <c r="E18">
        <v>87</v>
      </c>
      <c r="F18">
        <f t="shared" si="0"/>
        <v>315810</v>
      </c>
      <c r="G18" s="35">
        <f t="shared" si="3"/>
        <v>49.43181818181818</v>
      </c>
      <c r="H18">
        <v>6.42</v>
      </c>
      <c r="I18">
        <v>0.68</v>
      </c>
      <c r="J18">
        <f t="shared" si="4"/>
        <v>5.74</v>
      </c>
      <c r="K18" s="1">
        <v>28.26</v>
      </c>
      <c r="L18">
        <f t="shared" si="5"/>
        <v>5888.310120000001</v>
      </c>
      <c r="M18" s="38">
        <f t="shared" si="8"/>
        <v>6.4907508475066127</v>
      </c>
      <c r="O18" s="22" t="s">
        <v>78</v>
      </c>
      <c r="P18" t="s">
        <v>154</v>
      </c>
      <c r="Q18">
        <v>12.17</v>
      </c>
      <c r="R18">
        <v>9.58</v>
      </c>
      <c r="S18">
        <v>3.58</v>
      </c>
      <c r="T18">
        <v>9.43</v>
      </c>
      <c r="U18">
        <v>9.6</v>
      </c>
      <c r="V18">
        <v>8.15</v>
      </c>
      <c r="W18">
        <v>8.77</v>
      </c>
      <c r="X18">
        <v>9.1199999999999992</v>
      </c>
      <c r="Y18">
        <v>13.96</v>
      </c>
      <c r="Z18">
        <v>12.89</v>
      </c>
      <c r="AA18">
        <v>5.8</v>
      </c>
      <c r="AB18">
        <v>3.1</v>
      </c>
      <c r="AC18">
        <v>2.85</v>
      </c>
      <c r="AD18">
        <v>2.6</v>
      </c>
      <c r="AE18">
        <v>2.2400000000000002</v>
      </c>
      <c r="AF18">
        <v>2.25</v>
      </c>
      <c r="AG18">
        <v>2.2000000000000002</v>
      </c>
      <c r="AH18">
        <v>2.0499999999999998</v>
      </c>
      <c r="AI18">
        <v>2.2999999999999998</v>
      </c>
      <c r="AJ18">
        <v>4.22</v>
      </c>
      <c r="AL18" t="s">
        <v>78</v>
      </c>
      <c r="AM18">
        <v>91</v>
      </c>
      <c r="AN18">
        <v>82</v>
      </c>
      <c r="AO18">
        <v>82</v>
      </c>
      <c r="AP18">
        <v>77</v>
      </c>
      <c r="AQ18">
        <v>106</v>
      </c>
      <c r="AR18">
        <f t="shared" si="6"/>
        <v>87.6</v>
      </c>
      <c r="AS18">
        <f t="shared" si="7"/>
        <v>222.50399999999999</v>
      </c>
    </row>
    <row r="19" spans="1:45" x14ac:dyDescent="0.25">
      <c r="A19" t="s">
        <v>79</v>
      </c>
      <c r="B19" s="20">
        <f>(16+1+5)/3</f>
        <v>7.333333333333333</v>
      </c>
      <c r="C19" s="20">
        <f t="shared" si="1"/>
        <v>4.1904761904761907</v>
      </c>
      <c r="D19" s="34">
        <f t="shared" si="2"/>
        <v>182537.14285714287</v>
      </c>
      <c r="E19">
        <v>60</v>
      </c>
      <c r="F19">
        <f t="shared" si="0"/>
        <v>217800.00000000003</v>
      </c>
      <c r="G19" s="35">
        <f t="shared" si="3"/>
        <v>119.31818181818184</v>
      </c>
      <c r="H19">
        <v>3.78</v>
      </c>
      <c r="I19">
        <v>0.68</v>
      </c>
      <c r="J19">
        <f t="shared" si="4"/>
        <v>3.0999999999999996</v>
      </c>
      <c r="K19" s="1">
        <v>31.26</v>
      </c>
      <c r="L19">
        <f t="shared" si="5"/>
        <v>3517.6877999999997</v>
      </c>
      <c r="M19" s="38">
        <f t="shared" si="8"/>
        <v>3.8775870502407686</v>
      </c>
      <c r="O19" s="22" t="s">
        <v>79</v>
      </c>
      <c r="P19" t="s">
        <v>153</v>
      </c>
      <c r="Q19">
        <v>8.9700000000000006</v>
      </c>
      <c r="R19">
        <v>9.8000000000000007</v>
      </c>
      <c r="S19">
        <v>8.4</v>
      </c>
      <c r="T19">
        <v>7.53</v>
      </c>
      <c r="U19">
        <v>6.12</v>
      </c>
      <c r="V19">
        <v>4.8899999999999997</v>
      </c>
      <c r="W19">
        <v>6.77</v>
      </c>
      <c r="X19">
        <v>11.56</v>
      </c>
      <c r="Y19">
        <v>7.34</v>
      </c>
      <c r="Z19">
        <v>9.84</v>
      </c>
      <c r="AA19">
        <v>4.5999999999999996</v>
      </c>
      <c r="AB19">
        <v>4.33</v>
      </c>
      <c r="AC19">
        <v>1.01</v>
      </c>
      <c r="AD19">
        <v>5.46</v>
      </c>
      <c r="AE19">
        <v>3.24</v>
      </c>
      <c r="AF19">
        <v>2.83</v>
      </c>
      <c r="AG19">
        <v>3.39</v>
      </c>
      <c r="AH19">
        <v>3.35</v>
      </c>
      <c r="AI19">
        <v>4.22</v>
      </c>
      <c r="AJ19">
        <v>5.07</v>
      </c>
      <c r="AL19" t="s">
        <v>79</v>
      </c>
      <c r="AM19">
        <v>72</v>
      </c>
      <c r="AN19">
        <v>60</v>
      </c>
      <c r="AO19">
        <v>36</v>
      </c>
      <c r="AP19">
        <v>72</v>
      </c>
      <c r="AQ19">
        <v>55</v>
      </c>
      <c r="AR19">
        <f t="shared" si="6"/>
        <v>59</v>
      </c>
      <c r="AS19">
        <f t="shared" si="7"/>
        <v>149.86000000000001</v>
      </c>
    </row>
    <row r="20" spans="1:45" x14ac:dyDescent="0.25">
      <c r="A20" t="s">
        <v>80</v>
      </c>
      <c r="B20" s="20">
        <f>(72+69+6)/3</f>
        <v>49</v>
      </c>
      <c r="C20" s="20">
        <f t="shared" si="1"/>
        <v>28</v>
      </c>
      <c r="D20" s="34">
        <f t="shared" si="2"/>
        <v>1219680</v>
      </c>
      <c r="E20">
        <v>198</v>
      </c>
      <c r="F20">
        <f t="shared" si="0"/>
        <v>718740.00000000012</v>
      </c>
      <c r="G20" s="35">
        <f t="shared" si="3"/>
        <v>58.928571428571445</v>
      </c>
      <c r="H20">
        <v>4.8</v>
      </c>
      <c r="I20">
        <v>0.68</v>
      </c>
      <c r="J20">
        <f t="shared" si="4"/>
        <v>4.12</v>
      </c>
      <c r="K20" s="1">
        <v>32.24</v>
      </c>
      <c r="L20">
        <f t="shared" si="5"/>
        <v>4821.6854400000011</v>
      </c>
      <c r="M20" s="38">
        <f t="shared" si="8"/>
        <v>5.3149983982314941</v>
      </c>
      <c r="O20" s="22" t="s">
        <v>80</v>
      </c>
      <c r="P20" t="s">
        <v>252</v>
      </c>
      <c r="Q20">
        <v>7.65</v>
      </c>
      <c r="R20">
        <v>4.6399999999999997</v>
      </c>
      <c r="S20">
        <v>7.9</v>
      </c>
      <c r="T20">
        <v>3.12</v>
      </c>
      <c r="U20">
        <v>4.59</v>
      </c>
      <c r="V20">
        <v>5.37</v>
      </c>
      <c r="W20">
        <v>4.7699999999999996</v>
      </c>
      <c r="X20">
        <v>8.52</v>
      </c>
      <c r="Y20">
        <v>4.9000000000000004</v>
      </c>
      <c r="Z20">
        <v>3.33</v>
      </c>
      <c r="AA20">
        <v>3.93</v>
      </c>
      <c r="AB20">
        <v>3.02</v>
      </c>
      <c r="AC20">
        <v>2.16</v>
      </c>
      <c r="AD20">
        <v>1.93</v>
      </c>
      <c r="AE20">
        <v>2.2000000000000002</v>
      </c>
      <c r="AF20">
        <v>2.0499999999999998</v>
      </c>
      <c r="AG20">
        <v>2.4</v>
      </c>
      <c r="AH20">
        <v>3.11</v>
      </c>
      <c r="AI20">
        <v>2.73</v>
      </c>
      <c r="AJ20">
        <v>2.88</v>
      </c>
      <c r="AL20" t="s">
        <v>80</v>
      </c>
      <c r="AM20">
        <v>40</v>
      </c>
      <c r="AN20">
        <v>60</v>
      </c>
      <c r="AO20">
        <v>53</v>
      </c>
      <c r="AP20">
        <v>60</v>
      </c>
      <c r="AQ20">
        <v>54</v>
      </c>
      <c r="AR20">
        <f t="shared" si="6"/>
        <v>53.4</v>
      </c>
      <c r="AS20">
        <f t="shared" si="7"/>
        <v>135.636</v>
      </c>
    </row>
    <row r="21" spans="1:45" x14ac:dyDescent="0.25">
      <c r="A21" t="s">
        <v>81</v>
      </c>
      <c r="B21" s="20">
        <f>(2+68+48)/3</f>
        <v>39.333333333333336</v>
      </c>
      <c r="C21" s="20">
        <f t="shared" si="1"/>
        <v>22.476190476190478</v>
      </c>
      <c r="D21" s="34">
        <f t="shared" si="2"/>
        <v>979062.85714285728</v>
      </c>
      <c r="E21">
        <v>320</v>
      </c>
      <c r="F21">
        <f t="shared" si="0"/>
        <v>1161600</v>
      </c>
      <c r="G21" s="35">
        <f t="shared" si="3"/>
        <v>118.64406779661016</v>
      </c>
      <c r="H21">
        <v>5.38</v>
      </c>
      <c r="I21">
        <v>0.68</v>
      </c>
      <c r="J21">
        <f t="shared" si="4"/>
        <v>4.7</v>
      </c>
      <c r="K21" s="1">
        <v>37.369999999999997</v>
      </c>
      <c r="L21">
        <f t="shared" si="5"/>
        <v>6375.6957000000002</v>
      </c>
      <c r="M21" s="38">
        <f t="shared" si="8"/>
        <v>7.0280014851220605</v>
      </c>
      <c r="O21" s="22" t="s">
        <v>81</v>
      </c>
      <c r="P21" t="s">
        <v>75</v>
      </c>
      <c r="Q21">
        <v>5.19</v>
      </c>
      <c r="R21">
        <v>5.35</v>
      </c>
      <c r="S21">
        <v>4.0199999999999996</v>
      </c>
      <c r="T21">
        <v>4.92</v>
      </c>
      <c r="U21">
        <v>3.29</v>
      </c>
      <c r="V21">
        <v>3.22</v>
      </c>
      <c r="W21">
        <v>5.19</v>
      </c>
      <c r="X21">
        <v>3.59</v>
      </c>
      <c r="Y21">
        <v>4.1900000000000004</v>
      </c>
      <c r="Z21">
        <v>4.79</v>
      </c>
      <c r="AA21">
        <v>2.7</v>
      </c>
      <c r="AB21">
        <v>2.02</v>
      </c>
      <c r="AC21">
        <v>2.5299999999999998</v>
      </c>
      <c r="AD21">
        <v>1.32</v>
      </c>
      <c r="AE21">
        <v>1.82</v>
      </c>
      <c r="AF21">
        <v>2.17</v>
      </c>
      <c r="AG21">
        <v>2.35</v>
      </c>
      <c r="AH21">
        <v>2.16</v>
      </c>
      <c r="AI21">
        <v>2.27</v>
      </c>
      <c r="AJ21">
        <v>0.93</v>
      </c>
      <c r="AL21" t="s">
        <v>81</v>
      </c>
      <c r="AM21">
        <v>49</v>
      </c>
      <c r="AN21">
        <v>53</v>
      </c>
      <c r="AO21">
        <v>42</v>
      </c>
      <c r="AP21">
        <v>50</v>
      </c>
      <c r="AQ21">
        <v>49</v>
      </c>
      <c r="AR21">
        <f t="shared" si="6"/>
        <v>48.6</v>
      </c>
      <c r="AS21">
        <f t="shared" si="7"/>
        <v>123.444</v>
      </c>
    </row>
    <row r="22" spans="1:45" x14ac:dyDescent="0.25">
      <c r="A22" t="s">
        <v>82</v>
      </c>
      <c r="B22" s="20">
        <f>(9+42+30)/3</f>
        <v>27</v>
      </c>
      <c r="C22" s="20">
        <f t="shared" si="1"/>
        <v>15.428571428571429</v>
      </c>
      <c r="D22" s="34">
        <f t="shared" si="2"/>
        <v>672068.57142857148</v>
      </c>
      <c r="E22">
        <v>97</v>
      </c>
      <c r="F22">
        <f t="shared" si="0"/>
        <v>352110.00000000006</v>
      </c>
      <c r="G22" s="35">
        <f t="shared" si="3"/>
        <v>52.391975308641982</v>
      </c>
      <c r="H22">
        <v>5.24</v>
      </c>
      <c r="I22">
        <v>0.68</v>
      </c>
      <c r="J22">
        <f t="shared" si="4"/>
        <v>4.5600000000000005</v>
      </c>
      <c r="K22" s="1">
        <v>27.28</v>
      </c>
      <c r="L22">
        <f t="shared" si="5"/>
        <v>4515.6038400000007</v>
      </c>
      <c r="M22" s="38">
        <f t="shared" si="8"/>
        <v>4.9776011884856555</v>
      </c>
      <c r="O22" s="21" t="s">
        <v>82</v>
      </c>
      <c r="P22" t="s">
        <v>70</v>
      </c>
      <c r="Q22">
        <v>11.32</v>
      </c>
      <c r="R22">
        <v>9.42</v>
      </c>
      <c r="S22">
        <v>9.9600000000000009</v>
      </c>
      <c r="T22">
        <v>8.17</v>
      </c>
      <c r="U22">
        <v>5.49</v>
      </c>
      <c r="V22">
        <v>9.6300000000000008</v>
      </c>
      <c r="W22">
        <v>6.54</v>
      </c>
      <c r="X22">
        <v>6.59</v>
      </c>
      <c r="Y22">
        <v>9.23</v>
      </c>
      <c r="Z22">
        <v>7.11</v>
      </c>
      <c r="AA22">
        <v>2.89</v>
      </c>
      <c r="AB22">
        <v>3.07</v>
      </c>
      <c r="AC22">
        <v>1.89</v>
      </c>
      <c r="AD22">
        <v>5.3</v>
      </c>
      <c r="AE22">
        <v>2.2400000000000002</v>
      </c>
      <c r="AF22">
        <v>2.13</v>
      </c>
      <c r="AG22">
        <v>2.66</v>
      </c>
      <c r="AH22">
        <v>2.2999999999999998</v>
      </c>
      <c r="AI22">
        <v>3.17</v>
      </c>
      <c r="AL22" t="s">
        <v>82</v>
      </c>
      <c r="AM22">
        <v>88</v>
      </c>
      <c r="AN22">
        <v>80</v>
      </c>
      <c r="AO22">
        <v>86</v>
      </c>
      <c r="AP22">
        <v>85</v>
      </c>
      <c r="AQ22">
        <v>81</v>
      </c>
      <c r="AR22">
        <f t="shared" si="6"/>
        <v>84</v>
      </c>
      <c r="AS22">
        <f>+(AR22*2.54)</f>
        <v>213.36</v>
      </c>
    </row>
    <row r="23" spans="1:45" x14ac:dyDescent="0.25">
      <c r="A23" t="s">
        <v>83</v>
      </c>
      <c r="B23" s="20">
        <f>(44+64+2)/3</f>
        <v>36.666666666666664</v>
      </c>
      <c r="C23" s="20">
        <f t="shared" si="1"/>
        <v>20.952380952380953</v>
      </c>
      <c r="D23" s="34">
        <f t="shared" si="2"/>
        <v>912685.71428571432</v>
      </c>
      <c r="E23">
        <v>160</v>
      </c>
      <c r="F23">
        <f t="shared" si="0"/>
        <v>580800</v>
      </c>
      <c r="G23" s="35">
        <f t="shared" si="3"/>
        <v>63.636363636363633</v>
      </c>
      <c r="H23">
        <v>6.76</v>
      </c>
      <c r="I23">
        <v>0.68</v>
      </c>
      <c r="J23">
        <f t="shared" si="4"/>
        <v>6.08</v>
      </c>
      <c r="K23" s="1">
        <v>26.24</v>
      </c>
      <c r="L23">
        <f t="shared" si="5"/>
        <v>5791.2729600000002</v>
      </c>
      <c r="M23" s="38">
        <f t="shared" si="8"/>
        <v>6.383785688458631</v>
      </c>
      <c r="O23" s="21" t="s">
        <v>83</v>
      </c>
      <c r="P23" t="s">
        <v>152</v>
      </c>
      <c r="Q23">
        <v>9.1</v>
      </c>
      <c r="R23">
        <v>6.95</v>
      </c>
      <c r="S23">
        <v>6.71</v>
      </c>
      <c r="T23">
        <v>5.36</v>
      </c>
      <c r="U23">
        <v>6.51</v>
      </c>
      <c r="V23">
        <v>9.2200000000000006</v>
      </c>
      <c r="W23">
        <v>8.59</v>
      </c>
      <c r="X23">
        <v>8.25</v>
      </c>
      <c r="Y23">
        <v>11.2</v>
      </c>
      <c r="Z23">
        <v>9.1300000000000008</v>
      </c>
      <c r="AA23">
        <v>3.22</v>
      </c>
      <c r="AB23">
        <v>3.1</v>
      </c>
      <c r="AC23">
        <v>3.21</v>
      </c>
      <c r="AD23">
        <v>3.37</v>
      </c>
      <c r="AE23">
        <v>1.57</v>
      </c>
      <c r="AF23">
        <v>3.98</v>
      </c>
      <c r="AG23">
        <v>2.4900000000000002</v>
      </c>
      <c r="AH23">
        <v>3.48</v>
      </c>
      <c r="AI23">
        <v>2.63</v>
      </c>
      <c r="AJ23">
        <v>2.25</v>
      </c>
      <c r="AL23" t="s">
        <v>83</v>
      </c>
      <c r="AM23">
        <v>96</v>
      </c>
      <c r="AN23">
        <v>61</v>
      </c>
      <c r="AO23">
        <v>85</v>
      </c>
      <c r="AP23">
        <v>64</v>
      </c>
      <c r="AQ23">
        <v>68</v>
      </c>
      <c r="AR23">
        <f t="shared" si="6"/>
        <v>74.8</v>
      </c>
      <c r="AS23">
        <f t="shared" si="7"/>
        <v>189.99199999999999</v>
      </c>
    </row>
    <row r="24" spans="1:45" x14ac:dyDescent="0.25">
      <c r="A24" t="s">
        <v>84</v>
      </c>
      <c r="B24" s="20">
        <f>(21+2+22)/3</f>
        <v>15</v>
      </c>
      <c r="C24" s="20">
        <f t="shared" si="1"/>
        <v>8.5714285714285712</v>
      </c>
      <c r="D24" s="34">
        <f t="shared" si="2"/>
        <v>373371.42857142858</v>
      </c>
      <c r="E24">
        <v>77</v>
      </c>
      <c r="F24">
        <f t="shared" si="0"/>
        <v>279510</v>
      </c>
      <c r="G24" s="35">
        <f t="shared" si="3"/>
        <v>74.861111111111114</v>
      </c>
      <c r="H24">
        <v>4.72</v>
      </c>
      <c r="I24">
        <v>0.68</v>
      </c>
      <c r="J24">
        <f t="shared" si="4"/>
        <v>4.04</v>
      </c>
      <c r="K24" s="1">
        <v>28.25</v>
      </c>
      <c r="L24">
        <f t="shared" si="5"/>
        <v>4142.9189999999999</v>
      </c>
      <c r="M24" s="38">
        <f t="shared" si="8"/>
        <v>4.5667864739436048</v>
      </c>
      <c r="O24" s="21" t="s">
        <v>84</v>
      </c>
      <c r="P24" t="s">
        <v>68</v>
      </c>
      <c r="Q24">
        <v>12.2</v>
      </c>
      <c r="R24">
        <v>7.15</v>
      </c>
      <c r="S24">
        <v>5.99</v>
      </c>
      <c r="T24">
        <v>8.1</v>
      </c>
      <c r="U24">
        <v>9.98</v>
      </c>
      <c r="V24">
        <v>5.18</v>
      </c>
      <c r="W24">
        <v>8.7200000000000006</v>
      </c>
      <c r="X24">
        <v>5.55</v>
      </c>
      <c r="Y24">
        <v>8.2899999999999991</v>
      </c>
      <c r="Z24">
        <v>7.42</v>
      </c>
      <c r="AA24">
        <v>2.64</v>
      </c>
      <c r="AB24">
        <v>3.22</v>
      </c>
      <c r="AC24">
        <v>3.5</v>
      </c>
      <c r="AD24">
        <v>2.16</v>
      </c>
      <c r="AE24">
        <v>3.21</v>
      </c>
      <c r="AF24">
        <v>2.1800000000000002</v>
      </c>
      <c r="AG24">
        <v>3.7</v>
      </c>
      <c r="AH24">
        <v>2.81</v>
      </c>
      <c r="AI24">
        <v>2.8</v>
      </c>
      <c r="AJ24">
        <v>3.13</v>
      </c>
      <c r="AL24" t="s">
        <v>84</v>
      </c>
      <c r="AM24">
        <v>51</v>
      </c>
      <c r="AN24">
        <v>73</v>
      </c>
      <c r="AO24">
        <v>59</v>
      </c>
      <c r="AP24">
        <v>54</v>
      </c>
      <c r="AQ24">
        <v>48</v>
      </c>
      <c r="AR24">
        <f t="shared" si="6"/>
        <v>57</v>
      </c>
      <c r="AS24">
        <f t="shared" si="7"/>
        <v>144.78</v>
      </c>
    </row>
    <row r="25" spans="1:45" x14ac:dyDescent="0.25">
      <c r="A25" t="s">
        <v>85</v>
      </c>
      <c r="B25" s="20">
        <f>(32+22+27)/3</f>
        <v>27</v>
      </c>
      <c r="C25" s="20">
        <f t="shared" si="1"/>
        <v>15.428571428571429</v>
      </c>
      <c r="D25" s="34">
        <f t="shared" si="2"/>
        <v>672068.57142857148</v>
      </c>
      <c r="E25">
        <v>68</v>
      </c>
      <c r="F25">
        <f t="shared" si="0"/>
        <v>246840.00000000003</v>
      </c>
      <c r="G25" s="35">
        <f t="shared" si="3"/>
        <v>36.728395061728399</v>
      </c>
      <c r="H25">
        <v>6.18</v>
      </c>
      <c r="I25">
        <v>0.68</v>
      </c>
      <c r="J25">
        <f t="shared" si="4"/>
        <v>5.5</v>
      </c>
      <c r="K25" s="1">
        <v>28.37</v>
      </c>
      <c r="L25">
        <f t="shared" si="5"/>
        <v>5664.0705000000007</v>
      </c>
      <c r="M25" s="38">
        <f t="shared" si="8"/>
        <v>6.2435689780232231</v>
      </c>
      <c r="O25" s="21" t="s">
        <v>85</v>
      </c>
      <c r="P25" t="s">
        <v>151</v>
      </c>
      <c r="Q25">
        <v>12.81</v>
      </c>
      <c r="R25">
        <v>8.2200000000000006</v>
      </c>
      <c r="S25">
        <v>13.37</v>
      </c>
      <c r="T25">
        <v>14.82</v>
      </c>
      <c r="U25">
        <v>7.79</v>
      </c>
      <c r="V25">
        <v>14.66</v>
      </c>
      <c r="W25">
        <v>9.73</v>
      </c>
      <c r="X25">
        <v>16.850000000000001</v>
      </c>
      <c r="Y25">
        <v>13.39</v>
      </c>
      <c r="Z25">
        <v>11.66</v>
      </c>
      <c r="AA25">
        <v>4.3600000000000003</v>
      </c>
      <c r="AB25">
        <v>2.5099999999999998</v>
      </c>
      <c r="AC25">
        <v>1.97</v>
      </c>
      <c r="AD25">
        <v>3.86</v>
      </c>
      <c r="AE25">
        <v>1.97</v>
      </c>
      <c r="AF25">
        <v>1.64</v>
      </c>
      <c r="AG25">
        <v>2.73</v>
      </c>
      <c r="AH25">
        <v>1.99</v>
      </c>
      <c r="AI25">
        <v>2.13</v>
      </c>
      <c r="AJ25">
        <v>1.21</v>
      </c>
      <c r="AL25" t="s">
        <v>85</v>
      </c>
      <c r="AM25">
        <v>110</v>
      </c>
      <c r="AN25">
        <v>129</v>
      </c>
      <c r="AO25">
        <v>111</v>
      </c>
      <c r="AP25">
        <v>113</v>
      </c>
      <c r="AQ25">
        <v>105</v>
      </c>
      <c r="AR25">
        <f t="shared" si="6"/>
        <v>113.6</v>
      </c>
      <c r="AS25">
        <f t="shared" si="7"/>
        <v>288.54399999999998</v>
      </c>
    </row>
    <row r="26" spans="1:45" x14ac:dyDescent="0.25">
      <c r="A26" t="s">
        <v>86</v>
      </c>
      <c r="B26" s="20">
        <f>(26+37+4)/3</f>
        <v>22.333333333333332</v>
      </c>
      <c r="C26" s="20">
        <f t="shared" si="1"/>
        <v>12.761904761904761</v>
      </c>
      <c r="D26" s="34">
        <f t="shared" si="2"/>
        <v>555908.57142857136</v>
      </c>
      <c r="E26">
        <v>89</v>
      </c>
      <c r="F26">
        <f t="shared" si="0"/>
        <v>323070.00000000006</v>
      </c>
      <c r="G26" s="35">
        <f t="shared" si="3"/>
        <v>58.115671641791067</v>
      </c>
      <c r="H26">
        <v>2.97</v>
      </c>
      <c r="I26">
        <v>0.68</v>
      </c>
      <c r="J26">
        <f t="shared" si="4"/>
        <v>2.29</v>
      </c>
      <c r="K26" s="1">
        <v>29</v>
      </c>
      <c r="L26">
        <f t="shared" si="5"/>
        <v>2410.683</v>
      </c>
      <c r="M26" s="38">
        <f t="shared" si="8"/>
        <v>2.6573231379531657</v>
      </c>
      <c r="O26" s="21" t="s">
        <v>86</v>
      </c>
      <c r="P26" t="s">
        <v>65</v>
      </c>
      <c r="Q26">
        <v>5.95</v>
      </c>
      <c r="R26">
        <v>5.39</v>
      </c>
      <c r="S26">
        <v>6.65</v>
      </c>
      <c r="T26">
        <v>6.55</v>
      </c>
      <c r="U26">
        <v>5.82</v>
      </c>
      <c r="V26">
        <v>8.5399999999999991</v>
      </c>
      <c r="W26">
        <v>7.55</v>
      </c>
      <c r="X26">
        <v>7.12</v>
      </c>
      <c r="Y26">
        <v>5.88</v>
      </c>
      <c r="Z26">
        <v>6.19</v>
      </c>
      <c r="AA26">
        <v>3.25</v>
      </c>
      <c r="AB26">
        <v>2.82</v>
      </c>
      <c r="AC26">
        <v>3.89</v>
      </c>
      <c r="AD26">
        <v>2.97</v>
      </c>
      <c r="AE26">
        <v>1.35</v>
      </c>
      <c r="AF26">
        <v>4.76</v>
      </c>
      <c r="AG26">
        <v>3.81</v>
      </c>
      <c r="AH26">
        <v>3.53</v>
      </c>
      <c r="AI26">
        <v>3.03</v>
      </c>
      <c r="AJ26">
        <v>2.65</v>
      </c>
      <c r="AL26" t="s">
        <v>86</v>
      </c>
      <c r="AM26">
        <v>37</v>
      </c>
      <c r="AN26">
        <v>55</v>
      </c>
      <c r="AO26">
        <v>59</v>
      </c>
      <c r="AP26">
        <v>58</v>
      </c>
      <c r="AQ26">
        <v>48</v>
      </c>
      <c r="AR26">
        <f t="shared" si="6"/>
        <v>51.4</v>
      </c>
      <c r="AS26">
        <f t="shared" si="7"/>
        <v>130.55600000000001</v>
      </c>
    </row>
    <row r="27" spans="1:45" x14ac:dyDescent="0.25">
      <c r="A27" t="s">
        <v>87</v>
      </c>
      <c r="B27" s="20">
        <f>(6+50+38)/3</f>
        <v>31.333333333333332</v>
      </c>
      <c r="C27" s="20">
        <f t="shared" si="1"/>
        <v>17.904761904761905</v>
      </c>
      <c r="D27" s="34">
        <f t="shared" si="2"/>
        <v>779931.42857142864</v>
      </c>
      <c r="E27">
        <v>93</v>
      </c>
      <c r="F27">
        <f t="shared" si="0"/>
        <v>337590.00000000006</v>
      </c>
      <c r="G27" s="35">
        <f t="shared" si="3"/>
        <v>43.284574468085104</v>
      </c>
      <c r="H27">
        <v>4</v>
      </c>
      <c r="I27">
        <v>0.68</v>
      </c>
      <c r="J27">
        <f t="shared" si="4"/>
        <v>3.32</v>
      </c>
      <c r="K27" s="1">
        <v>26.68</v>
      </c>
      <c r="L27">
        <f t="shared" si="5"/>
        <v>3215.36688</v>
      </c>
      <c r="M27" s="38">
        <f t="shared" si="8"/>
        <v>3.544335280595698</v>
      </c>
      <c r="O27" s="21" t="s">
        <v>87</v>
      </c>
      <c r="P27" t="s">
        <v>172</v>
      </c>
      <c r="Q27">
        <v>9.61</v>
      </c>
      <c r="R27">
        <v>7.33</v>
      </c>
      <c r="S27">
        <v>8.75</v>
      </c>
      <c r="T27">
        <v>7.57</v>
      </c>
      <c r="U27">
        <v>10.28</v>
      </c>
      <c r="V27">
        <v>11.51</v>
      </c>
      <c r="W27">
        <v>8.44</v>
      </c>
      <c r="X27">
        <v>9.0299999999999994</v>
      </c>
      <c r="Y27">
        <v>9.6</v>
      </c>
      <c r="Z27">
        <v>5.91</v>
      </c>
      <c r="AA27">
        <v>2.54</v>
      </c>
      <c r="AB27">
        <v>3.69</v>
      </c>
      <c r="AC27">
        <v>2.46</v>
      </c>
      <c r="AD27">
        <v>2.91</v>
      </c>
      <c r="AE27">
        <v>2.2000000000000002</v>
      </c>
      <c r="AF27">
        <v>1.96</v>
      </c>
      <c r="AG27">
        <v>2.37</v>
      </c>
      <c r="AH27">
        <v>2.4</v>
      </c>
      <c r="AI27">
        <v>2.1800000000000002</v>
      </c>
      <c r="AJ27">
        <v>2.77</v>
      </c>
      <c r="AL27" t="s">
        <v>87</v>
      </c>
      <c r="AM27">
        <v>76</v>
      </c>
      <c r="AN27">
        <v>87</v>
      </c>
      <c r="AO27">
        <v>91</v>
      </c>
      <c r="AP27">
        <v>93</v>
      </c>
      <c r="AQ27">
        <v>80</v>
      </c>
      <c r="AR27">
        <f t="shared" si="6"/>
        <v>85.4</v>
      </c>
      <c r="AS27">
        <f t="shared" si="7"/>
        <v>216.91600000000003</v>
      </c>
    </row>
    <row r="28" spans="1:45" x14ac:dyDescent="0.25">
      <c r="A28" t="s">
        <v>88</v>
      </c>
      <c r="B28" s="20">
        <f>(13+15+2)/3</f>
        <v>10</v>
      </c>
      <c r="C28" s="20">
        <f t="shared" si="1"/>
        <v>5.7142857142857144</v>
      </c>
      <c r="D28" s="34">
        <f t="shared" si="2"/>
        <v>248914.28571428571</v>
      </c>
      <c r="E28">
        <v>35</v>
      </c>
      <c r="F28">
        <f t="shared" si="0"/>
        <v>127050.00000000001</v>
      </c>
      <c r="G28" s="35">
        <f t="shared" si="3"/>
        <v>51.041666666666671</v>
      </c>
      <c r="H28">
        <v>2.74</v>
      </c>
      <c r="I28">
        <v>0.68</v>
      </c>
      <c r="J28">
        <f t="shared" si="4"/>
        <v>2.06</v>
      </c>
      <c r="K28" s="1">
        <v>30.06</v>
      </c>
      <c r="L28">
        <f t="shared" si="5"/>
        <v>2247.8266800000001</v>
      </c>
      <c r="M28" s="38">
        <f t="shared" si="8"/>
        <v>2.4778047743616423</v>
      </c>
      <c r="O28" s="21" t="s">
        <v>88</v>
      </c>
      <c r="P28" t="s">
        <v>153</v>
      </c>
      <c r="Q28">
        <v>4.0999999999999996</v>
      </c>
      <c r="R28">
        <v>8.26</v>
      </c>
      <c r="S28">
        <v>9.2799999999999994</v>
      </c>
      <c r="T28">
        <v>10.130000000000001</v>
      </c>
      <c r="U28">
        <v>5.81</v>
      </c>
      <c r="V28">
        <v>7.42</v>
      </c>
      <c r="W28">
        <v>5.81</v>
      </c>
      <c r="X28">
        <v>8.81</v>
      </c>
      <c r="Y28">
        <v>6.66</v>
      </c>
      <c r="Z28">
        <v>10.3</v>
      </c>
      <c r="AA28">
        <v>3.46</v>
      </c>
      <c r="AB28">
        <v>3.15</v>
      </c>
      <c r="AC28">
        <v>4.26</v>
      </c>
      <c r="AD28">
        <v>3.32</v>
      </c>
      <c r="AE28">
        <v>3.5</v>
      </c>
      <c r="AF28">
        <v>3.59</v>
      </c>
      <c r="AG28">
        <v>2.72</v>
      </c>
      <c r="AH28">
        <v>2.11</v>
      </c>
      <c r="AI28">
        <v>3.63</v>
      </c>
      <c r="AJ28">
        <v>1.76</v>
      </c>
      <c r="AL28" t="s">
        <v>88</v>
      </c>
      <c r="AM28">
        <v>49</v>
      </c>
      <c r="AN28">
        <v>65</v>
      </c>
      <c r="AO28">
        <v>49</v>
      </c>
      <c r="AP28">
        <v>67</v>
      </c>
      <c r="AQ28">
        <v>75</v>
      </c>
      <c r="AR28">
        <f t="shared" si="6"/>
        <v>61</v>
      </c>
      <c r="AS28">
        <f t="shared" si="7"/>
        <v>154.94</v>
      </c>
    </row>
    <row r="29" spans="1:45" x14ac:dyDescent="0.25">
      <c r="A29" t="s">
        <v>89</v>
      </c>
      <c r="B29" s="20">
        <f>(18+14+27)/3</f>
        <v>19.666666666666668</v>
      </c>
      <c r="C29" s="20">
        <f t="shared" si="1"/>
        <v>11.238095238095239</v>
      </c>
      <c r="D29" s="34">
        <f t="shared" si="2"/>
        <v>489531.42857142864</v>
      </c>
      <c r="E29">
        <v>197</v>
      </c>
      <c r="F29">
        <f t="shared" si="0"/>
        <v>715110.00000000012</v>
      </c>
      <c r="G29" s="35">
        <f t="shared" si="3"/>
        <v>146.08050847457628</v>
      </c>
      <c r="H29">
        <v>4.76</v>
      </c>
      <c r="I29">
        <v>0.68</v>
      </c>
      <c r="J29">
        <f t="shared" si="4"/>
        <v>4.08</v>
      </c>
      <c r="K29" s="1">
        <v>32.33</v>
      </c>
      <c r="L29">
        <f t="shared" si="5"/>
        <v>4788.2023200000003</v>
      </c>
      <c r="M29" s="38">
        <f t="shared" si="8"/>
        <v>5.2780895763304541</v>
      </c>
      <c r="O29" s="21" t="s">
        <v>89</v>
      </c>
      <c r="P29" t="s">
        <v>173</v>
      </c>
      <c r="Q29">
        <v>6.99</v>
      </c>
      <c r="R29">
        <v>5.78</v>
      </c>
      <c r="S29">
        <v>7.34</v>
      </c>
      <c r="T29">
        <v>4.91</v>
      </c>
      <c r="U29">
        <v>3.64</v>
      </c>
      <c r="V29">
        <v>3.48</v>
      </c>
      <c r="W29">
        <v>4.9400000000000004</v>
      </c>
      <c r="X29">
        <v>3.28</v>
      </c>
      <c r="Y29">
        <v>2.34</v>
      </c>
      <c r="Z29">
        <v>5.19</v>
      </c>
      <c r="AA29">
        <v>2.15</v>
      </c>
      <c r="AB29">
        <v>2.99</v>
      </c>
      <c r="AC29">
        <v>3.88</v>
      </c>
      <c r="AD29">
        <v>4.26</v>
      </c>
      <c r="AE29">
        <v>2.2200000000000002</v>
      </c>
      <c r="AF29">
        <v>3.48</v>
      </c>
      <c r="AG29">
        <v>2.46</v>
      </c>
      <c r="AH29">
        <v>2.68</v>
      </c>
      <c r="AI29">
        <v>1.89</v>
      </c>
      <c r="AJ29">
        <v>2.95</v>
      </c>
      <c r="AL29" t="s">
        <v>89</v>
      </c>
      <c r="AM29">
        <v>56</v>
      </c>
      <c r="AN29">
        <v>53</v>
      </c>
      <c r="AO29">
        <v>52</v>
      </c>
      <c r="AP29">
        <v>53</v>
      </c>
      <c r="AQ29">
        <v>48</v>
      </c>
      <c r="AR29">
        <f t="shared" si="6"/>
        <v>52.4</v>
      </c>
      <c r="AS29">
        <f t="shared" si="7"/>
        <v>133.096</v>
      </c>
    </row>
    <row r="30" spans="1:45" x14ac:dyDescent="0.25">
      <c r="A30" t="s">
        <v>90</v>
      </c>
      <c r="B30" s="20">
        <f>(43+32+11)/3</f>
        <v>28.666666666666668</v>
      </c>
      <c r="C30" s="20">
        <f t="shared" si="1"/>
        <v>16.380952380952383</v>
      </c>
      <c r="D30" s="34">
        <f t="shared" si="2"/>
        <v>713554.2857142858</v>
      </c>
      <c r="E30">
        <v>148</v>
      </c>
      <c r="F30">
        <f t="shared" si="0"/>
        <v>537240</v>
      </c>
      <c r="G30" s="35">
        <f t="shared" si="3"/>
        <v>75.290697674418595</v>
      </c>
      <c r="H30">
        <v>3.62</v>
      </c>
      <c r="I30">
        <v>0.68</v>
      </c>
      <c r="J30">
        <f t="shared" si="4"/>
        <v>2.94</v>
      </c>
      <c r="K30" s="1">
        <v>30.78</v>
      </c>
      <c r="L30">
        <f t="shared" si="5"/>
        <v>3284.9031600000008</v>
      </c>
      <c r="M30" s="38">
        <f t="shared" si="8"/>
        <v>3.6209859085593052</v>
      </c>
      <c r="O30" s="21" t="s">
        <v>90</v>
      </c>
      <c r="P30" t="s">
        <v>171</v>
      </c>
      <c r="Q30">
        <v>4.5999999999999996</v>
      </c>
      <c r="R30">
        <v>7.75</v>
      </c>
      <c r="S30">
        <v>5.13</v>
      </c>
      <c r="T30">
        <v>8.35</v>
      </c>
      <c r="U30">
        <v>3.78</v>
      </c>
      <c r="V30">
        <v>8.16</v>
      </c>
      <c r="W30">
        <v>5.14</v>
      </c>
      <c r="X30">
        <v>11.48</v>
      </c>
      <c r="Y30">
        <v>5.82</v>
      </c>
      <c r="Z30">
        <v>7.37</v>
      </c>
      <c r="AA30">
        <v>2.75</v>
      </c>
      <c r="AB30">
        <v>2.9</v>
      </c>
      <c r="AC30">
        <v>3.8</v>
      </c>
      <c r="AD30">
        <v>2.2400000000000002</v>
      </c>
      <c r="AE30">
        <v>1.7</v>
      </c>
      <c r="AF30">
        <v>2.58</v>
      </c>
      <c r="AG30">
        <v>2.5</v>
      </c>
      <c r="AH30">
        <v>2.17</v>
      </c>
      <c r="AI30">
        <v>0.67</v>
      </c>
      <c r="AJ30">
        <v>2.86</v>
      </c>
      <c r="AL30" t="s">
        <v>90</v>
      </c>
      <c r="AM30">
        <v>69</v>
      </c>
      <c r="AN30">
        <v>84</v>
      </c>
      <c r="AO30">
        <v>73</v>
      </c>
      <c r="AP30">
        <v>84</v>
      </c>
      <c r="AQ30">
        <v>80</v>
      </c>
      <c r="AR30">
        <f t="shared" si="6"/>
        <v>78</v>
      </c>
      <c r="AS30">
        <f t="shared" si="7"/>
        <v>198.12</v>
      </c>
    </row>
    <row r="31" spans="1:45" x14ac:dyDescent="0.25">
      <c r="A31" t="s">
        <v>91</v>
      </c>
      <c r="B31" s="20">
        <f>(15+11+7)/3</f>
        <v>11</v>
      </c>
      <c r="C31" s="20">
        <f t="shared" si="1"/>
        <v>6.2857142857142856</v>
      </c>
      <c r="D31" s="34">
        <f t="shared" si="2"/>
        <v>273805.71428571426</v>
      </c>
      <c r="E31">
        <v>34</v>
      </c>
      <c r="F31">
        <f t="shared" si="0"/>
        <v>123420.00000000001</v>
      </c>
      <c r="G31" s="35">
        <f t="shared" si="3"/>
        <v>45.075757575757585</v>
      </c>
      <c r="H31">
        <v>3.78</v>
      </c>
      <c r="I31">
        <v>0.68</v>
      </c>
      <c r="J31">
        <f t="shared" si="4"/>
        <v>3.0999999999999996</v>
      </c>
      <c r="K31" s="1">
        <v>29.31</v>
      </c>
      <c r="L31">
        <f t="shared" si="5"/>
        <v>3298.2542999999996</v>
      </c>
      <c r="M31" s="38">
        <f t="shared" si="8"/>
        <v>3.635703021195039</v>
      </c>
      <c r="O31" s="21" t="s">
        <v>91</v>
      </c>
      <c r="P31" t="s">
        <v>168</v>
      </c>
      <c r="Q31">
        <v>8.5500000000000007</v>
      </c>
      <c r="R31">
        <v>7.3</v>
      </c>
      <c r="S31">
        <v>6.86</v>
      </c>
      <c r="T31">
        <v>5.96</v>
      </c>
      <c r="U31">
        <v>6.08</v>
      </c>
      <c r="V31">
        <v>5.55</v>
      </c>
      <c r="W31">
        <v>5.55</v>
      </c>
      <c r="X31">
        <v>4.16</v>
      </c>
      <c r="Y31">
        <v>5.17</v>
      </c>
      <c r="Z31">
        <v>4.83</v>
      </c>
      <c r="AA31">
        <v>3.04</v>
      </c>
      <c r="AB31">
        <v>1.58</v>
      </c>
      <c r="AC31">
        <v>2.27</v>
      </c>
      <c r="AD31">
        <v>2.85</v>
      </c>
      <c r="AE31">
        <v>2.4500000000000002</v>
      </c>
      <c r="AF31">
        <v>2.71</v>
      </c>
      <c r="AG31">
        <v>2.6</v>
      </c>
      <c r="AH31">
        <v>5.05</v>
      </c>
      <c r="AI31">
        <v>2.21</v>
      </c>
      <c r="AJ31">
        <v>3.26</v>
      </c>
      <c r="AL31" t="s">
        <v>91</v>
      </c>
      <c r="AM31">
        <v>48</v>
      </c>
      <c r="AN31">
        <v>41</v>
      </c>
      <c r="AO31">
        <v>66</v>
      </c>
      <c r="AP31">
        <v>39</v>
      </c>
      <c r="AQ31">
        <v>51</v>
      </c>
      <c r="AR31">
        <f t="shared" si="6"/>
        <v>49</v>
      </c>
      <c r="AS31">
        <f t="shared" si="7"/>
        <v>124.46000000000001</v>
      </c>
    </row>
    <row r="32" spans="1:45" x14ac:dyDescent="0.25">
      <c r="A32" t="s">
        <v>92</v>
      </c>
      <c r="B32" s="20">
        <f>(57+63+21)/3</f>
        <v>47</v>
      </c>
      <c r="C32" s="20">
        <f t="shared" si="1"/>
        <v>26.857142857142858</v>
      </c>
      <c r="D32" s="34">
        <f t="shared" si="2"/>
        <v>1169897.142857143</v>
      </c>
      <c r="E32">
        <v>108</v>
      </c>
      <c r="F32">
        <f t="shared" si="0"/>
        <v>392040.00000000006</v>
      </c>
      <c r="G32" s="35">
        <f t="shared" si="3"/>
        <v>33.51063829787234</v>
      </c>
      <c r="H32">
        <v>4.88</v>
      </c>
      <c r="I32">
        <v>0.68</v>
      </c>
      <c r="J32">
        <f t="shared" si="4"/>
        <v>4.2</v>
      </c>
      <c r="K32" s="1">
        <v>32.17</v>
      </c>
      <c r="L32">
        <f t="shared" si="5"/>
        <v>4904.6382000000012</v>
      </c>
      <c r="M32" s="38">
        <f t="shared" si="8"/>
        <v>5.4064381638518917</v>
      </c>
      <c r="O32" s="21" t="s">
        <v>92</v>
      </c>
      <c r="P32" t="s">
        <v>75</v>
      </c>
      <c r="Q32">
        <v>7.86</v>
      </c>
      <c r="R32">
        <v>5.45</v>
      </c>
      <c r="S32">
        <v>5.96</v>
      </c>
      <c r="T32">
        <v>2.9</v>
      </c>
      <c r="U32">
        <v>4.62</v>
      </c>
      <c r="V32">
        <v>6.71</v>
      </c>
      <c r="W32">
        <v>6.52</v>
      </c>
      <c r="X32">
        <v>6.71</v>
      </c>
      <c r="Y32">
        <v>6.78</v>
      </c>
      <c r="Z32">
        <v>4.17</v>
      </c>
      <c r="AA32">
        <v>2.31</v>
      </c>
      <c r="AB32">
        <v>2.46</v>
      </c>
      <c r="AC32">
        <v>2.79</v>
      </c>
      <c r="AD32">
        <v>2.38</v>
      </c>
      <c r="AE32">
        <v>3.62</v>
      </c>
      <c r="AF32">
        <v>2.66</v>
      </c>
      <c r="AG32">
        <v>4.18</v>
      </c>
      <c r="AH32">
        <v>2.59</v>
      </c>
      <c r="AI32">
        <v>2.75</v>
      </c>
      <c r="AJ32">
        <v>2.48</v>
      </c>
      <c r="AL32" t="s">
        <v>92</v>
      </c>
      <c r="AM32">
        <v>53</v>
      </c>
      <c r="AN32">
        <v>60</v>
      </c>
      <c r="AO32">
        <v>51</v>
      </c>
      <c r="AP32">
        <v>44</v>
      </c>
      <c r="AQ32">
        <v>43</v>
      </c>
      <c r="AR32">
        <f t="shared" si="6"/>
        <v>50.2</v>
      </c>
      <c r="AS32">
        <f t="shared" si="7"/>
        <v>127.50800000000001</v>
      </c>
    </row>
    <row r="33" spans="1:45" x14ac:dyDescent="0.25">
      <c r="A33" t="s">
        <v>93</v>
      </c>
      <c r="B33" s="20">
        <f>(36+4+22)/3</f>
        <v>20.666666666666668</v>
      </c>
      <c r="C33" s="20">
        <f t="shared" si="1"/>
        <v>11.80952380952381</v>
      </c>
      <c r="D33" s="34">
        <f t="shared" si="2"/>
        <v>514422.85714285716</v>
      </c>
      <c r="E33">
        <v>131</v>
      </c>
      <c r="F33">
        <f t="shared" si="0"/>
        <v>475530.00000000006</v>
      </c>
      <c r="G33" s="35">
        <f t="shared" si="3"/>
        <v>92.439516129032256</v>
      </c>
      <c r="H33">
        <v>5.6</v>
      </c>
      <c r="I33">
        <v>0.68</v>
      </c>
      <c r="J33">
        <f t="shared" si="4"/>
        <v>4.92</v>
      </c>
      <c r="L33">
        <f t="shared" si="5"/>
        <v>0</v>
      </c>
      <c r="M33" s="38">
        <f t="shared" si="8"/>
        <v>0</v>
      </c>
      <c r="O33" s="21" t="s">
        <v>93</v>
      </c>
      <c r="P33" t="s">
        <v>167</v>
      </c>
      <c r="Q33">
        <v>7.48</v>
      </c>
      <c r="R33">
        <v>6.49</v>
      </c>
      <c r="S33">
        <v>8.24</v>
      </c>
      <c r="T33">
        <v>9.57</v>
      </c>
      <c r="U33">
        <v>6.49</v>
      </c>
      <c r="V33">
        <v>5.3</v>
      </c>
      <c r="W33">
        <v>3.14</v>
      </c>
      <c r="X33">
        <v>5.18</v>
      </c>
      <c r="Y33">
        <v>9.0299999999999994</v>
      </c>
      <c r="Z33">
        <v>4.29</v>
      </c>
      <c r="AA33">
        <v>3.02</v>
      </c>
      <c r="AB33">
        <v>3.04</v>
      </c>
      <c r="AC33">
        <v>3.88</v>
      </c>
      <c r="AD33">
        <v>2.78</v>
      </c>
      <c r="AE33">
        <v>4.1399999999999997</v>
      </c>
      <c r="AF33">
        <v>3.24</v>
      </c>
      <c r="AG33">
        <v>4.18</v>
      </c>
      <c r="AH33">
        <v>3.1</v>
      </c>
      <c r="AI33">
        <v>3.19</v>
      </c>
      <c r="AJ33">
        <v>2.13</v>
      </c>
      <c r="AL33" t="s">
        <v>93</v>
      </c>
      <c r="AM33">
        <v>94</v>
      </c>
      <c r="AN33">
        <v>75</v>
      </c>
      <c r="AO33">
        <v>72</v>
      </c>
      <c r="AP33">
        <v>37</v>
      </c>
      <c r="AQ33">
        <v>76</v>
      </c>
      <c r="AR33">
        <f t="shared" si="6"/>
        <v>70.8</v>
      </c>
      <c r="AS33">
        <f t="shared" si="7"/>
        <v>179.83199999999999</v>
      </c>
    </row>
    <row r="34" spans="1:45" x14ac:dyDescent="0.25">
      <c r="A34" t="s">
        <v>94</v>
      </c>
      <c r="B34" s="20">
        <f>(29+14+31)/3</f>
        <v>24.666666666666668</v>
      </c>
      <c r="C34" s="20">
        <f t="shared" si="1"/>
        <v>14.095238095238097</v>
      </c>
      <c r="D34" s="34">
        <f t="shared" si="2"/>
        <v>613988.57142857148</v>
      </c>
      <c r="E34">
        <v>59</v>
      </c>
      <c r="F34">
        <f t="shared" si="0"/>
        <v>214170.00000000003</v>
      </c>
      <c r="G34" s="35">
        <f t="shared" si="3"/>
        <v>34.881756756756758</v>
      </c>
      <c r="H34">
        <v>2.66</v>
      </c>
      <c r="I34">
        <v>0.68</v>
      </c>
      <c r="J34">
        <f t="shared" si="4"/>
        <v>1.98</v>
      </c>
      <c r="K34" s="1">
        <v>27.69</v>
      </c>
      <c r="L34">
        <f t="shared" si="5"/>
        <v>1990.1910600000003</v>
      </c>
      <c r="M34" s="38">
        <f t="shared" si="8"/>
        <v>2.1938101163386219</v>
      </c>
      <c r="O34" s="21" t="s">
        <v>94</v>
      </c>
      <c r="P34" t="s">
        <v>69</v>
      </c>
      <c r="Q34">
        <v>6.19</v>
      </c>
      <c r="R34">
        <v>7.4</v>
      </c>
      <c r="S34">
        <v>5.53</v>
      </c>
      <c r="T34">
        <v>5.24</v>
      </c>
      <c r="U34">
        <v>7.3</v>
      </c>
      <c r="V34">
        <v>8.0399999999999991</v>
      </c>
      <c r="W34">
        <v>4.7699999999999996</v>
      </c>
      <c r="X34">
        <v>5.22</v>
      </c>
      <c r="Y34">
        <v>9.16</v>
      </c>
      <c r="Z34">
        <v>10.220000000000001</v>
      </c>
      <c r="AA34">
        <v>2</v>
      </c>
      <c r="AB34">
        <v>2.75</v>
      </c>
      <c r="AC34">
        <v>2.71</v>
      </c>
      <c r="AD34">
        <v>2.33</v>
      </c>
      <c r="AE34">
        <v>2.82</v>
      </c>
      <c r="AF34">
        <v>1.97</v>
      </c>
      <c r="AG34">
        <v>1.98</v>
      </c>
      <c r="AH34">
        <v>1.92</v>
      </c>
      <c r="AI34">
        <v>4</v>
      </c>
      <c r="AJ34">
        <v>1.5</v>
      </c>
      <c r="AL34" t="s">
        <v>94</v>
      </c>
      <c r="AM34">
        <v>24</v>
      </c>
      <c r="AN34">
        <v>50</v>
      </c>
      <c r="AO34">
        <v>43</v>
      </c>
      <c r="AP34">
        <v>46</v>
      </c>
      <c r="AQ34">
        <v>44</v>
      </c>
      <c r="AR34">
        <f t="shared" si="6"/>
        <v>41.4</v>
      </c>
      <c r="AS34">
        <f t="shared" si="7"/>
        <v>105.15599999999999</v>
      </c>
    </row>
    <row r="35" spans="1:45" x14ac:dyDescent="0.25">
      <c r="A35" t="s">
        <v>95</v>
      </c>
      <c r="B35" s="20">
        <f>(41+20+10)/3</f>
        <v>23.666666666666668</v>
      </c>
      <c r="C35" s="20">
        <f t="shared" si="1"/>
        <v>13.523809523809524</v>
      </c>
      <c r="D35" s="34">
        <f t="shared" si="2"/>
        <v>589097.14285714284</v>
      </c>
      <c r="E35">
        <v>85</v>
      </c>
      <c r="F35">
        <f t="shared" si="0"/>
        <v>308550</v>
      </c>
      <c r="G35" s="35">
        <f t="shared" si="3"/>
        <v>52.376760563380287</v>
      </c>
      <c r="H35">
        <v>3.36</v>
      </c>
      <c r="I35">
        <v>0.68</v>
      </c>
      <c r="J35">
        <f t="shared" si="4"/>
        <v>2.6799999999999997</v>
      </c>
      <c r="K35" s="1">
        <v>28.53</v>
      </c>
      <c r="L35">
        <f t="shared" si="5"/>
        <v>2775.5125200000002</v>
      </c>
      <c r="M35" s="38">
        <f t="shared" si="8"/>
        <v>3.0594788444082854</v>
      </c>
      <c r="O35" s="21" t="s">
        <v>95</v>
      </c>
      <c r="P35" t="s">
        <v>170</v>
      </c>
      <c r="Q35">
        <v>7.99</v>
      </c>
      <c r="R35">
        <v>7.63</v>
      </c>
      <c r="S35">
        <v>6.44</v>
      </c>
      <c r="T35">
        <v>7.03</v>
      </c>
      <c r="U35">
        <v>7.5</v>
      </c>
      <c r="V35">
        <v>2.88</v>
      </c>
      <c r="W35">
        <v>7.88</v>
      </c>
      <c r="X35">
        <v>8.65</v>
      </c>
      <c r="Y35">
        <v>5.77</v>
      </c>
      <c r="Z35">
        <v>5.09</v>
      </c>
      <c r="AA35">
        <v>2.91</v>
      </c>
      <c r="AB35">
        <v>4.04</v>
      </c>
      <c r="AC35">
        <v>2.2599999999999998</v>
      </c>
      <c r="AD35">
        <v>1.7</v>
      </c>
      <c r="AE35">
        <v>4.51</v>
      </c>
      <c r="AF35">
        <v>2.74</v>
      </c>
      <c r="AG35">
        <v>2.2200000000000002</v>
      </c>
      <c r="AH35">
        <v>2.16</v>
      </c>
      <c r="AI35">
        <v>5.8</v>
      </c>
      <c r="AJ35">
        <v>4.5</v>
      </c>
      <c r="AL35" t="s">
        <v>95</v>
      </c>
      <c r="AM35">
        <v>51</v>
      </c>
      <c r="AN35">
        <v>57</v>
      </c>
      <c r="AO35">
        <v>56</v>
      </c>
      <c r="AP35">
        <v>52</v>
      </c>
      <c r="AQ35">
        <v>58</v>
      </c>
      <c r="AR35">
        <f t="shared" si="6"/>
        <v>54.8</v>
      </c>
      <c r="AS35">
        <f>+(AR35*2.54)</f>
        <v>139.19200000000001</v>
      </c>
    </row>
    <row r="36" spans="1:45" x14ac:dyDescent="0.25">
      <c r="A36" t="s">
        <v>96</v>
      </c>
      <c r="B36" s="20">
        <f>(42+4+25)/3</f>
        <v>23.666666666666668</v>
      </c>
      <c r="C36" s="20">
        <f t="shared" si="1"/>
        <v>13.523809523809524</v>
      </c>
      <c r="D36" s="34">
        <f t="shared" si="2"/>
        <v>589097.14285714284</v>
      </c>
      <c r="E36">
        <v>83</v>
      </c>
      <c r="F36">
        <f t="shared" si="0"/>
        <v>301290</v>
      </c>
      <c r="G36" s="35">
        <f t="shared" si="3"/>
        <v>51.144366197183103</v>
      </c>
      <c r="H36">
        <v>4.58</v>
      </c>
      <c r="I36">
        <v>0.68</v>
      </c>
      <c r="J36">
        <f t="shared" si="4"/>
        <v>3.9</v>
      </c>
      <c r="K36" s="1">
        <v>27.31</v>
      </c>
      <c r="L36">
        <f t="shared" si="5"/>
        <v>3866.2767000000008</v>
      </c>
      <c r="M36" s="38">
        <f t="shared" si="8"/>
        <v>4.2618405375734643</v>
      </c>
      <c r="O36" s="21" t="s">
        <v>96</v>
      </c>
      <c r="P36" t="s">
        <v>154</v>
      </c>
      <c r="Q36">
        <v>4.5999999999999996</v>
      </c>
      <c r="R36">
        <v>2.97</v>
      </c>
      <c r="S36">
        <v>2.75</v>
      </c>
      <c r="T36">
        <v>4.08</v>
      </c>
      <c r="U36">
        <v>8.5299999999999994</v>
      </c>
      <c r="V36">
        <v>9.3000000000000007</v>
      </c>
      <c r="W36">
        <v>5.83</v>
      </c>
      <c r="X36">
        <v>9.16</v>
      </c>
      <c r="Y36">
        <v>3.23</v>
      </c>
      <c r="Z36">
        <v>9.01</v>
      </c>
      <c r="AA36">
        <v>3.11</v>
      </c>
      <c r="AB36">
        <v>4.4000000000000004</v>
      </c>
      <c r="AC36">
        <v>2.64</v>
      </c>
      <c r="AD36">
        <v>2.67</v>
      </c>
      <c r="AE36">
        <v>3.17</v>
      </c>
      <c r="AF36">
        <v>4.8600000000000003</v>
      </c>
      <c r="AG36">
        <v>4.4400000000000004</v>
      </c>
      <c r="AH36">
        <v>3.79</v>
      </c>
      <c r="AI36">
        <v>2.2999999999999998</v>
      </c>
      <c r="AJ36">
        <v>2.2000000000000002</v>
      </c>
      <c r="AL36" t="s">
        <v>96</v>
      </c>
      <c r="AM36">
        <v>69</v>
      </c>
      <c r="AN36">
        <v>56</v>
      </c>
      <c r="AO36">
        <v>74</v>
      </c>
      <c r="AP36">
        <v>86</v>
      </c>
      <c r="AQ36">
        <v>98</v>
      </c>
      <c r="AR36">
        <f t="shared" si="6"/>
        <v>76.599999999999994</v>
      </c>
      <c r="AS36">
        <f t="shared" si="7"/>
        <v>194.56399999999999</v>
      </c>
    </row>
    <row r="37" spans="1:45" x14ac:dyDescent="0.25">
      <c r="A37" t="s">
        <v>97</v>
      </c>
      <c r="B37" s="20">
        <f>(52+5+43)/3</f>
        <v>33.333333333333336</v>
      </c>
      <c r="C37" s="20">
        <f t="shared" ref="C37:C68" si="9">(B37*4)/7</f>
        <v>19.047619047619047</v>
      </c>
      <c r="D37" s="34">
        <f t="shared" ref="D37:D68" si="10">(C37*43560)</f>
        <v>829714.28571428568</v>
      </c>
      <c r="E37">
        <v>161</v>
      </c>
      <c r="F37">
        <f t="shared" si="0"/>
        <v>584430</v>
      </c>
      <c r="G37" s="35">
        <f t="shared" si="3"/>
        <v>70.4375</v>
      </c>
      <c r="H37">
        <v>2.58</v>
      </c>
      <c r="I37">
        <v>0.68</v>
      </c>
      <c r="J37">
        <f t="shared" si="4"/>
        <v>1.9</v>
      </c>
      <c r="K37" s="1">
        <v>32.43</v>
      </c>
      <c r="L37">
        <f t="shared" si="5"/>
        <v>2236.6970999999999</v>
      </c>
      <c r="M37" s="38">
        <f t="shared" si="8"/>
        <v>2.4655365124418038</v>
      </c>
      <c r="O37" s="21" t="s">
        <v>97</v>
      </c>
      <c r="P37" t="s">
        <v>252</v>
      </c>
      <c r="Q37">
        <v>3.25</v>
      </c>
      <c r="R37">
        <v>5.6</v>
      </c>
      <c r="S37">
        <v>6.42</v>
      </c>
      <c r="T37">
        <v>7.32</v>
      </c>
      <c r="U37">
        <v>6.16</v>
      </c>
      <c r="V37">
        <v>5.51</v>
      </c>
      <c r="W37">
        <v>5.22</v>
      </c>
      <c r="X37">
        <v>5.0599999999999996</v>
      </c>
      <c r="Y37">
        <v>5.24</v>
      </c>
      <c r="AA37">
        <v>0.85</v>
      </c>
      <c r="AB37">
        <v>1.7</v>
      </c>
      <c r="AC37">
        <v>1.69</v>
      </c>
      <c r="AD37">
        <v>3.12</v>
      </c>
      <c r="AE37">
        <v>3.4</v>
      </c>
      <c r="AF37">
        <v>4.8499999999999996</v>
      </c>
      <c r="AG37">
        <v>1.46</v>
      </c>
      <c r="AH37">
        <v>2.77</v>
      </c>
      <c r="AI37">
        <v>2.02</v>
      </c>
      <c r="AJ37">
        <v>2.21</v>
      </c>
      <c r="AL37" t="s">
        <v>97</v>
      </c>
      <c r="AM37">
        <v>53</v>
      </c>
      <c r="AN37">
        <v>43</v>
      </c>
      <c r="AO37">
        <v>65</v>
      </c>
      <c r="AP37">
        <v>50</v>
      </c>
      <c r="AQ37">
        <v>63</v>
      </c>
      <c r="AR37">
        <f t="shared" si="6"/>
        <v>54.8</v>
      </c>
      <c r="AS37">
        <f t="shared" si="7"/>
        <v>139.19200000000001</v>
      </c>
    </row>
    <row r="38" spans="1:45" x14ac:dyDescent="0.25">
      <c r="A38" t="s">
        <v>98</v>
      </c>
      <c r="B38" s="20">
        <f>(32+46+11)/3</f>
        <v>29.666666666666668</v>
      </c>
      <c r="C38" s="20">
        <f t="shared" si="9"/>
        <v>16.952380952380953</v>
      </c>
      <c r="D38" s="34">
        <f t="shared" si="10"/>
        <v>738445.71428571432</v>
      </c>
      <c r="E38">
        <v>74</v>
      </c>
      <c r="F38">
        <f t="shared" si="0"/>
        <v>268620</v>
      </c>
      <c r="G38" s="35">
        <f t="shared" si="3"/>
        <v>36.376404494382022</v>
      </c>
      <c r="H38">
        <v>3.06</v>
      </c>
      <c r="I38">
        <v>0.68</v>
      </c>
      <c r="J38">
        <f t="shared" si="4"/>
        <v>2.38</v>
      </c>
      <c r="K38" s="1">
        <v>30.16</v>
      </c>
      <c r="L38">
        <f t="shared" si="5"/>
        <v>2605.6430399999999</v>
      </c>
      <c r="M38" s="38">
        <f t="shared" si="8"/>
        <v>2.872229795223439</v>
      </c>
      <c r="O38" s="21" t="s">
        <v>98</v>
      </c>
      <c r="P38" t="s">
        <v>169</v>
      </c>
      <c r="Q38">
        <v>9.18</v>
      </c>
      <c r="R38">
        <v>10.15</v>
      </c>
      <c r="S38">
        <v>6.27</v>
      </c>
      <c r="T38">
        <v>8.42</v>
      </c>
      <c r="U38">
        <v>8.1999999999999993</v>
      </c>
      <c r="V38">
        <v>12.83</v>
      </c>
      <c r="W38">
        <v>8.33</v>
      </c>
      <c r="X38">
        <v>8.89</v>
      </c>
      <c r="Y38">
        <v>8.59</v>
      </c>
      <c r="Z38">
        <v>9.27</v>
      </c>
      <c r="AA38">
        <v>1.98</v>
      </c>
      <c r="AB38">
        <v>2.2000000000000002</v>
      </c>
      <c r="AC38">
        <v>4.46</v>
      </c>
      <c r="AD38">
        <v>2.79</v>
      </c>
      <c r="AE38">
        <v>1.7</v>
      </c>
      <c r="AF38">
        <v>1.82</v>
      </c>
      <c r="AG38">
        <v>2.41</v>
      </c>
      <c r="AH38">
        <v>2.5499999999999998</v>
      </c>
      <c r="AI38">
        <v>2.25</v>
      </c>
      <c r="AL38" t="s">
        <v>98</v>
      </c>
      <c r="AM38">
        <v>76</v>
      </c>
      <c r="AN38">
        <v>70</v>
      </c>
      <c r="AO38">
        <v>44</v>
      </c>
      <c r="AP38">
        <v>69</v>
      </c>
      <c r="AQ38">
        <v>47</v>
      </c>
      <c r="AR38">
        <f t="shared" si="6"/>
        <v>61.2</v>
      </c>
      <c r="AS38">
        <f t="shared" si="7"/>
        <v>155.44800000000001</v>
      </c>
    </row>
    <row r="39" spans="1:45" x14ac:dyDescent="0.25">
      <c r="A39" t="s">
        <v>99</v>
      </c>
      <c r="B39" s="20">
        <f>(66+26+63)/3</f>
        <v>51.666666666666664</v>
      </c>
      <c r="C39" s="20">
        <f t="shared" si="9"/>
        <v>29.523809523809522</v>
      </c>
      <c r="D39" s="34">
        <f t="shared" si="10"/>
        <v>1286057.1428571427</v>
      </c>
      <c r="E39">
        <v>110</v>
      </c>
      <c r="F39">
        <f t="shared" si="0"/>
        <v>399300.00000000006</v>
      </c>
      <c r="G39" s="35">
        <f t="shared" si="3"/>
        <v>31.048387096774199</v>
      </c>
      <c r="H39">
        <v>5.44</v>
      </c>
      <c r="I39">
        <v>0.68</v>
      </c>
      <c r="J39">
        <f t="shared" si="4"/>
        <v>4.7600000000000007</v>
      </c>
      <c r="K39" s="1">
        <v>29.32</v>
      </c>
      <c r="L39">
        <f t="shared" si="5"/>
        <v>5066.1441600000016</v>
      </c>
      <c r="M39" s="38">
        <f t="shared" si="8"/>
        <v>5.5844680103415953</v>
      </c>
      <c r="O39" s="21" t="s">
        <v>99</v>
      </c>
      <c r="P39" t="s">
        <v>174</v>
      </c>
      <c r="Q39">
        <v>14.44</v>
      </c>
      <c r="R39">
        <v>8.0299999999999994</v>
      </c>
      <c r="S39">
        <v>5.73</v>
      </c>
      <c r="T39">
        <v>5.07</v>
      </c>
      <c r="U39">
        <v>5.73</v>
      </c>
      <c r="V39">
        <v>9.01</v>
      </c>
      <c r="W39">
        <v>8.59</v>
      </c>
      <c r="X39">
        <v>4.13</v>
      </c>
      <c r="Y39">
        <v>11.68</v>
      </c>
      <c r="Z39">
        <v>7.81</v>
      </c>
      <c r="AA39">
        <v>2.91</v>
      </c>
      <c r="AB39">
        <v>3.71</v>
      </c>
      <c r="AC39">
        <v>2.4900000000000002</v>
      </c>
      <c r="AD39">
        <v>3.18</v>
      </c>
      <c r="AE39">
        <v>1.75</v>
      </c>
      <c r="AF39">
        <v>3.42</v>
      </c>
      <c r="AG39">
        <v>2.44</v>
      </c>
      <c r="AH39">
        <v>0.92</v>
      </c>
      <c r="AI39">
        <v>2.88</v>
      </c>
      <c r="AJ39">
        <v>3.12</v>
      </c>
      <c r="AL39" t="s">
        <v>99</v>
      </c>
      <c r="AM39">
        <v>102</v>
      </c>
      <c r="AN39">
        <v>60</v>
      </c>
      <c r="AO39">
        <v>43</v>
      </c>
      <c r="AP39">
        <v>86</v>
      </c>
      <c r="AQ39">
        <v>54</v>
      </c>
      <c r="AR39">
        <f t="shared" si="6"/>
        <v>69</v>
      </c>
      <c r="AS39">
        <f t="shared" si="7"/>
        <v>175.26</v>
      </c>
    </row>
    <row r="40" spans="1:45" x14ac:dyDescent="0.25">
      <c r="A40" t="s">
        <v>100</v>
      </c>
      <c r="B40" s="20">
        <f>(21+27+15)/3</f>
        <v>21</v>
      </c>
      <c r="C40" s="20">
        <f t="shared" si="9"/>
        <v>12</v>
      </c>
      <c r="D40" s="34">
        <f t="shared" si="10"/>
        <v>522720</v>
      </c>
      <c r="E40">
        <v>72</v>
      </c>
      <c r="F40">
        <f t="shared" si="0"/>
        <v>261360.00000000003</v>
      </c>
      <c r="G40" s="35">
        <f t="shared" si="3"/>
        <v>50.000000000000014</v>
      </c>
      <c r="H40">
        <v>1.04</v>
      </c>
      <c r="I40">
        <v>0.68</v>
      </c>
      <c r="J40">
        <f t="shared" si="4"/>
        <v>0.36</v>
      </c>
      <c r="K40" s="1">
        <v>27.88</v>
      </c>
      <c r="L40">
        <f t="shared" si="5"/>
        <v>364.33584000000002</v>
      </c>
      <c r="M40" s="38">
        <f t="shared" si="8"/>
        <v>0.40161151740714252</v>
      </c>
      <c r="O40" s="28" t="s">
        <v>100</v>
      </c>
      <c r="P40" t="s">
        <v>173</v>
      </c>
      <c r="Q40">
        <v>7.76</v>
      </c>
      <c r="R40">
        <v>7.71</v>
      </c>
      <c r="S40">
        <v>7.47</v>
      </c>
      <c r="T40">
        <v>10.31</v>
      </c>
      <c r="U40">
        <v>8.31</v>
      </c>
      <c r="V40">
        <v>8.57</v>
      </c>
      <c r="W40">
        <v>10.73</v>
      </c>
      <c r="X40">
        <v>7.03</v>
      </c>
      <c r="Y40">
        <v>11.03</v>
      </c>
      <c r="Z40">
        <v>8.3699999999999992</v>
      </c>
      <c r="AA40">
        <v>3.74</v>
      </c>
      <c r="AB40">
        <v>2.57</v>
      </c>
      <c r="AC40">
        <v>1.92</v>
      </c>
      <c r="AD40">
        <v>3.76</v>
      </c>
      <c r="AE40">
        <v>1.55</v>
      </c>
      <c r="AF40">
        <v>2.95</v>
      </c>
      <c r="AG40">
        <v>3.11</v>
      </c>
      <c r="AH40">
        <v>1.26</v>
      </c>
      <c r="AI40">
        <v>2.42</v>
      </c>
      <c r="AJ40">
        <v>3</v>
      </c>
      <c r="AL40" s="2" t="s">
        <v>100</v>
      </c>
      <c r="AM40" s="27">
        <v>65</v>
      </c>
      <c r="AN40" s="27">
        <v>82</v>
      </c>
      <c r="AO40" s="27">
        <v>83</v>
      </c>
      <c r="AP40" s="27">
        <v>62</v>
      </c>
      <c r="AQ40" s="27">
        <v>77</v>
      </c>
      <c r="AR40">
        <f t="shared" ref="AR40:AR55" si="11">AVERAGE(AM40,AN40,AO40,AP40,AQ40)</f>
        <v>73.8</v>
      </c>
      <c r="AS40" s="20">
        <f t="shared" ref="AS40:AS71" si="12">AR40*2.54</f>
        <v>187.452</v>
      </c>
    </row>
    <row r="41" spans="1:45" x14ac:dyDescent="0.25">
      <c r="A41" t="s">
        <v>101</v>
      </c>
      <c r="B41" s="20">
        <f>(13+24+16)/3</f>
        <v>17.666666666666668</v>
      </c>
      <c r="C41" s="20">
        <f t="shared" si="9"/>
        <v>10.095238095238097</v>
      </c>
      <c r="D41" s="34">
        <f t="shared" si="10"/>
        <v>439748.57142857148</v>
      </c>
      <c r="E41">
        <v>37</v>
      </c>
      <c r="F41">
        <f t="shared" si="0"/>
        <v>134310</v>
      </c>
      <c r="G41" s="35">
        <f t="shared" si="3"/>
        <v>30.542452830188676</v>
      </c>
      <c r="H41">
        <v>2.2400000000000002</v>
      </c>
      <c r="I41">
        <v>0.68</v>
      </c>
      <c r="J41">
        <f t="shared" si="4"/>
        <v>1.56</v>
      </c>
      <c r="K41" s="1">
        <v>26.42</v>
      </c>
      <c r="L41">
        <f t="shared" si="5"/>
        <v>1496.1117600000002</v>
      </c>
      <c r="M41" s="38">
        <f t="shared" si="8"/>
        <v>1.6491809154550117</v>
      </c>
      <c r="O41" s="28" t="s">
        <v>101</v>
      </c>
      <c r="P41" t="s">
        <v>69</v>
      </c>
      <c r="Q41">
        <v>5.94</v>
      </c>
      <c r="R41">
        <v>6.36</v>
      </c>
      <c r="S41">
        <v>7.4</v>
      </c>
      <c r="T41">
        <v>8.66</v>
      </c>
      <c r="U41">
        <v>7.97</v>
      </c>
      <c r="V41">
        <v>9.93</v>
      </c>
      <c r="W41">
        <v>10.130000000000001</v>
      </c>
      <c r="X41">
        <v>8.3699999999999992</v>
      </c>
      <c r="Y41">
        <v>7.97</v>
      </c>
      <c r="Z41">
        <v>6.9</v>
      </c>
      <c r="AA41">
        <v>3.36</v>
      </c>
      <c r="AB41">
        <v>3.79</v>
      </c>
      <c r="AC41">
        <v>3.86</v>
      </c>
      <c r="AD41">
        <v>3.45</v>
      </c>
      <c r="AE41">
        <v>3.59</v>
      </c>
      <c r="AF41">
        <v>3.25</v>
      </c>
      <c r="AG41">
        <v>4.63</v>
      </c>
      <c r="AH41">
        <v>3.15</v>
      </c>
      <c r="AI41">
        <v>3.96</v>
      </c>
      <c r="AJ41">
        <v>3.84</v>
      </c>
      <c r="AL41" t="s">
        <v>101</v>
      </c>
      <c r="AM41">
        <v>70</v>
      </c>
      <c r="AN41">
        <v>62</v>
      </c>
      <c r="AO41">
        <v>58</v>
      </c>
      <c r="AP41">
        <v>64</v>
      </c>
      <c r="AQ41">
        <v>67</v>
      </c>
      <c r="AR41">
        <f t="shared" si="11"/>
        <v>64.2</v>
      </c>
      <c r="AS41" s="20">
        <f t="shared" si="12"/>
        <v>163.06800000000001</v>
      </c>
    </row>
    <row r="42" spans="1:45" x14ac:dyDescent="0.25">
      <c r="A42" t="s">
        <v>102</v>
      </c>
      <c r="B42" s="20">
        <f>(23+9+28)/3</f>
        <v>20</v>
      </c>
      <c r="C42" s="20">
        <f t="shared" si="9"/>
        <v>11.428571428571429</v>
      </c>
      <c r="D42" s="34">
        <f t="shared" si="10"/>
        <v>497828.57142857142</v>
      </c>
      <c r="E42">
        <v>96</v>
      </c>
      <c r="F42">
        <f t="shared" si="0"/>
        <v>348480.00000000006</v>
      </c>
      <c r="G42" s="35">
        <f t="shared" si="3"/>
        <v>70.000000000000014</v>
      </c>
      <c r="H42">
        <v>8.06</v>
      </c>
      <c r="I42">
        <v>0.68</v>
      </c>
      <c r="J42">
        <f t="shared" si="4"/>
        <v>7.3800000000000008</v>
      </c>
      <c r="K42" s="1">
        <v>28.7</v>
      </c>
      <c r="L42">
        <f t="shared" si="5"/>
        <v>7688.5578000000014</v>
      </c>
      <c r="M42" s="38">
        <f t="shared" si="8"/>
        <v>8.4751842276360225</v>
      </c>
      <c r="O42" s="28" t="s">
        <v>102</v>
      </c>
      <c r="P42" t="s">
        <v>154</v>
      </c>
      <c r="Q42">
        <v>18.82</v>
      </c>
      <c r="R42">
        <v>10.48</v>
      </c>
      <c r="S42">
        <v>9.68</v>
      </c>
      <c r="T42">
        <v>3.82</v>
      </c>
      <c r="U42">
        <v>12.44</v>
      </c>
      <c r="V42">
        <v>5.67</v>
      </c>
      <c r="W42">
        <v>11.69</v>
      </c>
      <c r="X42">
        <v>7.99</v>
      </c>
      <c r="Y42">
        <v>18.07</v>
      </c>
      <c r="Z42">
        <v>12.2</v>
      </c>
      <c r="AA42">
        <v>2.87</v>
      </c>
      <c r="AB42">
        <v>2.74</v>
      </c>
      <c r="AC42">
        <v>3.91</v>
      </c>
      <c r="AD42">
        <v>3.93</v>
      </c>
      <c r="AE42">
        <v>4.47</v>
      </c>
      <c r="AF42">
        <v>5.51</v>
      </c>
      <c r="AG42">
        <v>4.66</v>
      </c>
      <c r="AH42">
        <v>4.3600000000000003</v>
      </c>
      <c r="AI42">
        <v>3.13</v>
      </c>
      <c r="AJ42">
        <v>4.01</v>
      </c>
      <c r="AL42" t="s">
        <v>102</v>
      </c>
      <c r="AM42">
        <v>105</v>
      </c>
      <c r="AN42">
        <v>110</v>
      </c>
      <c r="AO42">
        <v>90</v>
      </c>
      <c r="AP42">
        <v>95</v>
      </c>
      <c r="AQ42">
        <v>92</v>
      </c>
      <c r="AR42">
        <f t="shared" si="11"/>
        <v>98.4</v>
      </c>
      <c r="AS42" s="20">
        <f t="shared" si="12"/>
        <v>249.93600000000001</v>
      </c>
    </row>
    <row r="43" spans="1:45" x14ac:dyDescent="0.25">
      <c r="A43" t="s">
        <v>103</v>
      </c>
      <c r="B43" s="20">
        <f>(34+2+18)/3</f>
        <v>18</v>
      </c>
      <c r="C43" s="20">
        <f t="shared" si="9"/>
        <v>10.285714285714286</v>
      </c>
      <c r="D43" s="34">
        <f t="shared" si="10"/>
        <v>448045.71428571432</v>
      </c>
      <c r="E43">
        <v>91</v>
      </c>
      <c r="F43">
        <f t="shared" si="0"/>
        <v>330330.00000000006</v>
      </c>
      <c r="G43" s="35">
        <f t="shared" si="3"/>
        <v>73.726851851851862</v>
      </c>
      <c r="H43">
        <v>7.78</v>
      </c>
      <c r="I43">
        <v>0.68</v>
      </c>
      <c r="J43">
        <f t="shared" si="4"/>
        <v>7.1000000000000005</v>
      </c>
      <c r="K43" s="1">
        <v>31.23</v>
      </c>
      <c r="L43">
        <f t="shared" si="5"/>
        <v>8048.907900000002</v>
      </c>
      <c r="M43" s="38">
        <f t="shared" si="8"/>
        <v>8.8724022187587614</v>
      </c>
      <c r="O43" s="28" t="s">
        <v>103</v>
      </c>
      <c r="P43" t="s">
        <v>152</v>
      </c>
      <c r="Q43">
        <v>7.91</v>
      </c>
      <c r="R43">
        <v>12</v>
      </c>
      <c r="S43">
        <v>13.7</v>
      </c>
      <c r="T43">
        <v>14.36</v>
      </c>
      <c r="U43">
        <v>8.93</v>
      </c>
      <c r="V43">
        <v>12.36</v>
      </c>
      <c r="W43">
        <v>12.4</v>
      </c>
      <c r="X43">
        <v>11.93</v>
      </c>
      <c r="Y43">
        <v>9.52</v>
      </c>
      <c r="Z43">
        <v>11.64</v>
      </c>
      <c r="AA43">
        <v>6.1</v>
      </c>
      <c r="AB43">
        <v>3.69</v>
      </c>
      <c r="AC43">
        <v>4.4400000000000004</v>
      </c>
      <c r="AD43">
        <v>8.9</v>
      </c>
      <c r="AE43">
        <v>3.92</v>
      </c>
      <c r="AF43">
        <v>2.97</v>
      </c>
      <c r="AG43">
        <v>3.77</v>
      </c>
      <c r="AH43">
        <v>4.22</v>
      </c>
      <c r="AI43">
        <v>3.59</v>
      </c>
      <c r="AJ43">
        <v>3.94</v>
      </c>
      <c r="AL43" t="s">
        <v>103</v>
      </c>
      <c r="AM43">
        <v>106</v>
      </c>
      <c r="AN43">
        <v>84</v>
      </c>
      <c r="AO43">
        <v>89</v>
      </c>
      <c r="AP43">
        <v>97</v>
      </c>
      <c r="AQ43">
        <v>93</v>
      </c>
      <c r="AR43">
        <f t="shared" si="11"/>
        <v>93.8</v>
      </c>
      <c r="AS43" s="20">
        <f t="shared" si="12"/>
        <v>238.25200000000001</v>
      </c>
    </row>
    <row r="44" spans="1:45" x14ac:dyDescent="0.25">
      <c r="A44" t="s">
        <v>104</v>
      </c>
      <c r="B44" s="20">
        <f>(48+27+7)/3</f>
        <v>27.333333333333332</v>
      </c>
      <c r="C44" s="20">
        <f t="shared" si="9"/>
        <v>15.619047619047619</v>
      </c>
      <c r="D44" s="34">
        <f t="shared" si="10"/>
        <v>680365.71428571432</v>
      </c>
      <c r="E44">
        <v>83</v>
      </c>
      <c r="F44">
        <f t="shared" si="0"/>
        <v>301290</v>
      </c>
      <c r="G44" s="35">
        <f t="shared" si="3"/>
        <v>44.283536585365852</v>
      </c>
      <c r="H44">
        <v>2.92</v>
      </c>
      <c r="I44">
        <v>0.68</v>
      </c>
      <c r="J44">
        <f t="shared" si="4"/>
        <v>2.2399999999999998</v>
      </c>
      <c r="K44" s="1">
        <v>29.25</v>
      </c>
      <c r="L44">
        <f t="shared" si="5"/>
        <v>2378.3759999999997</v>
      </c>
      <c r="M44" s="38">
        <f t="shared" si="8"/>
        <v>2.6217107664311308</v>
      </c>
      <c r="O44" s="28" t="s">
        <v>104</v>
      </c>
      <c r="P44" t="s">
        <v>167</v>
      </c>
      <c r="Q44">
        <v>6.4</v>
      </c>
      <c r="R44">
        <v>7.45</v>
      </c>
      <c r="S44">
        <v>8.4</v>
      </c>
      <c r="T44">
        <v>7.56</v>
      </c>
      <c r="U44">
        <v>7.94</v>
      </c>
      <c r="V44">
        <v>7.37</v>
      </c>
      <c r="W44">
        <v>6.35</v>
      </c>
      <c r="X44">
        <v>6.24</v>
      </c>
      <c r="Y44">
        <v>6.13</v>
      </c>
      <c r="Z44">
        <v>8.06</v>
      </c>
      <c r="AA44">
        <v>2.57</v>
      </c>
      <c r="AB44">
        <v>3.55</v>
      </c>
      <c r="AC44">
        <v>3.48</v>
      </c>
      <c r="AD44">
        <v>4.87</v>
      </c>
      <c r="AE44">
        <v>3.75</v>
      </c>
      <c r="AF44">
        <v>5.15</v>
      </c>
      <c r="AG44">
        <v>4.99</v>
      </c>
      <c r="AH44">
        <v>4.42</v>
      </c>
      <c r="AI44">
        <v>3.16</v>
      </c>
      <c r="AJ44">
        <v>4.46</v>
      </c>
      <c r="AL44" t="s">
        <v>104</v>
      </c>
      <c r="AM44">
        <v>52</v>
      </c>
      <c r="AN44">
        <v>80</v>
      </c>
      <c r="AO44">
        <v>72</v>
      </c>
      <c r="AP44">
        <v>60</v>
      </c>
      <c r="AQ44">
        <v>64</v>
      </c>
      <c r="AR44">
        <f t="shared" si="11"/>
        <v>65.599999999999994</v>
      </c>
      <c r="AS44" s="20">
        <f t="shared" si="12"/>
        <v>166.624</v>
      </c>
    </row>
    <row r="45" spans="1:45" x14ac:dyDescent="0.25">
      <c r="A45" t="s">
        <v>105</v>
      </c>
      <c r="B45" s="20">
        <f>(15+2+17)/3</f>
        <v>11.333333333333334</v>
      </c>
      <c r="C45" s="20">
        <f t="shared" si="9"/>
        <v>6.4761904761904763</v>
      </c>
      <c r="D45" s="34">
        <f t="shared" si="10"/>
        <v>282102.85714285716</v>
      </c>
      <c r="E45">
        <v>18</v>
      </c>
      <c r="F45">
        <f t="shared" si="0"/>
        <v>65340.000000000007</v>
      </c>
      <c r="G45" s="35">
        <f t="shared" si="3"/>
        <v>23.161764705882355</v>
      </c>
      <c r="H45">
        <v>1.58</v>
      </c>
      <c r="I45">
        <v>0.68</v>
      </c>
      <c r="J45">
        <f t="shared" si="4"/>
        <v>0.9</v>
      </c>
      <c r="K45" s="1">
        <v>28.67</v>
      </c>
      <c r="L45">
        <f t="shared" si="5"/>
        <v>936.64890000000025</v>
      </c>
      <c r="M45" s="38">
        <f t="shared" si="8"/>
        <v>1.0324786768348977</v>
      </c>
      <c r="O45" s="28" t="s">
        <v>105</v>
      </c>
      <c r="P45" t="s">
        <v>168</v>
      </c>
      <c r="Q45">
        <v>5.61</v>
      </c>
      <c r="R45">
        <v>5.38</v>
      </c>
      <c r="S45">
        <v>7.75</v>
      </c>
      <c r="T45">
        <v>6.24</v>
      </c>
      <c r="U45">
        <v>8.75</v>
      </c>
      <c r="V45">
        <v>10.62</v>
      </c>
      <c r="W45">
        <v>7.68</v>
      </c>
      <c r="X45">
        <v>6.85</v>
      </c>
      <c r="Y45">
        <v>9.0399999999999991</v>
      </c>
      <c r="Z45">
        <v>7.43</v>
      </c>
      <c r="AA45">
        <v>3.97</v>
      </c>
      <c r="AB45">
        <v>3.96</v>
      </c>
      <c r="AC45">
        <v>3.72</v>
      </c>
      <c r="AD45">
        <v>3.23</v>
      </c>
      <c r="AE45">
        <v>4.8600000000000003</v>
      </c>
      <c r="AF45">
        <v>3.55</v>
      </c>
      <c r="AG45">
        <v>3.31</v>
      </c>
      <c r="AH45">
        <v>4.7</v>
      </c>
      <c r="AI45">
        <v>2.87</v>
      </c>
      <c r="AJ45">
        <v>4.5</v>
      </c>
      <c r="AL45" t="s">
        <v>105</v>
      </c>
      <c r="AM45">
        <v>62</v>
      </c>
      <c r="AN45">
        <v>54</v>
      </c>
      <c r="AO45">
        <v>64</v>
      </c>
      <c r="AP45">
        <v>50</v>
      </c>
      <c r="AQ45">
        <v>52</v>
      </c>
      <c r="AR45">
        <f t="shared" si="11"/>
        <v>56.4</v>
      </c>
      <c r="AS45" s="20">
        <f t="shared" si="12"/>
        <v>143.256</v>
      </c>
    </row>
    <row r="46" spans="1:45" x14ac:dyDescent="0.25">
      <c r="A46" t="s">
        <v>106</v>
      </c>
      <c r="B46" s="20">
        <f>(1+19+23)/3</f>
        <v>14.333333333333334</v>
      </c>
      <c r="C46" s="20">
        <f t="shared" si="9"/>
        <v>8.1904761904761916</v>
      </c>
      <c r="D46" s="34">
        <f t="shared" si="10"/>
        <v>356777.1428571429</v>
      </c>
      <c r="E46">
        <v>57</v>
      </c>
      <c r="F46">
        <f t="shared" si="0"/>
        <v>206910.00000000003</v>
      </c>
      <c r="G46" s="35">
        <f t="shared" si="3"/>
        <v>57.994186046511629</v>
      </c>
      <c r="H46">
        <v>2.48</v>
      </c>
      <c r="I46">
        <v>0.68</v>
      </c>
      <c r="J46">
        <f t="shared" si="4"/>
        <v>1.7999999999999998</v>
      </c>
      <c r="K46" s="1">
        <v>33.53</v>
      </c>
      <c r="L46">
        <f t="shared" si="5"/>
        <v>2190.8501999999999</v>
      </c>
      <c r="M46" s="38">
        <f t="shared" si="8"/>
        <v>2.4149989560009839</v>
      </c>
      <c r="O46" s="28" t="s">
        <v>106</v>
      </c>
      <c r="P46" t="s">
        <v>65</v>
      </c>
      <c r="Q46">
        <v>8.25</v>
      </c>
      <c r="R46">
        <v>5.35</v>
      </c>
      <c r="S46">
        <v>10.07</v>
      </c>
      <c r="T46">
        <v>7.06</v>
      </c>
      <c r="U46">
        <v>9.7100000000000009</v>
      </c>
      <c r="V46">
        <v>9.4700000000000006</v>
      </c>
      <c r="W46">
        <v>7.16</v>
      </c>
      <c r="X46">
        <v>6.32</v>
      </c>
      <c r="Y46">
        <v>5.65</v>
      </c>
      <c r="Z46">
        <v>8.4700000000000006</v>
      </c>
      <c r="AA46">
        <v>2.5499999999999998</v>
      </c>
      <c r="AB46">
        <v>1.87</v>
      </c>
      <c r="AC46">
        <v>2.69</v>
      </c>
      <c r="AD46">
        <v>2.27</v>
      </c>
      <c r="AE46">
        <v>2.66</v>
      </c>
      <c r="AF46">
        <v>4.07</v>
      </c>
      <c r="AG46">
        <v>3.85</v>
      </c>
      <c r="AH46">
        <v>3.45</v>
      </c>
      <c r="AI46">
        <v>3.17</v>
      </c>
      <c r="AJ46">
        <v>1.97</v>
      </c>
      <c r="AL46" t="s">
        <v>106</v>
      </c>
      <c r="AM46">
        <v>72</v>
      </c>
      <c r="AN46">
        <v>63</v>
      </c>
      <c r="AO46">
        <v>66</v>
      </c>
      <c r="AP46">
        <v>72</v>
      </c>
      <c r="AQ46">
        <v>73</v>
      </c>
      <c r="AR46">
        <f t="shared" si="11"/>
        <v>69.2</v>
      </c>
      <c r="AS46" s="20">
        <f t="shared" si="12"/>
        <v>175.768</v>
      </c>
    </row>
    <row r="47" spans="1:45" x14ac:dyDescent="0.25">
      <c r="A47" t="s">
        <v>107</v>
      </c>
      <c r="B47" s="20">
        <f>(13+0+25)/3</f>
        <v>12.666666666666666</v>
      </c>
      <c r="C47" s="20">
        <f t="shared" si="9"/>
        <v>7.2380952380952381</v>
      </c>
      <c r="D47" s="34">
        <f t="shared" si="10"/>
        <v>315291.42857142858</v>
      </c>
      <c r="E47">
        <v>61</v>
      </c>
      <c r="F47">
        <f t="shared" si="0"/>
        <v>221430.00000000003</v>
      </c>
      <c r="G47" s="35">
        <f t="shared" si="3"/>
        <v>70.23026315789474</v>
      </c>
      <c r="H47">
        <v>3.4</v>
      </c>
      <c r="I47">
        <v>0.68</v>
      </c>
      <c r="J47">
        <f t="shared" si="4"/>
        <v>2.7199999999999998</v>
      </c>
      <c r="K47" s="1">
        <v>33.94</v>
      </c>
      <c r="L47">
        <f t="shared" si="5"/>
        <v>3351.0998399999999</v>
      </c>
      <c r="M47" s="38">
        <f t="shared" si="8"/>
        <v>3.6939552576689474</v>
      </c>
      <c r="O47" s="28" t="s">
        <v>107</v>
      </c>
      <c r="P47" t="s">
        <v>68</v>
      </c>
      <c r="Q47">
        <v>6.61</v>
      </c>
      <c r="R47">
        <v>5.78</v>
      </c>
      <c r="S47">
        <v>8.59</v>
      </c>
      <c r="T47">
        <v>8.51</v>
      </c>
      <c r="U47">
        <v>10.210000000000001</v>
      </c>
      <c r="V47">
        <v>8.86</v>
      </c>
      <c r="W47">
        <v>9.3699999999999992</v>
      </c>
      <c r="X47">
        <v>9.2200000000000006</v>
      </c>
      <c r="Y47">
        <v>8.67</v>
      </c>
      <c r="Z47">
        <v>8.25</v>
      </c>
      <c r="AA47">
        <v>3.61</v>
      </c>
      <c r="AB47">
        <v>3.11</v>
      </c>
      <c r="AC47">
        <v>4.6500000000000004</v>
      </c>
      <c r="AD47">
        <v>2.44</v>
      </c>
      <c r="AE47">
        <v>3.32</v>
      </c>
      <c r="AF47">
        <v>2.76</v>
      </c>
      <c r="AG47">
        <v>2.69</v>
      </c>
      <c r="AH47">
        <v>2.59</v>
      </c>
      <c r="AI47">
        <v>2.5299999999999998</v>
      </c>
      <c r="AJ47">
        <v>3.5</v>
      </c>
      <c r="AL47" t="s">
        <v>107</v>
      </c>
      <c r="AM47">
        <v>76</v>
      </c>
      <c r="AN47">
        <v>59</v>
      </c>
      <c r="AO47">
        <v>67</v>
      </c>
      <c r="AP47">
        <v>58</v>
      </c>
      <c r="AQ47">
        <v>58</v>
      </c>
      <c r="AR47">
        <f t="shared" si="11"/>
        <v>63.6</v>
      </c>
      <c r="AS47" s="20">
        <f t="shared" si="12"/>
        <v>161.54400000000001</v>
      </c>
    </row>
    <row r="48" spans="1:45" x14ac:dyDescent="0.25">
      <c r="A48" t="s">
        <v>108</v>
      </c>
      <c r="B48" s="20">
        <f>(14+6+0)/3</f>
        <v>6.666666666666667</v>
      </c>
      <c r="C48" s="20">
        <f t="shared" si="9"/>
        <v>3.8095238095238098</v>
      </c>
      <c r="D48" s="34">
        <f t="shared" si="10"/>
        <v>165942.85714285716</v>
      </c>
      <c r="E48">
        <v>39</v>
      </c>
      <c r="F48">
        <f t="shared" si="0"/>
        <v>141570</v>
      </c>
      <c r="G48" s="35">
        <f t="shared" si="3"/>
        <v>85.312499999999986</v>
      </c>
      <c r="H48">
        <v>2.12</v>
      </c>
      <c r="I48">
        <v>0.68</v>
      </c>
      <c r="J48">
        <f t="shared" si="4"/>
        <v>1.44</v>
      </c>
      <c r="K48" s="1">
        <v>34.950000000000003</v>
      </c>
      <c r="L48">
        <f t="shared" si="5"/>
        <v>1826.9064000000003</v>
      </c>
      <c r="M48" s="38">
        <f t="shared" si="8"/>
        <v>2.0138195887201769</v>
      </c>
      <c r="O48" s="28" t="s">
        <v>108</v>
      </c>
      <c r="P48" t="s">
        <v>153</v>
      </c>
      <c r="Q48">
        <v>8.33</v>
      </c>
      <c r="R48">
        <v>7.18</v>
      </c>
      <c r="S48">
        <v>9.25</v>
      </c>
      <c r="T48">
        <v>6.72</v>
      </c>
      <c r="U48">
        <v>8.69</v>
      </c>
      <c r="V48">
        <v>6.12</v>
      </c>
      <c r="W48">
        <v>5.77</v>
      </c>
      <c r="X48">
        <v>6.96</v>
      </c>
      <c r="Y48">
        <v>7.48</v>
      </c>
      <c r="Z48">
        <v>8.1199999999999992</v>
      </c>
      <c r="AA48">
        <v>3.3</v>
      </c>
      <c r="AB48">
        <v>3.36</v>
      </c>
      <c r="AC48">
        <v>3.1</v>
      </c>
      <c r="AD48">
        <v>3.44</v>
      </c>
      <c r="AE48">
        <v>4.87</v>
      </c>
      <c r="AF48">
        <v>3.89</v>
      </c>
      <c r="AG48">
        <v>3.26</v>
      </c>
      <c r="AH48">
        <v>4.72</v>
      </c>
      <c r="AI48">
        <v>3.54</v>
      </c>
      <c r="AJ48">
        <v>3.14</v>
      </c>
      <c r="AL48" t="s">
        <v>108</v>
      </c>
      <c r="AM48">
        <v>77</v>
      </c>
      <c r="AN48">
        <v>68</v>
      </c>
      <c r="AO48">
        <v>69</v>
      </c>
      <c r="AP48">
        <v>70</v>
      </c>
      <c r="AQ48">
        <v>72</v>
      </c>
      <c r="AR48">
        <f t="shared" si="11"/>
        <v>71.2</v>
      </c>
      <c r="AS48" s="20">
        <f t="shared" si="12"/>
        <v>180.84800000000001</v>
      </c>
    </row>
    <row r="49" spans="1:45" x14ac:dyDescent="0.25">
      <c r="A49" t="s">
        <v>136</v>
      </c>
      <c r="B49" s="20">
        <f>(6+23+13)/3</f>
        <v>14</v>
      </c>
      <c r="C49" s="20">
        <f t="shared" si="9"/>
        <v>8</v>
      </c>
      <c r="D49" s="34">
        <f t="shared" si="10"/>
        <v>348480</v>
      </c>
      <c r="E49">
        <v>60</v>
      </c>
      <c r="F49">
        <f t="shared" si="0"/>
        <v>217800.00000000003</v>
      </c>
      <c r="G49" s="35">
        <f t="shared" si="3"/>
        <v>62.500000000000014</v>
      </c>
      <c r="H49">
        <v>6.14</v>
      </c>
      <c r="I49">
        <v>0.68</v>
      </c>
      <c r="J49">
        <f t="shared" si="4"/>
        <v>5.46</v>
      </c>
      <c r="K49" s="1">
        <v>24.75</v>
      </c>
      <c r="L49">
        <f t="shared" si="5"/>
        <v>4905.4005000000006</v>
      </c>
      <c r="M49" s="38">
        <f t="shared" si="8"/>
        <v>5.4072784557642084</v>
      </c>
      <c r="O49" s="28" t="s">
        <v>136</v>
      </c>
      <c r="P49" t="s">
        <v>169</v>
      </c>
      <c r="Q49">
        <v>7.96</v>
      </c>
      <c r="R49">
        <v>9.59</v>
      </c>
      <c r="S49">
        <v>10.06</v>
      </c>
      <c r="T49">
        <v>9.2100000000000009</v>
      </c>
      <c r="U49">
        <v>5.7</v>
      </c>
      <c r="V49">
        <v>9.9600000000000009</v>
      </c>
      <c r="W49">
        <v>8.9</v>
      </c>
      <c r="X49">
        <v>6.87</v>
      </c>
      <c r="Y49">
        <v>9.2200000000000006</v>
      </c>
      <c r="Z49">
        <v>7.39</v>
      </c>
      <c r="AA49">
        <v>3.77</v>
      </c>
      <c r="AB49">
        <v>3</v>
      </c>
      <c r="AC49">
        <v>3.19</v>
      </c>
      <c r="AD49">
        <v>2.67</v>
      </c>
      <c r="AE49">
        <v>3.38</v>
      </c>
      <c r="AF49">
        <v>2.54</v>
      </c>
      <c r="AG49">
        <v>3.61</v>
      </c>
      <c r="AH49">
        <v>3.07</v>
      </c>
      <c r="AI49">
        <v>3.74</v>
      </c>
      <c r="AJ49">
        <v>3.3</v>
      </c>
      <c r="AL49" t="s">
        <v>136</v>
      </c>
      <c r="AM49">
        <v>103</v>
      </c>
      <c r="AN49">
        <v>91</v>
      </c>
      <c r="AO49">
        <v>80</v>
      </c>
      <c r="AP49">
        <v>102</v>
      </c>
      <c r="AQ49">
        <v>106</v>
      </c>
      <c r="AR49">
        <f t="shared" si="11"/>
        <v>96.4</v>
      </c>
      <c r="AS49" s="20">
        <f t="shared" si="12"/>
        <v>244.85600000000002</v>
      </c>
    </row>
    <row r="50" spans="1:45" x14ac:dyDescent="0.25">
      <c r="A50" t="s">
        <v>109</v>
      </c>
      <c r="B50" s="20">
        <f>(60+55+5)/3</f>
        <v>40</v>
      </c>
      <c r="C50" s="20">
        <f t="shared" si="9"/>
        <v>22.857142857142858</v>
      </c>
      <c r="D50" s="34">
        <f t="shared" si="10"/>
        <v>995657.14285714284</v>
      </c>
      <c r="E50">
        <v>54</v>
      </c>
      <c r="F50">
        <f t="shared" si="0"/>
        <v>196020.00000000003</v>
      </c>
      <c r="G50" s="35">
        <f t="shared" si="3"/>
        <v>19.687500000000004</v>
      </c>
      <c r="H50">
        <v>4.46</v>
      </c>
      <c r="I50">
        <v>0.68</v>
      </c>
      <c r="J50">
        <f t="shared" si="4"/>
        <v>3.78</v>
      </c>
      <c r="K50" s="1">
        <v>26.1</v>
      </c>
      <c r="L50">
        <f t="shared" si="5"/>
        <v>3581.2854000000002</v>
      </c>
      <c r="M50" s="38">
        <f t="shared" si="8"/>
        <v>3.9476914040684146</v>
      </c>
      <c r="O50" s="28" t="s">
        <v>109</v>
      </c>
      <c r="P50" t="s">
        <v>75</v>
      </c>
      <c r="Q50">
        <v>10.39</v>
      </c>
      <c r="R50">
        <v>8.83</v>
      </c>
      <c r="S50">
        <v>7.99</v>
      </c>
      <c r="T50">
        <v>7.76</v>
      </c>
      <c r="U50">
        <v>13.03</v>
      </c>
      <c r="V50">
        <v>10.48</v>
      </c>
      <c r="W50">
        <v>8.14</v>
      </c>
      <c r="X50">
        <v>9.24</v>
      </c>
      <c r="Y50">
        <v>6.25</v>
      </c>
      <c r="Z50">
        <v>6.87</v>
      </c>
      <c r="AA50">
        <v>3.27</v>
      </c>
      <c r="AB50">
        <v>3.78</v>
      </c>
      <c r="AC50">
        <v>4.84</v>
      </c>
      <c r="AD50">
        <v>4.1100000000000003</v>
      </c>
      <c r="AE50">
        <v>2.84</v>
      </c>
      <c r="AF50">
        <v>3.61</v>
      </c>
      <c r="AG50">
        <v>3.09</v>
      </c>
      <c r="AH50">
        <v>2.8</v>
      </c>
      <c r="AI50">
        <v>3.98</v>
      </c>
      <c r="AJ50">
        <v>3.69</v>
      </c>
      <c r="AL50" t="s">
        <v>109</v>
      </c>
      <c r="AM50">
        <v>100</v>
      </c>
      <c r="AN50">
        <v>79</v>
      </c>
      <c r="AO50">
        <v>85</v>
      </c>
      <c r="AP50">
        <v>90</v>
      </c>
      <c r="AQ50">
        <v>80</v>
      </c>
      <c r="AR50">
        <f t="shared" si="11"/>
        <v>86.8</v>
      </c>
      <c r="AS50" s="20">
        <f t="shared" si="12"/>
        <v>220.47200000000001</v>
      </c>
    </row>
    <row r="51" spans="1:45" x14ac:dyDescent="0.25">
      <c r="A51" t="s">
        <v>110</v>
      </c>
      <c r="B51" s="20">
        <f>(27+35+24)/3</f>
        <v>28.666666666666668</v>
      </c>
      <c r="C51" s="20">
        <f t="shared" si="9"/>
        <v>16.380952380952383</v>
      </c>
      <c r="D51" s="34">
        <f t="shared" si="10"/>
        <v>713554.2857142858</v>
      </c>
      <c r="E51">
        <v>79</v>
      </c>
      <c r="F51">
        <f t="shared" si="0"/>
        <v>286770</v>
      </c>
      <c r="G51" s="35">
        <f t="shared" si="3"/>
        <v>40.188953488372086</v>
      </c>
      <c r="H51">
        <v>4.62</v>
      </c>
      <c r="I51">
        <v>0.68</v>
      </c>
      <c r="J51">
        <f t="shared" si="4"/>
        <v>3.94</v>
      </c>
      <c r="K51" s="1">
        <v>28.81</v>
      </c>
      <c r="L51">
        <f t="shared" si="5"/>
        <v>4120.4638199999999</v>
      </c>
      <c r="M51" s="38">
        <f t="shared" si="8"/>
        <v>4.5420338750407616</v>
      </c>
      <c r="O51" s="28" t="s">
        <v>110</v>
      </c>
      <c r="P51" t="s">
        <v>253</v>
      </c>
      <c r="Q51">
        <v>8.74</v>
      </c>
      <c r="R51">
        <v>7.51</v>
      </c>
      <c r="S51">
        <v>13.2</v>
      </c>
      <c r="T51">
        <v>9.1</v>
      </c>
      <c r="U51">
        <v>9.93</v>
      </c>
      <c r="V51">
        <v>9.9499999999999993</v>
      </c>
      <c r="W51">
        <v>7.4</v>
      </c>
      <c r="X51">
        <v>9.18</v>
      </c>
      <c r="Y51">
        <v>9.06</v>
      </c>
      <c r="Z51">
        <v>8.73</v>
      </c>
      <c r="AA51">
        <v>6.32</v>
      </c>
      <c r="AB51">
        <v>3.24</v>
      </c>
      <c r="AC51">
        <v>4.1900000000000004</v>
      </c>
      <c r="AD51">
        <v>2.85</v>
      </c>
      <c r="AE51">
        <v>6.36</v>
      </c>
      <c r="AF51">
        <v>3.49</v>
      </c>
      <c r="AG51">
        <v>4.17</v>
      </c>
      <c r="AH51">
        <v>4.55</v>
      </c>
      <c r="AI51">
        <v>2.8</v>
      </c>
      <c r="AJ51">
        <v>3.18</v>
      </c>
      <c r="AL51" t="s">
        <v>110</v>
      </c>
      <c r="AM51">
        <v>92</v>
      </c>
      <c r="AN51">
        <v>76</v>
      </c>
      <c r="AO51">
        <v>81</v>
      </c>
      <c r="AP51">
        <v>92</v>
      </c>
      <c r="AQ51">
        <v>96</v>
      </c>
      <c r="AR51">
        <f t="shared" si="11"/>
        <v>87.4</v>
      </c>
      <c r="AS51" s="20">
        <f t="shared" si="12"/>
        <v>221.99600000000001</v>
      </c>
    </row>
    <row r="52" spans="1:45" x14ac:dyDescent="0.25">
      <c r="A52" t="s">
        <v>111</v>
      </c>
      <c r="B52" s="20">
        <f>(64+0+79)/3</f>
        <v>47.666666666666664</v>
      </c>
      <c r="C52" s="20">
        <f t="shared" si="9"/>
        <v>27.238095238095237</v>
      </c>
      <c r="D52" s="34">
        <f t="shared" si="10"/>
        <v>1186491.4285714286</v>
      </c>
      <c r="E52">
        <v>105</v>
      </c>
      <c r="F52">
        <f t="shared" si="0"/>
        <v>381150.00000000006</v>
      </c>
      <c r="G52" s="35">
        <f t="shared" si="3"/>
        <v>32.124125874125873</v>
      </c>
      <c r="H52">
        <v>4.0599999999999996</v>
      </c>
      <c r="I52">
        <v>0.68</v>
      </c>
      <c r="J52">
        <f t="shared" si="4"/>
        <v>3.3799999999999994</v>
      </c>
      <c r="K52" s="1">
        <v>28.16</v>
      </c>
      <c r="L52">
        <f t="shared" si="5"/>
        <v>3455.06304</v>
      </c>
      <c r="M52" s="38">
        <f t="shared" si="8"/>
        <v>3.8085550689488428</v>
      </c>
      <c r="O52" s="28" t="s">
        <v>111</v>
      </c>
      <c r="P52" t="s">
        <v>252</v>
      </c>
      <c r="Q52">
        <v>6.27</v>
      </c>
      <c r="R52">
        <v>6.14</v>
      </c>
      <c r="S52">
        <v>6.22</v>
      </c>
      <c r="T52">
        <v>8.9700000000000006</v>
      </c>
      <c r="U52">
        <v>9.0399999999999991</v>
      </c>
      <c r="V52">
        <v>6.59</v>
      </c>
      <c r="W52">
        <v>7.12</v>
      </c>
      <c r="X52">
        <v>6.09</v>
      </c>
      <c r="Y52">
        <v>6.49</v>
      </c>
      <c r="Z52">
        <v>8.11</v>
      </c>
      <c r="AA52">
        <v>4.04</v>
      </c>
      <c r="AB52">
        <v>2.34</v>
      </c>
      <c r="AC52">
        <v>5.45</v>
      </c>
      <c r="AD52">
        <v>3.83</v>
      </c>
      <c r="AE52">
        <v>4.68</v>
      </c>
      <c r="AF52">
        <v>3.07</v>
      </c>
      <c r="AG52">
        <v>4.12</v>
      </c>
      <c r="AH52">
        <v>3.98</v>
      </c>
      <c r="AI52">
        <v>2.35</v>
      </c>
      <c r="AJ52">
        <v>2.12</v>
      </c>
      <c r="AL52" t="s">
        <v>111</v>
      </c>
      <c r="AM52">
        <v>76</v>
      </c>
      <c r="AN52">
        <v>72</v>
      </c>
      <c r="AO52">
        <v>63</v>
      </c>
      <c r="AP52">
        <v>77</v>
      </c>
      <c r="AQ52">
        <v>60</v>
      </c>
      <c r="AR52">
        <f t="shared" si="11"/>
        <v>69.599999999999994</v>
      </c>
      <c r="AS52" s="20">
        <f t="shared" si="12"/>
        <v>176.78399999999999</v>
      </c>
    </row>
    <row r="53" spans="1:45" x14ac:dyDescent="0.25">
      <c r="A53" t="s">
        <v>112</v>
      </c>
      <c r="B53" s="20">
        <f>(1+29+22)/3</f>
        <v>17.333333333333332</v>
      </c>
      <c r="C53" s="20">
        <f t="shared" si="9"/>
        <v>9.9047619047619033</v>
      </c>
      <c r="D53" s="34">
        <f t="shared" si="10"/>
        <v>431451.42857142852</v>
      </c>
      <c r="E53">
        <v>99</v>
      </c>
      <c r="F53">
        <f t="shared" si="0"/>
        <v>359370.00000000006</v>
      </c>
      <c r="G53" s="35">
        <f t="shared" si="3"/>
        <v>83.293269230769255</v>
      </c>
      <c r="H53">
        <v>3.02</v>
      </c>
      <c r="I53">
        <v>0.68</v>
      </c>
      <c r="J53">
        <f t="shared" si="4"/>
        <v>2.34</v>
      </c>
      <c r="K53" s="1">
        <v>29.18</v>
      </c>
      <c r="L53">
        <f t="shared" si="5"/>
        <v>2478.6075599999999</v>
      </c>
      <c r="M53" s="38">
        <f t="shared" si="8"/>
        <v>2.7321971487307284</v>
      </c>
      <c r="O53" s="28" t="s">
        <v>112</v>
      </c>
      <c r="P53" t="s">
        <v>171</v>
      </c>
      <c r="Q53">
        <v>7.09</v>
      </c>
      <c r="R53">
        <v>8.6</v>
      </c>
      <c r="S53">
        <v>7.37</v>
      </c>
      <c r="T53">
        <v>6.99</v>
      </c>
      <c r="U53">
        <v>7.43</v>
      </c>
      <c r="V53">
        <v>6.76</v>
      </c>
      <c r="W53">
        <v>6.98</v>
      </c>
      <c r="X53">
        <v>8.14</v>
      </c>
      <c r="Y53">
        <v>7.21</v>
      </c>
      <c r="Z53">
        <v>5.41</v>
      </c>
      <c r="AA53">
        <v>2.69</v>
      </c>
      <c r="AB53">
        <v>2.69</v>
      </c>
      <c r="AC53">
        <v>2.97</v>
      </c>
      <c r="AD53">
        <v>3.1</v>
      </c>
      <c r="AE53">
        <v>3.23</v>
      </c>
      <c r="AF53">
        <v>4.83</v>
      </c>
      <c r="AG53">
        <v>2.2599999999999998</v>
      </c>
      <c r="AH53">
        <v>2.62</v>
      </c>
      <c r="AI53">
        <v>3.05</v>
      </c>
      <c r="AJ53">
        <v>2.62</v>
      </c>
      <c r="AL53" t="s">
        <v>112</v>
      </c>
      <c r="AM53">
        <v>93</v>
      </c>
      <c r="AN53">
        <v>103</v>
      </c>
      <c r="AO53">
        <v>80</v>
      </c>
      <c r="AP53">
        <v>82</v>
      </c>
      <c r="AQ53">
        <v>77</v>
      </c>
      <c r="AR53">
        <f t="shared" si="11"/>
        <v>87</v>
      </c>
      <c r="AS53" s="20">
        <f t="shared" si="12"/>
        <v>220.98</v>
      </c>
    </row>
    <row r="54" spans="1:45" x14ac:dyDescent="0.25">
      <c r="A54" t="s">
        <v>113</v>
      </c>
      <c r="B54" s="20">
        <f>(42+26+0)/3</f>
        <v>22.666666666666668</v>
      </c>
      <c r="C54" s="20">
        <f t="shared" si="9"/>
        <v>12.952380952380953</v>
      </c>
      <c r="D54" s="34">
        <f t="shared" si="10"/>
        <v>564205.71428571432</v>
      </c>
      <c r="E54">
        <v>76</v>
      </c>
      <c r="F54">
        <f t="shared" si="0"/>
        <v>275880</v>
      </c>
      <c r="G54" s="35">
        <f t="shared" si="3"/>
        <v>48.897058823529413</v>
      </c>
      <c r="H54">
        <v>6.97</v>
      </c>
      <c r="I54">
        <v>0.68</v>
      </c>
      <c r="J54">
        <f t="shared" si="4"/>
        <v>6.29</v>
      </c>
      <c r="K54" s="1">
        <v>29.69</v>
      </c>
      <c r="L54">
        <f t="shared" si="5"/>
        <v>6779.0286300000007</v>
      </c>
      <c r="M54" s="38">
        <f t="shared" si="8"/>
        <v>7.4725999359293409</v>
      </c>
      <c r="O54" s="28" t="s">
        <v>113</v>
      </c>
      <c r="P54" t="s">
        <v>151</v>
      </c>
      <c r="Q54">
        <v>13.08</v>
      </c>
      <c r="R54">
        <v>14.93</v>
      </c>
      <c r="S54">
        <v>13.43</v>
      </c>
      <c r="T54">
        <v>10.23</v>
      </c>
      <c r="U54">
        <v>14.59</v>
      </c>
      <c r="V54">
        <v>11.79</v>
      </c>
      <c r="W54">
        <v>12.71</v>
      </c>
      <c r="X54">
        <v>12.94</v>
      </c>
      <c r="Y54">
        <v>12.7</v>
      </c>
      <c r="Z54">
        <v>10.87</v>
      </c>
      <c r="AA54">
        <v>2.29</v>
      </c>
      <c r="AB54">
        <v>3.73</v>
      </c>
      <c r="AC54">
        <v>1.91</v>
      </c>
      <c r="AD54">
        <v>2.4300000000000002</v>
      </c>
      <c r="AE54">
        <v>3.21</v>
      </c>
      <c r="AF54">
        <v>3.16</v>
      </c>
      <c r="AG54">
        <v>1.21</v>
      </c>
      <c r="AH54">
        <v>2.66</v>
      </c>
      <c r="AI54">
        <v>2.5099999999999998</v>
      </c>
      <c r="AJ54">
        <v>1.96</v>
      </c>
      <c r="AL54" t="s">
        <v>246</v>
      </c>
      <c r="AM54">
        <v>114</v>
      </c>
      <c r="AN54">
        <v>116</v>
      </c>
      <c r="AO54">
        <v>118</v>
      </c>
      <c r="AP54">
        <v>114</v>
      </c>
      <c r="AQ54">
        <v>114</v>
      </c>
      <c r="AR54">
        <f t="shared" si="11"/>
        <v>115.2</v>
      </c>
      <c r="AS54" s="20">
        <f t="shared" si="12"/>
        <v>292.608</v>
      </c>
    </row>
    <row r="55" spans="1:45" x14ac:dyDescent="0.25">
      <c r="A55" t="s">
        <v>114</v>
      </c>
      <c r="B55" s="20">
        <f>(7+66+40)/3</f>
        <v>37.666666666666664</v>
      </c>
      <c r="C55" s="20">
        <f t="shared" si="9"/>
        <v>21.523809523809522</v>
      </c>
      <c r="D55" s="34">
        <f t="shared" si="10"/>
        <v>937577.14285714272</v>
      </c>
      <c r="E55">
        <v>116</v>
      </c>
      <c r="F55">
        <f t="shared" si="0"/>
        <v>421080.00000000006</v>
      </c>
      <c r="G55" s="35">
        <f t="shared" si="3"/>
        <v>44.911504424778776</v>
      </c>
      <c r="H55">
        <v>4.12</v>
      </c>
      <c r="I55">
        <v>0.68</v>
      </c>
      <c r="J55">
        <f t="shared" si="4"/>
        <v>3.44</v>
      </c>
      <c r="K55" s="1">
        <v>29.59</v>
      </c>
      <c r="L55">
        <f t="shared" si="5"/>
        <v>3694.9624800000001</v>
      </c>
      <c r="M55" s="38">
        <f t="shared" si="8"/>
        <v>4.0729989351452724</v>
      </c>
      <c r="O55" s="28" t="s">
        <v>114</v>
      </c>
      <c r="P55" t="s">
        <v>70</v>
      </c>
      <c r="Q55">
        <v>8.61</v>
      </c>
      <c r="R55">
        <v>10.77</v>
      </c>
      <c r="S55">
        <v>8.94</v>
      </c>
      <c r="T55">
        <v>9.56</v>
      </c>
      <c r="U55">
        <v>5.47</v>
      </c>
      <c r="V55">
        <v>6.5</v>
      </c>
      <c r="W55">
        <v>6.69</v>
      </c>
      <c r="X55">
        <v>8.11</v>
      </c>
      <c r="Y55">
        <v>10.49</v>
      </c>
      <c r="Z55">
        <v>7.02</v>
      </c>
      <c r="AA55">
        <v>3.71</v>
      </c>
      <c r="AB55">
        <v>3.67</v>
      </c>
      <c r="AC55">
        <v>4.18</v>
      </c>
      <c r="AD55">
        <v>2.1800000000000002</v>
      </c>
      <c r="AE55">
        <v>4.9000000000000004</v>
      </c>
      <c r="AF55">
        <v>3.61</v>
      </c>
      <c r="AG55">
        <v>3.67</v>
      </c>
      <c r="AH55">
        <v>5.39</v>
      </c>
      <c r="AI55">
        <v>4.54</v>
      </c>
      <c r="AJ55">
        <v>1.82</v>
      </c>
      <c r="AL55" t="s">
        <v>114</v>
      </c>
      <c r="AM55">
        <v>80</v>
      </c>
      <c r="AN55">
        <v>87</v>
      </c>
      <c r="AO55">
        <v>77</v>
      </c>
      <c r="AP55">
        <v>100</v>
      </c>
      <c r="AQ55">
        <v>66</v>
      </c>
      <c r="AR55">
        <f t="shared" si="11"/>
        <v>82</v>
      </c>
      <c r="AS55" s="20">
        <f t="shared" si="12"/>
        <v>208.28</v>
      </c>
    </row>
    <row r="56" spans="1:45" x14ac:dyDescent="0.25">
      <c r="A56" t="s">
        <v>115</v>
      </c>
      <c r="B56" s="20">
        <f>(44+26+4)/3</f>
        <v>24.666666666666668</v>
      </c>
      <c r="C56" s="20">
        <f t="shared" si="9"/>
        <v>14.095238095238097</v>
      </c>
      <c r="D56" s="34">
        <f t="shared" si="10"/>
        <v>613988.57142857148</v>
      </c>
      <c r="E56">
        <v>69</v>
      </c>
      <c r="F56">
        <f t="shared" si="0"/>
        <v>250470.00000000003</v>
      </c>
      <c r="G56" s="35">
        <f t="shared" si="3"/>
        <v>40.793918918918919</v>
      </c>
      <c r="H56">
        <v>3.44</v>
      </c>
      <c r="I56">
        <v>0.68</v>
      </c>
      <c r="J56">
        <f t="shared" si="4"/>
        <v>2.76</v>
      </c>
      <c r="K56" s="1">
        <v>29.98</v>
      </c>
      <c r="L56">
        <f t="shared" si="5"/>
        <v>3003.6362400000003</v>
      </c>
      <c r="M56" s="38">
        <f t="shared" si="8"/>
        <v>3.3109422012544361</v>
      </c>
      <c r="O56" s="28" t="s">
        <v>115</v>
      </c>
      <c r="P56" t="s">
        <v>170</v>
      </c>
      <c r="Q56">
        <v>7.55</v>
      </c>
      <c r="R56">
        <v>14.84</v>
      </c>
      <c r="S56">
        <v>8.2799999999999994</v>
      </c>
      <c r="T56">
        <v>10.89</v>
      </c>
      <c r="U56">
        <v>10.130000000000001</v>
      </c>
      <c r="V56">
        <v>7.4</v>
      </c>
      <c r="W56">
        <v>11.05</v>
      </c>
      <c r="X56">
        <v>8.35</v>
      </c>
      <c r="Y56">
        <v>10.32</v>
      </c>
      <c r="Z56">
        <v>8.75</v>
      </c>
      <c r="AA56">
        <v>4.0999999999999996</v>
      </c>
      <c r="AB56">
        <v>3.64</v>
      </c>
      <c r="AC56">
        <v>3.34</v>
      </c>
      <c r="AD56">
        <v>2.67</v>
      </c>
      <c r="AE56">
        <v>2.4500000000000002</v>
      </c>
      <c r="AF56">
        <v>3.1</v>
      </c>
      <c r="AG56">
        <v>3.02</v>
      </c>
      <c r="AH56">
        <v>3.22</v>
      </c>
      <c r="AI56">
        <v>4.09</v>
      </c>
      <c r="AJ56">
        <v>3.03</v>
      </c>
      <c r="AL56" t="s">
        <v>115</v>
      </c>
      <c r="AM56">
        <v>82</v>
      </c>
      <c r="AN56">
        <v>72</v>
      </c>
      <c r="AO56">
        <v>87</v>
      </c>
      <c r="AP56">
        <v>77</v>
      </c>
      <c r="AR56">
        <f>AVERAGE(AM56,AN56,AO56,AP56)</f>
        <v>79.5</v>
      </c>
      <c r="AS56" s="20">
        <f t="shared" si="12"/>
        <v>201.93</v>
      </c>
    </row>
    <row r="57" spans="1:45" x14ac:dyDescent="0.25">
      <c r="A57" t="s">
        <v>116</v>
      </c>
      <c r="B57" s="20">
        <f>(50+48+46)/3</f>
        <v>48</v>
      </c>
      <c r="C57" s="20">
        <f t="shared" si="9"/>
        <v>27.428571428571427</v>
      </c>
      <c r="D57" s="34">
        <f t="shared" si="10"/>
        <v>1194788.5714285714</v>
      </c>
      <c r="E57">
        <v>106</v>
      </c>
      <c r="F57">
        <f t="shared" si="0"/>
        <v>384780.00000000006</v>
      </c>
      <c r="G57" s="35">
        <f t="shared" si="3"/>
        <v>32.204861111111114</v>
      </c>
      <c r="H57">
        <v>4</v>
      </c>
      <c r="I57">
        <v>0.68</v>
      </c>
      <c r="J57">
        <f t="shared" si="4"/>
        <v>3.32</v>
      </c>
      <c r="K57" s="1">
        <v>30.48</v>
      </c>
      <c r="L57">
        <f t="shared" si="5"/>
        <v>3673.3276800000003</v>
      </c>
      <c r="M57" s="38">
        <f t="shared" si="8"/>
        <v>4.0491506503956858</v>
      </c>
      <c r="O57" s="28" t="s">
        <v>116</v>
      </c>
      <c r="P57" t="s">
        <v>172</v>
      </c>
      <c r="Q57">
        <v>9.0399999999999991</v>
      </c>
      <c r="R57">
        <v>7.3</v>
      </c>
      <c r="S57">
        <v>7.18</v>
      </c>
      <c r="T57">
        <v>8.93</v>
      </c>
      <c r="U57">
        <v>9.52</v>
      </c>
      <c r="V57">
        <v>6.79</v>
      </c>
      <c r="W57">
        <v>6.36</v>
      </c>
      <c r="X57">
        <v>5.6</v>
      </c>
      <c r="Y57">
        <v>6.55</v>
      </c>
      <c r="AA57">
        <v>4.78</v>
      </c>
      <c r="AB57">
        <v>5.09</v>
      </c>
      <c r="AC57">
        <v>4.33</v>
      </c>
      <c r="AD57">
        <v>4</v>
      </c>
      <c r="AE57">
        <v>4.32</v>
      </c>
      <c r="AF57">
        <v>3.17</v>
      </c>
      <c r="AG57">
        <v>5.55</v>
      </c>
      <c r="AH57">
        <v>3.69</v>
      </c>
      <c r="AI57">
        <v>3.81</v>
      </c>
      <c r="AJ57">
        <v>2.29</v>
      </c>
      <c r="AL57" t="s">
        <v>116</v>
      </c>
      <c r="AM57">
        <v>65</v>
      </c>
      <c r="AN57">
        <v>78</v>
      </c>
      <c r="AO57">
        <v>80</v>
      </c>
      <c r="AP57">
        <v>82</v>
      </c>
      <c r="AQ57">
        <v>70</v>
      </c>
      <c r="AR57">
        <f t="shared" ref="AR57:AR73" si="13">AVERAGE(AM57,AN57,AO57,AP57,AQ57)</f>
        <v>75</v>
      </c>
      <c r="AS57" s="20">
        <f t="shared" si="12"/>
        <v>190.5</v>
      </c>
    </row>
    <row r="58" spans="1:45" x14ac:dyDescent="0.25">
      <c r="A58" t="s">
        <v>117</v>
      </c>
      <c r="B58" s="20">
        <f>(25+49+5)/3</f>
        <v>26.333333333333332</v>
      </c>
      <c r="C58" s="20">
        <f t="shared" si="9"/>
        <v>15.047619047619047</v>
      </c>
      <c r="D58" s="34">
        <f t="shared" si="10"/>
        <v>655474.28571428568</v>
      </c>
      <c r="E58">
        <v>35</v>
      </c>
      <c r="F58">
        <f t="shared" si="0"/>
        <v>127050.00000000001</v>
      </c>
      <c r="G58" s="35">
        <f t="shared" si="3"/>
        <v>19.382911392405067</v>
      </c>
      <c r="H58">
        <v>5.3</v>
      </c>
      <c r="I58">
        <v>0.68</v>
      </c>
      <c r="J58">
        <f t="shared" si="4"/>
        <v>4.62</v>
      </c>
      <c r="K58" s="1">
        <v>30.87</v>
      </c>
      <c r="L58">
        <f t="shared" si="5"/>
        <v>5177.0842200000016</v>
      </c>
      <c r="M58" s="38">
        <f t="shared" si="8"/>
        <v>5.7067584933142266</v>
      </c>
      <c r="O58" s="23" t="s">
        <v>117</v>
      </c>
      <c r="P58" t="s">
        <v>75</v>
      </c>
      <c r="Q58">
        <v>8.84</v>
      </c>
      <c r="R58">
        <v>7.29</v>
      </c>
      <c r="S58">
        <v>7.2</v>
      </c>
      <c r="T58">
        <v>9.06</v>
      </c>
      <c r="U58">
        <v>10.76</v>
      </c>
      <c r="V58">
        <v>7.79</v>
      </c>
      <c r="W58">
        <v>6.61</v>
      </c>
      <c r="X58">
        <v>8.33</v>
      </c>
      <c r="Y58">
        <v>8.07</v>
      </c>
      <c r="Z58">
        <v>9.65</v>
      </c>
      <c r="AA58">
        <v>4.0999999999999996</v>
      </c>
      <c r="AB58">
        <v>2.87</v>
      </c>
      <c r="AC58">
        <v>3.42</v>
      </c>
      <c r="AD58">
        <v>3.14</v>
      </c>
      <c r="AE58">
        <v>3.15</v>
      </c>
      <c r="AF58">
        <v>3.15</v>
      </c>
      <c r="AG58">
        <v>2.66</v>
      </c>
      <c r="AH58">
        <v>3.14</v>
      </c>
      <c r="AI58">
        <v>3.09</v>
      </c>
      <c r="AL58" t="s">
        <v>117</v>
      </c>
      <c r="AM58">
        <v>88</v>
      </c>
      <c r="AN58">
        <v>90</v>
      </c>
      <c r="AO58">
        <v>76</v>
      </c>
      <c r="AP58">
        <v>78</v>
      </c>
      <c r="AQ58">
        <v>74</v>
      </c>
      <c r="AR58">
        <f t="shared" si="13"/>
        <v>81.2</v>
      </c>
      <c r="AS58" s="20">
        <f t="shared" si="12"/>
        <v>206.24800000000002</v>
      </c>
    </row>
    <row r="59" spans="1:45" x14ac:dyDescent="0.25">
      <c r="A59" t="s">
        <v>118</v>
      </c>
      <c r="B59" s="20">
        <f>(47+55+46)/3</f>
        <v>49.333333333333336</v>
      </c>
      <c r="C59" s="20">
        <f t="shared" si="9"/>
        <v>28.190476190476193</v>
      </c>
      <c r="D59" s="34">
        <f t="shared" si="10"/>
        <v>1227977.142857143</v>
      </c>
      <c r="E59">
        <v>83</v>
      </c>
      <c r="F59">
        <f t="shared" si="0"/>
        <v>301290</v>
      </c>
      <c r="G59" s="35">
        <f t="shared" si="3"/>
        <v>24.535472972972972</v>
      </c>
      <c r="H59">
        <v>5.7</v>
      </c>
      <c r="I59">
        <v>0.68</v>
      </c>
      <c r="J59">
        <f t="shared" si="4"/>
        <v>5.0200000000000005</v>
      </c>
      <c r="K59" s="1">
        <v>25.89</v>
      </c>
      <c r="L59">
        <f t="shared" si="5"/>
        <v>4717.8311400000011</v>
      </c>
      <c r="M59" s="38">
        <f t="shared" si="8"/>
        <v>5.2005186286533585</v>
      </c>
      <c r="O59" s="23" t="s">
        <v>118</v>
      </c>
      <c r="P59" t="s">
        <v>169</v>
      </c>
      <c r="Q59">
        <v>11.94</v>
      </c>
      <c r="R59">
        <v>18.78</v>
      </c>
      <c r="S59">
        <v>9.65</v>
      </c>
      <c r="T59">
        <v>9.7799999999999994</v>
      </c>
      <c r="U59">
        <v>10.62</v>
      </c>
      <c r="V59">
        <v>9.3800000000000008</v>
      </c>
      <c r="W59">
        <v>7.54</v>
      </c>
      <c r="X59">
        <v>11.63</v>
      </c>
      <c r="Y59">
        <v>12.11</v>
      </c>
      <c r="Z59">
        <v>9.9700000000000006</v>
      </c>
      <c r="AA59">
        <v>4.34</v>
      </c>
      <c r="AB59">
        <v>3.38</v>
      </c>
      <c r="AC59">
        <v>3.05</v>
      </c>
      <c r="AD59">
        <v>3.46</v>
      </c>
      <c r="AE59">
        <v>3.15</v>
      </c>
      <c r="AF59">
        <v>3.71</v>
      </c>
      <c r="AG59">
        <v>3.07</v>
      </c>
      <c r="AH59">
        <v>3.73</v>
      </c>
      <c r="AI59">
        <v>3.85</v>
      </c>
      <c r="AJ59">
        <v>4.0999999999999996</v>
      </c>
      <c r="AL59" t="s">
        <v>118</v>
      </c>
      <c r="AM59">
        <v>110</v>
      </c>
      <c r="AN59">
        <v>108</v>
      </c>
      <c r="AO59">
        <v>90</v>
      </c>
      <c r="AP59">
        <v>93</v>
      </c>
      <c r="AQ59">
        <v>102</v>
      </c>
      <c r="AR59">
        <f t="shared" si="13"/>
        <v>100.6</v>
      </c>
      <c r="AS59" s="20">
        <f t="shared" si="12"/>
        <v>255.524</v>
      </c>
    </row>
    <row r="60" spans="1:45" x14ac:dyDescent="0.25">
      <c r="A60" t="s">
        <v>119</v>
      </c>
      <c r="B60" s="20">
        <f>(30+12+30)/3</f>
        <v>24</v>
      </c>
      <c r="C60" s="20">
        <f t="shared" si="9"/>
        <v>13.714285714285714</v>
      </c>
      <c r="D60" s="34">
        <f t="shared" si="10"/>
        <v>597394.28571428568</v>
      </c>
      <c r="E60">
        <v>67</v>
      </c>
      <c r="F60">
        <f t="shared" si="0"/>
        <v>243210.00000000003</v>
      </c>
      <c r="G60" s="35">
        <f t="shared" si="3"/>
        <v>40.711805555555564</v>
      </c>
      <c r="H60">
        <v>6.52</v>
      </c>
      <c r="I60">
        <v>0.68</v>
      </c>
      <c r="J60">
        <f t="shared" si="4"/>
        <v>5.84</v>
      </c>
      <c r="K60" s="1">
        <v>30.72</v>
      </c>
      <c r="L60">
        <f t="shared" si="5"/>
        <v>6512.3942400000005</v>
      </c>
      <c r="M60" s="38">
        <f t="shared" si="8"/>
        <v>7.1786858319509124</v>
      </c>
      <c r="O60" s="23" t="s">
        <v>119</v>
      </c>
      <c r="P60" t="s">
        <v>154</v>
      </c>
      <c r="Q60">
        <v>10.08</v>
      </c>
      <c r="R60">
        <v>6.53</v>
      </c>
      <c r="S60">
        <v>6.59</v>
      </c>
      <c r="T60">
        <v>5.97</v>
      </c>
      <c r="U60">
        <v>4.2699999999999996</v>
      </c>
      <c r="V60">
        <v>7.45</v>
      </c>
      <c r="W60">
        <v>4.88</v>
      </c>
      <c r="X60">
        <v>7.79</v>
      </c>
      <c r="Y60">
        <v>5.31</v>
      </c>
      <c r="Z60">
        <v>4.32</v>
      </c>
      <c r="AA60">
        <v>4.17</v>
      </c>
      <c r="AB60">
        <v>7.3</v>
      </c>
      <c r="AC60">
        <v>3.86</v>
      </c>
      <c r="AD60">
        <v>3.81</v>
      </c>
      <c r="AE60">
        <v>3.79</v>
      </c>
      <c r="AF60">
        <v>5.0999999999999996</v>
      </c>
      <c r="AG60">
        <v>2.21</v>
      </c>
      <c r="AH60">
        <v>4.38</v>
      </c>
      <c r="AI60">
        <v>3.75</v>
      </c>
      <c r="AJ60">
        <v>3.97</v>
      </c>
      <c r="AL60" t="s">
        <v>119</v>
      </c>
      <c r="AM60">
        <v>84</v>
      </c>
      <c r="AN60">
        <v>90</v>
      </c>
      <c r="AO60">
        <v>100</v>
      </c>
      <c r="AP60">
        <v>97</v>
      </c>
      <c r="AQ60">
        <v>96</v>
      </c>
      <c r="AR60">
        <f t="shared" si="13"/>
        <v>93.4</v>
      </c>
      <c r="AS60" s="20">
        <f t="shared" si="12"/>
        <v>237.23600000000002</v>
      </c>
    </row>
    <row r="61" spans="1:45" x14ac:dyDescent="0.25">
      <c r="A61" t="s">
        <v>120</v>
      </c>
      <c r="B61" s="20">
        <f>(42+35+26)/3</f>
        <v>34.333333333333336</v>
      </c>
      <c r="C61" s="20">
        <f t="shared" si="9"/>
        <v>19.61904761904762</v>
      </c>
      <c r="D61" s="34">
        <f t="shared" si="10"/>
        <v>854605.71428571432</v>
      </c>
      <c r="E61">
        <v>64</v>
      </c>
      <c r="F61">
        <f t="shared" si="0"/>
        <v>232320.00000000003</v>
      </c>
      <c r="G61" s="35">
        <f t="shared" si="3"/>
        <v>27.184466019417481</v>
      </c>
      <c r="H61">
        <v>5.2</v>
      </c>
      <c r="I61">
        <v>0.68</v>
      </c>
      <c r="J61">
        <f t="shared" si="4"/>
        <v>4.5200000000000005</v>
      </c>
      <c r="K61" s="1">
        <v>27.04</v>
      </c>
      <c r="L61">
        <f t="shared" si="5"/>
        <v>4436.6150400000006</v>
      </c>
      <c r="M61" s="38">
        <f t="shared" si="8"/>
        <v>4.8905309408093105</v>
      </c>
      <c r="O61" s="23" t="s">
        <v>120</v>
      </c>
      <c r="P61" t="s">
        <v>172</v>
      </c>
      <c r="Q61">
        <v>11</v>
      </c>
      <c r="R61">
        <v>7.64</v>
      </c>
      <c r="S61">
        <v>8.3699999999999992</v>
      </c>
      <c r="T61">
        <v>10.31</v>
      </c>
      <c r="U61">
        <v>8.91</v>
      </c>
      <c r="V61">
        <v>9.6999999999999993</v>
      </c>
      <c r="W61">
        <v>8.84</v>
      </c>
      <c r="X61">
        <v>9.39</v>
      </c>
      <c r="Y61">
        <v>6.19</v>
      </c>
      <c r="Z61">
        <v>8.57</v>
      </c>
      <c r="AA61">
        <v>4.49</v>
      </c>
      <c r="AB61">
        <v>3.64</v>
      </c>
      <c r="AC61">
        <v>0.95</v>
      </c>
      <c r="AD61">
        <v>2.4700000000000002</v>
      </c>
      <c r="AE61">
        <v>1.88</v>
      </c>
      <c r="AF61">
        <v>2.54</v>
      </c>
      <c r="AG61">
        <v>1.79</v>
      </c>
      <c r="AH61">
        <v>2.58</v>
      </c>
      <c r="AI61">
        <v>2.1800000000000002</v>
      </c>
      <c r="AJ61">
        <v>2.14</v>
      </c>
      <c r="AL61" t="s">
        <v>120</v>
      </c>
      <c r="AM61">
        <v>99</v>
      </c>
      <c r="AN61">
        <v>95</v>
      </c>
      <c r="AO61">
        <v>86</v>
      </c>
      <c r="AP61">
        <v>83</v>
      </c>
      <c r="AQ61">
        <v>87</v>
      </c>
      <c r="AR61">
        <f t="shared" si="13"/>
        <v>90</v>
      </c>
      <c r="AS61" s="20">
        <f t="shared" si="12"/>
        <v>228.6</v>
      </c>
    </row>
    <row r="62" spans="1:45" x14ac:dyDescent="0.25">
      <c r="A62" t="s">
        <v>121</v>
      </c>
      <c r="B62" s="20">
        <f>(0+25+16)/3</f>
        <v>13.666666666666666</v>
      </c>
      <c r="C62" s="20">
        <f t="shared" si="9"/>
        <v>7.8095238095238093</v>
      </c>
      <c r="D62" s="34">
        <f t="shared" si="10"/>
        <v>340182.85714285716</v>
      </c>
      <c r="E62">
        <v>71</v>
      </c>
      <c r="F62">
        <f t="shared" si="0"/>
        <v>257730.00000000003</v>
      </c>
      <c r="G62" s="35">
        <f t="shared" si="3"/>
        <v>75.762195121951223</v>
      </c>
      <c r="H62">
        <v>3.5</v>
      </c>
      <c r="I62">
        <v>0.68</v>
      </c>
      <c r="J62">
        <f t="shared" si="4"/>
        <v>2.82</v>
      </c>
      <c r="K62" s="1">
        <v>27.31</v>
      </c>
      <c r="L62">
        <f t="shared" si="5"/>
        <v>2795.6154600000004</v>
      </c>
      <c r="M62" s="38">
        <f t="shared" si="8"/>
        <v>3.0816385425531201</v>
      </c>
      <c r="O62" s="23" t="s">
        <v>121</v>
      </c>
      <c r="P62" t="s">
        <v>174</v>
      </c>
      <c r="Q62">
        <v>7.48</v>
      </c>
      <c r="R62">
        <v>6.36</v>
      </c>
      <c r="S62">
        <v>8.41</v>
      </c>
      <c r="T62">
        <v>9.26</v>
      </c>
      <c r="U62">
        <v>9.0299999999999994</v>
      </c>
      <c r="V62">
        <v>7.91</v>
      </c>
      <c r="W62">
        <v>9.32</v>
      </c>
      <c r="X62">
        <v>7.44</v>
      </c>
      <c r="Y62">
        <v>7.93</v>
      </c>
      <c r="Z62">
        <v>8.52</v>
      </c>
      <c r="AA62">
        <v>3.41</v>
      </c>
      <c r="AB62">
        <v>3.22</v>
      </c>
      <c r="AC62">
        <v>3.25</v>
      </c>
      <c r="AD62">
        <v>3.81</v>
      </c>
      <c r="AE62">
        <v>3.48</v>
      </c>
      <c r="AF62">
        <v>4.4400000000000004</v>
      </c>
      <c r="AG62">
        <v>3.97</v>
      </c>
      <c r="AH62">
        <v>3.59</v>
      </c>
      <c r="AI62">
        <v>2.75</v>
      </c>
      <c r="AJ62">
        <v>3.19</v>
      </c>
      <c r="AL62" t="s">
        <v>121</v>
      </c>
      <c r="AM62">
        <v>76</v>
      </c>
      <c r="AN62">
        <v>75</v>
      </c>
      <c r="AO62">
        <v>80</v>
      </c>
      <c r="AP62">
        <v>85</v>
      </c>
      <c r="AQ62">
        <v>87</v>
      </c>
      <c r="AR62">
        <f t="shared" si="13"/>
        <v>80.599999999999994</v>
      </c>
      <c r="AS62" s="20">
        <f t="shared" si="12"/>
        <v>204.72399999999999</v>
      </c>
    </row>
    <row r="63" spans="1:45" x14ac:dyDescent="0.25">
      <c r="A63" t="s">
        <v>122</v>
      </c>
      <c r="B63" s="20">
        <f>(34+34+0)/3</f>
        <v>22.666666666666668</v>
      </c>
      <c r="C63" s="20">
        <f t="shared" si="9"/>
        <v>12.952380952380953</v>
      </c>
      <c r="D63" s="34">
        <f t="shared" si="10"/>
        <v>564205.71428571432</v>
      </c>
      <c r="E63">
        <v>79</v>
      </c>
      <c r="F63">
        <f t="shared" si="0"/>
        <v>286770</v>
      </c>
      <c r="G63" s="35">
        <f t="shared" si="3"/>
        <v>50.827205882352935</v>
      </c>
      <c r="H63">
        <v>3.18</v>
      </c>
      <c r="I63">
        <v>0.68</v>
      </c>
      <c r="J63">
        <f t="shared" si="4"/>
        <v>2.5</v>
      </c>
      <c r="K63" s="1">
        <v>28.92</v>
      </c>
      <c r="L63">
        <f t="shared" si="5"/>
        <v>2624.4900000000007</v>
      </c>
      <c r="M63" s="38">
        <f t="shared" si="8"/>
        <v>2.8930050124079796</v>
      </c>
      <c r="O63" s="23" t="s">
        <v>122</v>
      </c>
      <c r="P63" t="s">
        <v>170</v>
      </c>
      <c r="Q63">
        <v>10.31</v>
      </c>
      <c r="R63">
        <v>5.9</v>
      </c>
      <c r="S63">
        <v>7.71</v>
      </c>
      <c r="T63">
        <v>7.66</v>
      </c>
      <c r="U63">
        <v>7.75</v>
      </c>
      <c r="V63">
        <v>7.67</v>
      </c>
      <c r="W63">
        <v>6.73</v>
      </c>
      <c r="X63">
        <v>7.4</v>
      </c>
      <c r="Y63">
        <v>8.02</v>
      </c>
      <c r="Z63">
        <v>7.28</v>
      </c>
      <c r="AA63">
        <v>1.58</v>
      </c>
      <c r="AB63">
        <v>1.1299999999999999</v>
      </c>
      <c r="AC63">
        <v>3.25</v>
      </c>
      <c r="AD63">
        <v>2.69</v>
      </c>
      <c r="AE63">
        <v>3.57</v>
      </c>
      <c r="AF63">
        <v>3.16</v>
      </c>
      <c r="AG63">
        <v>1.1399999999999999</v>
      </c>
      <c r="AH63">
        <v>1.43</v>
      </c>
      <c r="AI63">
        <v>2.33</v>
      </c>
      <c r="AJ63">
        <v>3.1</v>
      </c>
      <c r="AL63" t="s">
        <v>122</v>
      </c>
      <c r="AM63">
        <v>65</v>
      </c>
      <c r="AN63">
        <v>80</v>
      </c>
      <c r="AO63">
        <v>82</v>
      </c>
      <c r="AP63">
        <v>62</v>
      </c>
      <c r="AQ63">
        <v>64</v>
      </c>
      <c r="AR63">
        <f t="shared" si="13"/>
        <v>70.599999999999994</v>
      </c>
      <c r="AS63" s="20">
        <f t="shared" si="12"/>
        <v>179.32399999999998</v>
      </c>
    </row>
    <row r="64" spans="1:45" x14ac:dyDescent="0.25">
      <c r="A64" t="s">
        <v>123</v>
      </c>
      <c r="B64" s="20">
        <f>(21+50+38)/3</f>
        <v>36.333333333333336</v>
      </c>
      <c r="C64" s="20">
        <f t="shared" si="9"/>
        <v>20.761904761904763</v>
      </c>
      <c r="D64" s="34">
        <f t="shared" si="10"/>
        <v>904388.57142857148</v>
      </c>
      <c r="E64">
        <v>116</v>
      </c>
      <c r="F64">
        <f t="shared" si="0"/>
        <v>421080.00000000006</v>
      </c>
      <c r="G64" s="35">
        <f t="shared" si="3"/>
        <v>46.559633027522942</v>
      </c>
      <c r="H64">
        <v>4.4400000000000004</v>
      </c>
      <c r="I64">
        <v>0.68</v>
      </c>
      <c r="J64">
        <f t="shared" si="4"/>
        <v>3.7600000000000002</v>
      </c>
      <c r="K64" s="1">
        <v>27.99</v>
      </c>
      <c r="L64">
        <f t="shared" si="5"/>
        <v>3820.2991200000006</v>
      </c>
      <c r="M64" s="38">
        <f t="shared" si="8"/>
        <v>4.2111589310905329</v>
      </c>
      <c r="O64" s="23" t="s">
        <v>123</v>
      </c>
      <c r="P64" t="s">
        <v>152</v>
      </c>
      <c r="Q64">
        <v>5.28</v>
      </c>
      <c r="R64">
        <v>4.42</v>
      </c>
      <c r="S64">
        <v>5.33</v>
      </c>
      <c r="T64">
        <v>8.73</v>
      </c>
      <c r="U64">
        <v>7.9</v>
      </c>
      <c r="V64">
        <v>8.58</v>
      </c>
      <c r="W64">
        <v>5.77</v>
      </c>
      <c r="X64">
        <v>7.66</v>
      </c>
      <c r="Y64">
        <v>9.84</v>
      </c>
      <c r="Z64">
        <v>8.51</v>
      </c>
      <c r="AA64">
        <v>2.02</v>
      </c>
      <c r="AB64">
        <v>2.3199999999999998</v>
      </c>
      <c r="AC64">
        <v>3.38</v>
      </c>
      <c r="AD64">
        <v>3.51</v>
      </c>
      <c r="AE64">
        <v>3.41</v>
      </c>
      <c r="AF64">
        <v>3.25</v>
      </c>
      <c r="AG64">
        <v>2.91</v>
      </c>
      <c r="AH64">
        <v>2.31</v>
      </c>
      <c r="AI64">
        <v>3.14</v>
      </c>
      <c r="AJ64">
        <v>3.73</v>
      </c>
      <c r="AL64" t="s">
        <v>123</v>
      </c>
      <c r="AM64">
        <v>100</v>
      </c>
      <c r="AN64">
        <v>76</v>
      </c>
      <c r="AO64">
        <v>90</v>
      </c>
      <c r="AP64">
        <v>92</v>
      </c>
      <c r="AQ64">
        <v>100</v>
      </c>
      <c r="AR64">
        <f t="shared" si="13"/>
        <v>91.6</v>
      </c>
      <c r="AS64" s="20">
        <f t="shared" si="12"/>
        <v>232.66399999999999</v>
      </c>
    </row>
    <row r="65" spans="1:45" x14ac:dyDescent="0.25">
      <c r="A65" t="s">
        <v>124</v>
      </c>
      <c r="B65" s="20">
        <f>(8+6+1)/3</f>
        <v>5</v>
      </c>
      <c r="C65" s="20">
        <f t="shared" si="9"/>
        <v>2.8571428571428572</v>
      </c>
      <c r="D65" s="34">
        <f t="shared" si="10"/>
        <v>124457.14285714286</v>
      </c>
      <c r="E65">
        <v>43</v>
      </c>
      <c r="F65">
        <f t="shared" si="0"/>
        <v>156090</v>
      </c>
      <c r="G65" s="35">
        <f t="shared" si="3"/>
        <v>125.41666666666667</v>
      </c>
      <c r="H65">
        <v>3.72</v>
      </c>
      <c r="I65">
        <v>0.68</v>
      </c>
      <c r="J65">
        <f t="shared" si="4"/>
        <v>3.04</v>
      </c>
      <c r="K65" s="1">
        <v>33.020000000000003</v>
      </c>
      <c r="L65">
        <f t="shared" si="5"/>
        <v>3643.8230400000011</v>
      </c>
      <c r="M65" s="38">
        <f t="shared" si="8"/>
        <v>4.0166273519989337</v>
      </c>
      <c r="O65" s="23" t="s">
        <v>124</v>
      </c>
      <c r="P65" t="s">
        <v>153</v>
      </c>
      <c r="Q65">
        <v>9.6300000000000008</v>
      </c>
      <c r="R65">
        <v>11.5</v>
      </c>
      <c r="S65">
        <v>9.17</v>
      </c>
      <c r="T65">
        <v>11.32</v>
      </c>
      <c r="U65">
        <v>10.63</v>
      </c>
      <c r="V65">
        <v>7.73</v>
      </c>
      <c r="W65">
        <v>8.2200000000000006</v>
      </c>
      <c r="X65">
        <v>9.02</v>
      </c>
      <c r="Y65">
        <v>9.9499999999999993</v>
      </c>
      <c r="Z65">
        <v>9.7200000000000006</v>
      </c>
      <c r="AA65">
        <v>2.44</v>
      </c>
      <c r="AB65">
        <v>2</v>
      </c>
      <c r="AC65">
        <v>1.99</v>
      </c>
      <c r="AD65">
        <v>3.28</v>
      </c>
      <c r="AE65">
        <v>3.3</v>
      </c>
      <c r="AF65">
        <v>2.33</v>
      </c>
      <c r="AG65">
        <v>2.69</v>
      </c>
      <c r="AH65">
        <v>2.79</v>
      </c>
      <c r="AI65">
        <v>3.34</v>
      </c>
      <c r="AJ65">
        <v>3.03</v>
      </c>
      <c r="AL65" t="s">
        <v>124</v>
      </c>
      <c r="AM65">
        <v>95</v>
      </c>
      <c r="AN65">
        <v>90</v>
      </c>
      <c r="AO65">
        <v>76</v>
      </c>
      <c r="AP65">
        <v>80</v>
      </c>
      <c r="AQ65">
        <v>85</v>
      </c>
      <c r="AR65">
        <f t="shared" si="13"/>
        <v>85.2</v>
      </c>
      <c r="AS65" s="20">
        <f t="shared" si="12"/>
        <v>216.40800000000002</v>
      </c>
    </row>
    <row r="66" spans="1:45" x14ac:dyDescent="0.25">
      <c r="A66" t="s">
        <v>125</v>
      </c>
      <c r="B66" s="20">
        <f>(1+57+35)/3</f>
        <v>31</v>
      </c>
      <c r="C66" s="20">
        <f t="shared" si="9"/>
        <v>17.714285714285715</v>
      </c>
      <c r="D66" s="34">
        <f t="shared" si="10"/>
        <v>771634.2857142858</v>
      </c>
      <c r="E66">
        <v>114</v>
      </c>
      <c r="F66">
        <f t="shared" si="0"/>
        <v>413820.00000000006</v>
      </c>
      <c r="G66" s="35">
        <f t="shared" si="3"/>
        <v>53.629032258064512</v>
      </c>
      <c r="H66">
        <v>4.18</v>
      </c>
      <c r="I66">
        <v>0.68</v>
      </c>
      <c r="J66">
        <f t="shared" si="4"/>
        <v>3.4999999999999996</v>
      </c>
      <c r="K66" s="1">
        <v>31.73</v>
      </c>
      <c r="L66">
        <f t="shared" si="5"/>
        <v>4031.2964999999999</v>
      </c>
      <c r="M66" s="38">
        <f t="shared" si="8"/>
        <v>4.4437437296399454</v>
      </c>
      <c r="O66" s="23" t="s">
        <v>125</v>
      </c>
      <c r="P66" t="s">
        <v>252</v>
      </c>
      <c r="Q66">
        <v>7.66</v>
      </c>
      <c r="R66">
        <v>7.4</v>
      </c>
      <c r="S66">
        <v>8.44</v>
      </c>
      <c r="T66">
        <v>8.1999999999999993</v>
      </c>
      <c r="U66">
        <v>7.38</v>
      </c>
      <c r="V66">
        <v>7.16</v>
      </c>
      <c r="W66">
        <v>7.5</v>
      </c>
      <c r="X66">
        <v>6.93</v>
      </c>
      <c r="Y66">
        <v>6.83</v>
      </c>
      <c r="Z66">
        <v>6.48</v>
      </c>
      <c r="AA66">
        <v>3.96</v>
      </c>
      <c r="AB66">
        <v>4.54</v>
      </c>
      <c r="AC66">
        <v>3.97</v>
      </c>
      <c r="AD66">
        <v>3.36</v>
      </c>
      <c r="AE66">
        <v>3.37</v>
      </c>
      <c r="AF66">
        <v>3.24</v>
      </c>
      <c r="AG66">
        <v>2.71</v>
      </c>
      <c r="AH66">
        <v>3.61</v>
      </c>
      <c r="AI66">
        <v>4.4000000000000004</v>
      </c>
      <c r="AJ66">
        <v>3.87</v>
      </c>
      <c r="AL66" t="s">
        <v>125</v>
      </c>
      <c r="AM66">
        <v>65</v>
      </c>
      <c r="AN66">
        <v>64</v>
      </c>
      <c r="AO66">
        <v>60</v>
      </c>
      <c r="AP66">
        <v>68</v>
      </c>
      <c r="AQ66">
        <v>68</v>
      </c>
      <c r="AR66">
        <f t="shared" si="13"/>
        <v>65</v>
      </c>
      <c r="AS66" s="20">
        <f t="shared" si="12"/>
        <v>165.1</v>
      </c>
    </row>
    <row r="67" spans="1:45" x14ac:dyDescent="0.25">
      <c r="A67" t="s">
        <v>126</v>
      </c>
      <c r="B67" s="20">
        <f>(19+2+8)/3</f>
        <v>9.6666666666666661</v>
      </c>
      <c r="C67" s="20">
        <f t="shared" si="9"/>
        <v>5.5238095238095237</v>
      </c>
      <c r="D67" s="34">
        <f t="shared" si="10"/>
        <v>240617.14285714284</v>
      </c>
      <c r="E67">
        <v>35</v>
      </c>
      <c r="F67">
        <f t="shared" si="0"/>
        <v>127050.00000000001</v>
      </c>
      <c r="G67" s="35">
        <f t="shared" si="3"/>
        <v>52.801724137931039</v>
      </c>
      <c r="H67">
        <v>3.86</v>
      </c>
      <c r="I67">
        <v>0.68</v>
      </c>
      <c r="J67">
        <f t="shared" si="4"/>
        <v>3.1799999999999997</v>
      </c>
      <c r="K67" s="1">
        <v>31.28</v>
      </c>
      <c r="L67">
        <f t="shared" si="5"/>
        <v>3610.7755200000006</v>
      </c>
      <c r="M67" s="38">
        <f t="shared" si="8"/>
        <v>3.980198696904933</v>
      </c>
      <c r="O67" s="23" t="s">
        <v>126</v>
      </c>
      <c r="P67" t="s">
        <v>151</v>
      </c>
      <c r="Q67">
        <v>14.18</v>
      </c>
      <c r="R67">
        <v>10.45</v>
      </c>
      <c r="S67">
        <v>12.43</v>
      </c>
      <c r="T67">
        <v>10.8</v>
      </c>
      <c r="U67">
        <v>15.04</v>
      </c>
      <c r="V67">
        <v>13.28</v>
      </c>
      <c r="W67">
        <v>13.77</v>
      </c>
      <c r="X67">
        <v>12.05</v>
      </c>
      <c r="Y67">
        <v>10.210000000000001</v>
      </c>
      <c r="Z67">
        <v>13.79</v>
      </c>
      <c r="AA67">
        <v>3.96</v>
      </c>
      <c r="AB67">
        <v>2.42</v>
      </c>
      <c r="AC67">
        <v>3.02</v>
      </c>
      <c r="AD67">
        <v>4.1399999999999997</v>
      </c>
      <c r="AE67">
        <v>3.27</v>
      </c>
      <c r="AF67">
        <v>3.56</v>
      </c>
      <c r="AG67">
        <v>4.0199999999999996</v>
      </c>
      <c r="AH67">
        <v>2.95</v>
      </c>
      <c r="AI67">
        <v>2.78</v>
      </c>
      <c r="AJ67">
        <v>2.72</v>
      </c>
      <c r="AL67" t="s">
        <v>126</v>
      </c>
      <c r="AM67">
        <v>115</v>
      </c>
      <c r="AN67">
        <v>100</v>
      </c>
      <c r="AO67">
        <v>90</v>
      </c>
      <c r="AP67">
        <v>80</v>
      </c>
      <c r="AQ67">
        <v>116</v>
      </c>
      <c r="AR67">
        <f t="shared" si="13"/>
        <v>100.2</v>
      </c>
      <c r="AS67" s="20">
        <f t="shared" si="12"/>
        <v>254.50800000000001</v>
      </c>
    </row>
    <row r="68" spans="1:45" x14ac:dyDescent="0.25">
      <c r="A68" t="s">
        <v>127</v>
      </c>
      <c r="B68" s="20">
        <f>(16+52+45)/3</f>
        <v>37.666666666666664</v>
      </c>
      <c r="C68" s="20">
        <f t="shared" si="9"/>
        <v>21.523809523809522</v>
      </c>
      <c r="D68" s="34">
        <f t="shared" si="10"/>
        <v>937577.14285714272</v>
      </c>
      <c r="E68">
        <v>83</v>
      </c>
      <c r="F68">
        <f t="shared" si="0"/>
        <v>301290</v>
      </c>
      <c r="G68" s="35">
        <f t="shared" si="3"/>
        <v>32.134955752212399</v>
      </c>
      <c r="H68">
        <v>3.54</v>
      </c>
      <c r="I68">
        <v>0.68</v>
      </c>
      <c r="J68">
        <f t="shared" si="4"/>
        <v>2.86</v>
      </c>
      <c r="K68" s="1">
        <v>26.76</v>
      </c>
      <c r="L68">
        <f t="shared" si="5"/>
        <v>2778.1696800000004</v>
      </c>
      <c r="M68" s="38">
        <f t="shared" si="8"/>
        <v>3.0624078619312214</v>
      </c>
      <c r="O68" s="23" t="s">
        <v>127</v>
      </c>
      <c r="P68" t="s">
        <v>171</v>
      </c>
      <c r="Q68">
        <v>7.12</v>
      </c>
      <c r="R68">
        <v>9.93</v>
      </c>
      <c r="S68">
        <v>7.06</v>
      </c>
      <c r="T68">
        <v>9.92</v>
      </c>
      <c r="U68">
        <v>6.32</v>
      </c>
      <c r="V68">
        <v>6.95</v>
      </c>
      <c r="W68">
        <v>8.06</v>
      </c>
      <c r="X68">
        <v>8.94</v>
      </c>
      <c r="Y68">
        <v>7.49</v>
      </c>
      <c r="Z68">
        <v>8.9499999999999993</v>
      </c>
      <c r="AA68">
        <v>4.41</v>
      </c>
      <c r="AB68">
        <v>4.9000000000000004</v>
      </c>
      <c r="AC68">
        <v>2.6</v>
      </c>
      <c r="AD68">
        <v>3.31</v>
      </c>
      <c r="AE68">
        <v>4.75</v>
      </c>
      <c r="AF68">
        <v>4.7</v>
      </c>
      <c r="AG68">
        <v>4.4400000000000004</v>
      </c>
      <c r="AH68">
        <v>5.36</v>
      </c>
      <c r="AI68">
        <v>3.91</v>
      </c>
      <c r="AJ68">
        <v>4.57</v>
      </c>
      <c r="AL68" t="s">
        <v>245</v>
      </c>
      <c r="AM68">
        <v>85</v>
      </c>
      <c r="AN68">
        <v>75</v>
      </c>
      <c r="AO68">
        <v>76</v>
      </c>
      <c r="AP68">
        <v>85</v>
      </c>
      <c r="AQ68">
        <v>82</v>
      </c>
      <c r="AR68">
        <f t="shared" si="13"/>
        <v>80.599999999999994</v>
      </c>
      <c r="AS68" s="20">
        <f t="shared" si="12"/>
        <v>204.72399999999999</v>
      </c>
    </row>
    <row r="69" spans="1:45" x14ac:dyDescent="0.25">
      <c r="A69" t="s">
        <v>128</v>
      </c>
      <c r="B69" s="20">
        <f>(33+27+40)/3</f>
        <v>33.333333333333336</v>
      </c>
      <c r="C69" s="20">
        <f t="shared" ref="C69:C99" si="14">(B69*4)/7</f>
        <v>19.047619047619047</v>
      </c>
      <c r="D69" s="34">
        <f t="shared" ref="D69:D99" si="15">(C69*43560)</f>
        <v>829714.28571428568</v>
      </c>
      <c r="E69">
        <v>110</v>
      </c>
      <c r="F69">
        <f t="shared" ref="F69:F99" si="16">+(E69/(12/43560))</f>
        <v>399300.00000000006</v>
      </c>
      <c r="G69" s="35">
        <f t="shared" ref="G69:G99" si="17">+(F69/D69)*100</f>
        <v>48.125000000000007</v>
      </c>
      <c r="H69">
        <v>5.76</v>
      </c>
      <c r="I69">
        <v>0.68</v>
      </c>
      <c r="J69">
        <f t="shared" ref="J69:J99" si="18">H69-I69</f>
        <v>5.08</v>
      </c>
      <c r="K69" s="1">
        <v>35.21</v>
      </c>
      <c r="L69">
        <f t="shared" ref="L69:L99" si="19">+(J69*(K69/100))/(12/43560)</f>
        <v>6492.8648400000011</v>
      </c>
      <c r="M69" s="38">
        <f t="shared" ref="M69:M99" si="20">+(L69*0.0011023113109244)</f>
        <v>7.1571583534353467</v>
      </c>
      <c r="O69" s="23" t="s">
        <v>128</v>
      </c>
      <c r="P69" t="s">
        <v>167</v>
      </c>
      <c r="Q69">
        <v>9.0399999999999991</v>
      </c>
      <c r="R69">
        <v>9.9700000000000006</v>
      </c>
      <c r="S69">
        <v>7</v>
      </c>
      <c r="T69">
        <v>8.1199999999999992</v>
      </c>
      <c r="U69">
        <v>7.59</v>
      </c>
      <c r="V69">
        <v>12.14</v>
      </c>
      <c r="W69">
        <v>9.98</v>
      </c>
      <c r="X69">
        <v>7.17</v>
      </c>
      <c r="Y69">
        <v>10.42</v>
      </c>
      <c r="Z69">
        <v>8.4</v>
      </c>
      <c r="AA69">
        <v>3.27</v>
      </c>
      <c r="AB69">
        <v>3.96</v>
      </c>
      <c r="AC69">
        <v>1.99</v>
      </c>
      <c r="AD69">
        <v>4.1399999999999997</v>
      </c>
      <c r="AE69">
        <v>2.81</v>
      </c>
      <c r="AF69">
        <v>2.83</v>
      </c>
      <c r="AG69">
        <v>3.32</v>
      </c>
      <c r="AH69">
        <v>2.87</v>
      </c>
      <c r="AI69">
        <v>3.3</v>
      </c>
      <c r="AJ69">
        <v>4.3</v>
      </c>
      <c r="AL69" t="s">
        <v>128</v>
      </c>
      <c r="AM69">
        <v>67</v>
      </c>
      <c r="AN69">
        <v>71</v>
      </c>
      <c r="AO69">
        <v>52</v>
      </c>
      <c r="AP69">
        <v>66</v>
      </c>
      <c r="AQ69">
        <v>62</v>
      </c>
      <c r="AR69">
        <f t="shared" si="13"/>
        <v>63.6</v>
      </c>
      <c r="AS69" s="20">
        <f t="shared" si="12"/>
        <v>161.54400000000001</v>
      </c>
    </row>
    <row r="70" spans="1:45" x14ac:dyDescent="0.25">
      <c r="A70" t="s">
        <v>129</v>
      </c>
      <c r="B70" s="20">
        <f>(30+25+2)/3</f>
        <v>19</v>
      </c>
      <c r="C70" s="20">
        <f t="shared" si="14"/>
        <v>10.857142857142858</v>
      </c>
      <c r="D70" s="34">
        <f t="shared" si="15"/>
        <v>472937.1428571429</v>
      </c>
      <c r="E70">
        <v>58</v>
      </c>
      <c r="F70">
        <f t="shared" si="16"/>
        <v>210540.00000000003</v>
      </c>
      <c r="G70" s="35">
        <f t="shared" si="17"/>
        <v>44.517543859649123</v>
      </c>
      <c r="H70">
        <v>2.96</v>
      </c>
      <c r="I70">
        <v>0.68</v>
      </c>
      <c r="J70">
        <f t="shared" si="18"/>
        <v>2.2799999999999998</v>
      </c>
      <c r="K70" s="1">
        <v>29.38</v>
      </c>
      <c r="L70">
        <f t="shared" si="19"/>
        <v>2431.6063199999999</v>
      </c>
      <c r="M70" s="38">
        <f t="shared" si="20"/>
        <v>2.680387150251256</v>
      </c>
      <c r="O70" s="23" t="s">
        <v>129</v>
      </c>
      <c r="P70" t="s">
        <v>173</v>
      </c>
      <c r="Q70">
        <v>12.16</v>
      </c>
      <c r="R70">
        <v>8.0299999999999994</v>
      </c>
      <c r="S70">
        <v>9.5</v>
      </c>
      <c r="T70">
        <v>7.5</v>
      </c>
      <c r="U70">
        <v>11.37</v>
      </c>
      <c r="V70">
        <v>10.25</v>
      </c>
      <c r="W70">
        <v>11.01</v>
      </c>
      <c r="X70">
        <v>7.5</v>
      </c>
      <c r="Y70">
        <v>8.9700000000000006</v>
      </c>
      <c r="Z70">
        <v>7.83</v>
      </c>
      <c r="AA70">
        <v>2.4</v>
      </c>
      <c r="AB70">
        <v>3.9</v>
      </c>
      <c r="AC70">
        <v>2.95</v>
      </c>
      <c r="AD70">
        <v>3</v>
      </c>
      <c r="AE70">
        <v>3.83</v>
      </c>
      <c r="AF70">
        <v>4.55</v>
      </c>
      <c r="AG70">
        <v>5.01</v>
      </c>
      <c r="AH70">
        <v>2.85</v>
      </c>
      <c r="AI70">
        <v>3.36</v>
      </c>
      <c r="AJ70">
        <v>3.83</v>
      </c>
      <c r="AL70" t="s">
        <v>129</v>
      </c>
      <c r="AM70">
        <v>70</v>
      </c>
      <c r="AN70">
        <v>50</v>
      </c>
      <c r="AO70">
        <v>60</v>
      </c>
      <c r="AP70">
        <v>69</v>
      </c>
      <c r="AQ70">
        <v>68</v>
      </c>
      <c r="AR70">
        <f t="shared" si="13"/>
        <v>63.4</v>
      </c>
      <c r="AS70" s="20">
        <f t="shared" si="12"/>
        <v>161.036</v>
      </c>
    </row>
    <row r="71" spans="1:45" x14ac:dyDescent="0.25">
      <c r="A71" t="s">
        <v>130</v>
      </c>
      <c r="B71" s="20">
        <f>(15+3+20)/3</f>
        <v>12.666666666666666</v>
      </c>
      <c r="C71" s="20">
        <f t="shared" si="14"/>
        <v>7.2380952380952381</v>
      </c>
      <c r="D71" s="34">
        <f t="shared" si="15"/>
        <v>315291.42857142858</v>
      </c>
      <c r="E71">
        <v>36</v>
      </c>
      <c r="F71">
        <f t="shared" si="16"/>
        <v>130680.00000000001</v>
      </c>
      <c r="G71" s="35">
        <f t="shared" si="17"/>
        <v>41.44736842105263</v>
      </c>
      <c r="H71">
        <v>1.36</v>
      </c>
      <c r="I71">
        <v>0.68</v>
      </c>
      <c r="J71">
        <f t="shared" si="18"/>
        <v>0.68</v>
      </c>
      <c r="K71" s="1">
        <v>32.18</v>
      </c>
      <c r="L71">
        <f t="shared" si="19"/>
        <v>794.33112000000006</v>
      </c>
      <c r="M71" s="38">
        <f t="shared" si="20"/>
        <v>0.87560017819524705</v>
      </c>
      <c r="O71" s="23" t="s">
        <v>130</v>
      </c>
      <c r="P71" t="s">
        <v>69</v>
      </c>
      <c r="Q71">
        <v>5.3</v>
      </c>
      <c r="R71">
        <v>8.4</v>
      </c>
      <c r="S71">
        <v>8.6199999999999992</v>
      </c>
      <c r="T71">
        <v>6.9</v>
      </c>
      <c r="U71">
        <v>5.84</v>
      </c>
      <c r="V71">
        <v>8.3800000000000008</v>
      </c>
      <c r="W71">
        <v>7.34</v>
      </c>
      <c r="X71">
        <v>4.8499999999999996</v>
      </c>
      <c r="Y71">
        <v>5.78</v>
      </c>
      <c r="Z71">
        <v>4.49</v>
      </c>
      <c r="AA71">
        <v>4.47</v>
      </c>
      <c r="AB71">
        <v>2.8</v>
      </c>
      <c r="AC71">
        <v>4.37</v>
      </c>
      <c r="AD71">
        <v>5.19</v>
      </c>
      <c r="AE71">
        <v>5.16</v>
      </c>
      <c r="AF71">
        <v>4.1399999999999997</v>
      </c>
      <c r="AG71">
        <v>4.29</v>
      </c>
      <c r="AH71">
        <v>2.81</v>
      </c>
      <c r="AI71">
        <v>2.4500000000000002</v>
      </c>
      <c r="AJ71">
        <v>2.2400000000000002</v>
      </c>
      <c r="AL71" t="s">
        <v>130</v>
      </c>
      <c r="AM71">
        <v>50</v>
      </c>
      <c r="AN71">
        <v>57</v>
      </c>
      <c r="AO71">
        <v>70</v>
      </c>
      <c r="AP71">
        <v>71</v>
      </c>
      <c r="AQ71">
        <v>73</v>
      </c>
      <c r="AR71">
        <f t="shared" si="13"/>
        <v>64.2</v>
      </c>
      <c r="AS71" s="20">
        <f t="shared" si="12"/>
        <v>163.06800000000001</v>
      </c>
    </row>
    <row r="72" spans="1:45" x14ac:dyDescent="0.25">
      <c r="A72" t="s">
        <v>131</v>
      </c>
      <c r="B72" s="20">
        <f>(22+10+13)/3</f>
        <v>15</v>
      </c>
      <c r="C72" s="20">
        <f t="shared" si="14"/>
        <v>8.5714285714285712</v>
      </c>
      <c r="D72" s="34">
        <f t="shared" si="15"/>
        <v>373371.42857142858</v>
      </c>
      <c r="E72">
        <v>59</v>
      </c>
      <c r="F72">
        <f t="shared" si="16"/>
        <v>214170.00000000003</v>
      </c>
      <c r="G72" s="35">
        <f t="shared" si="17"/>
        <v>57.361111111111121</v>
      </c>
      <c r="H72">
        <v>2.08</v>
      </c>
      <c r="I72">
        <v>0.68</v>
      </c>
      <c r="J72">
        <f t="shared" si="18"/>
        <v>1.4</v>
      </c>
      <c r="K72" s="1">
        <v>35.020000000000003</v>
      </c>
      <c r="L72">
        <f t="shared" si="19"/>
        <v>1779.7164000000002</v>
      </c>
      <c r="M72" s="38">
        <f t="shared" si="20"/>
        <v>1.9618015179576542</v>
      </c>
      <c r="O72" s="23" t="s">
        <v>131</v>
      </c>
      <c r="P72" t="s">
        <v>65</v>
      </c>
      <c r="Q72">
        <v>6.94</v>
      </c>
      <c r="R72">
        <v>7.86</v>
      </c>
      <c r="S72">
        <v>6.75</v>
      </c>
      <c r="T72">
        <v>6.99</v>
      </c>
      <c r="U72">
        <v>7.31</v>
      </c>
      <c r="V72">
        <v>6.26</v>
      </c>
      <c r="W72">
        <v>7.1</v>
      </c>
      <c r="X72">
        <v>7.79</v>
      </c>
      <c r="Y72">
        <v>7.31</v>
      </c>
      <c r="Z72">
        <v>5.86</v>
      </c>
      <c r="AA72">
        <v>2.36</v>
      </c>
      <c r="AB72">
        <v>2.79</v>
      </c>
      <c r="AC72">
        <v>4</v>
      </c>
      <c r="AD72">
        <v>2.7</v>
      </c>
      <c r="AE72">
        <v>4.6900000000000004</v>
      </c>
      <c r="AF72">
        <v>3.34</v>
      </c>
      <c r="AG72">
        <v>3.52</v>
      </c>
      <c r="AH72">
        <v>2.2000000000000002</v>
      </c>
      <c r="AI72">
        <v>2.5099999999999998</v>
      </c>
      <c r="AJ72">
        <v>2.0699999999999998</v>
      </c>
      <c r="AL72" t="s">
        <v>131</v>
      </c>
      <c r="AM72">
        <v>74</v>
      </c>
      <c r="AN72">
        <v>55</v>
      </c>
      <c r="AO72">
        <v>47</v>
      </c>
      <c r="AP72">
        <v>59</v>
      </c>
      <c r="AQ72">
        <v>34</v>
      </c>
      <c r="AR72">
        <f t="shared" si="13"/>
        <v>53.8</v>
      </c>
      <c r="AS72" s="20">
        <f t="shared" ref="AS72:AS99" si="21">AR72*2.54</f>
        <v>136.65199999999999</v>
      </c>
    </row>
    <row r="73" spans="1:45" x14ac:dyDescent="0.25">
      <c r="A73" t="s">
        <v>132</v>
      </c>
      <c r="B73" s="20">
        <f>(21+0+20)/3</f>
        <v>13.666666666666666</v>
      </c>
      <c r="C73" s="20">
        <f t="shared" si="14"/>
        <v>7.8095238095238093</v>
      </c>
      <c r="D73" s="34">
        <f t="shared" si="15"/>
        <v>340182.85714285716</v>
      </c>
      <c r="E73">
        <v>68</v>
      </c>
      <c r="F73">
        <f t="shared" si="16"/>
        <v>246840.00000000003</v>
      </c>
      <c r="G73" s="35">
        <f t="shared" si="17"/>
        <v>72.560975609756113</v>
      </c>
      <c r="H73">
        <v>3.6</v>
      </c>
      <c r="I73">
        <v>0.68</v>
      </c>
      <c r="J73">
        <f t="shared" si="18"/>
        <v>2.92</v>
      </c>
      <c r="K73" s="1">
        <v>33.22</v>
      </c>
      <c r="L73">
        <f t="shared" si="19"/>
        <v>3521.1871200000005</v>
      </c>
      <c r="M73" s="38">
        <f t="shared" si="20"/>
        <v>3.8814443902573132</v>
      </c>
      <c r="O73" s="23" t="s">
        <v>132</v>
      </c>
      <c r="P73" t="s">
        <v>68</v>
      </c>
      <c r="Q73">
        <v>7.5</v>
      </c>
      <c r="R73">
        <v>7.6</v>
      </c>
      <c r="S73">
        <v>10.47</v>
      </c>
      <c r="T73">
        <v>7.71</v>
      </c>
      <c r="U73">
        <v>7.3</v>
      </c>
      <c r="V73">
        <v>6.01</v>
      </c>
      <c r="W73">
        <v>9.3699999999999992</v>
      </c>
      <c r="X73">
        <v>8.1</v>
      </c>
      <c r="Y73">
        <v>7.76</v>
      </c>
      <c r="Z73">
        <v>10.06</v>
      </c>
      <c r="AA73">
        <v>2.6</v>
      </c>
      <c r="AB73">
        <v>2.92</v>
      </c>
      <c r="AC73">
        <v>2.44</v>
      </c>
      <c r="AD73">
        <v>2.62</v>
      </c>
      <c r="AE73">
        <v>2.96</v>
      </c>
      <c r="AF73">
        <v>2.5499999999999998</v>
      </c>
      <c r="AG73">
        <v>3.37</v>
      </c>
      <c r="AH73">
        <v>3.13</v>
      </c>
      <c r="AI73">
        <v>2.74</v>
      </c>
      <c r="AJ73">
        <v>2.65</v>
      </c>
      <c r="AL73" t="s">
        <v>132</v>
      </c>
      <c r="AM73">
        <v>75</v>
      </c>
      <c r="AN73">
        <v>65</v>
      </c>
      <c r="AO73">
        <v>60</v>
      </c>
      <c r="AP73">
        <v>62</v>
      </c>
      <c r="AQ73">
        <v>77</v>
      </c>
      <c r="AR73">
        <f t="shared" si="13"/>
        <v>67.8</v>
      </c>
      <c r="AS73" s="20">
        <f t="shared" si="21"/>
        <v>172.21199999999999</v>
      </c>
    </row>
    <row r="74" spans="1:45" x14ac:dyDescent="0.25">
      <c r="A74" t="s">
        <v>133</v>
      </c>
      <c r="B74" s="20">
        <f>(50+53+32)/3</f>
        <v>45</v>
      </c>
      <c r="C74" s="20">
        <f t="shared" si="14"/>
        <v>25.714285714285715</v>
      </c>
      <c r="D74" s="34">
        <f t="shared" si="15"/>
        <v>1120114.2857142857</v>
      </c>
      <c r="E74">
        <v>84</v>
      </c>
      <c r="F74">
        <f t="shared" si="16"/>
        <v>304920</v>
      </c>
      <c r="G74" s="35">
        <f t="shared" si="17"/>
        <v>27.222222222222225</v>
      </c>
      <c r="H74">
        <v>2.58</v>
      </c>
      <c r="I74">
        <v>0.68</v>
      </c>
      <c r="J74">
        <f t="shared" si="18"/>
        <v>1.9</v>
      </c>
      <c r="K74" s="1">
        <v>32.979999999999997</v>
      </c>
      <c r="L74">
        <f t="shared" si="19"/>
        <v>2274.6306</v>
      </c>
      <c r="M74" s="38">
        <f t="shared" si="20"/>
        <v>2.5073510385547548</v>
      </c>
      <c r="O74" s="23" t="s">
        <v>133</v>
      </c>
      <c r="P74" t="s">
        <v>70</v>
      </c>
      <c r="Q74">
        <v>7.12</v>
      </c>
      <c r="R74">
        <v>5.23</v>
      </c>
      <c r="S74">
        <v>6.15</v>
      </c>
      <c r="T74">
        <v>7.63</v>
      </c>
      <c r="U74">
        <v>7.76</v>
      </c>
      <c r="V74">
        <v>7.46</v>
      </c>
      <c r="W74">
        <v>6.42</v>
      </c>
      <c r="X74">
        <v>10.039999999999999</v>
      </c>
      <c r="Y74">
        <v>7</v>
      </c>
      <c r="Z74">
        <v>5.85</v>
      </c>
      <c r="AA74">
        <v>3.62</v>
      </c>
      <c r="AB74">
        <v>2.75</v>
      </c>
      <c r="AC74">
        <v>3.75</v>
      </c>
      <c r="AD74">
        <v>4.22</v>
      </c>
      <c r="AE74">
        <v>2.62</v>
      </c>
      <c r="AF74">
        <v>3.63</v>
      </c>
      <c r="AG74">
        <v>3.56</v>
      </c>
      <c r="AH74">
        <v>4.33</v>
      </c>
      <c r="AI74">
        <v>3.31</v>
      </c>
      <c r="AJ74">
        <v>3.23</v>
      </c>
      <c r="AL74" t="s">
        <v>133</v>
      </c>
      <c r="AM74">
        <v>70</v>
      </c>
      <c r="AN74">
        <v>68</v>
      </c>
      <c r="AO74">
        <v>67</v>
      </c>
      <c r="AP74">
        <v>70</v>
      </c>
      <c r="AR74">
        <f>AVERAGE(AM74,AN74,AO74,AP74)</f>
        <v>68.75</v>
      </c>
      <c r="AS74" s="20">
        <f t="shared" si="21"/>
        <v>174.625</v>
      </c>
    </row>
    <row r="75" spans="1:45" x14ac:dyDescent="0.25">
      <c r="A75" t="s">
        <v>134</v>
      </c>
      <c r="B75" s="20">
        <f>(20+5+9)/3</f>
        <v>11.333333333333334</v>
      </c>
      <c r="C75" s="20">
        <f t="shared" si="14"/>
        <v>6.4761904761904763</v>
      </c>
      <c r="D75" s="34">
        <f t="shared" si="15"/>
        <v>282102.85714285716</v>
      </c>
      <c r="E75">
        <v>20</v>
      </c>
      <c r="F75">
        <f t="shared" si="16"/>
        <v>72600</v>
      </c>
      <c r="G75" s="35">
        <f t="shared" si="17"/>
        <v>25.735294117647058</v>
      </c>
      <c r="H75">
        <v>1.78</v>
      </c>
      <c r="I75">
        <v>0.68</v>
      </c>
      <c r="J75">
        <f t="shared" si="18"/>
        <v>1.1000000000000001</v>
      </c>
      <c r="K75" s="1">
        <v>29.32</v>
      </c>
      <c r="L75">
        <f t="shared" si="19"/>
        <v>1170.7476000000001</v>
      </c>
      <c r="M75" s="38">
        <f t="shared" si="20"/>
        <v>1.2905283217175954</v>
      </c>
      <c r="O75" s="23" t="s">
        <v>134</v>
      </c>
      <c r="P75" t="s">
        <v>168</v>
      </c>
      <c r="Q75">
        <v>11.13</v>
      </c>
      <c r="R75">
        <v>7.75</v>
      </c>
      <c r="S75">
        <v>6.57</v>
      </c>
      <c r="T75">
        <v>7.24</v>
      </c>
      <c r="U75">
        <v>9.43</v>
      </c>
      <c r="V75">
        <v>7.27</v>
      </c>
      <c r="W75">
        <v>8.23</v>
      </c>
      <c r="X75">
        <v>8.3800000000000008</v>
      </c>
      <c r="Y75">
        <v>7.92</v>
      </c>
      <c r="Z75">
        <v>6.97</v>
      </c>
      <c r="AA75">
        <v>3.15</v>
      </c>
      <c r="AB75">
        <v>2.84</v>
      </c>
      <c r="AC75">
        <v>2.46</v>
      </c>
      <c r="AD75">
        <v>2.89</v>
      </c>
      <c r="AE75">
        <v>1.84</v>
      </c>
      <c r="AF75">
        <v>2.71</v>
      </c>
      <c r="AG75">
        <v>3.25</v>
      </c>
      <c r="AH75">
        <v>3.26</v>
      </c>
      <c r="AI75">
        <v>3.16</v>
      </c>
      <c r="AJ75">
        <v>1.97</v>
      </c>
      <c r="AL75" t="s">
        <v>134</v>
      </c>
      <c r="AM75">
        <v>60</v>
      </c>
      <c r="AN75">
        <v>52</v>
      </c>
      <c r="AO75">
        <v>56</v>
      </c>
      <c r="AP75">
        <v>51</v>
      </c>
      <c r="AQ75">
        <v>54</v>
      </c>
      <c r="AR75">
        <f t="shared" ref="AR75:AR99" si="22">AVERAGE(AM75,AN75,AO75,AP75,AQ75)</f>
        <v>54.6</v>
      </c>
      <c r="AS75" s="20">
        <f t="shared" si="21"/>
        <v>138.684</v>
      </c>
    </row>
    <row r="76" spans="1:45" x14ac:dyDescent="0.25">
      <c r="A76" t="s">
        <v>31</v>
      </c>
      <c r="B76" s="20">
        <f>(29+22+21)/3</f>
        <v>24</v>
      </c>
      <c r="C76" s="20">
        <f t="shared" si="14"/>
        <v>13.714285714285714</v>
      </c>
      <c r="D76" s="34">
        <f t="shared" si="15"/>
        <v>597394.28571428568</v>
      </c>
      <c r="E76">
        <v>78</v>
      </c>
      <c r="F76">
        <f t="shared" si="16"/>
        <v>283140</v>
      </c>
      <c r="G76" s="35">
        <f t="shared" si="17"/>
        <v>47.395833333333336</v>
      </c>
      <c r="H76">
        <v>3.92</v>
      </c>
      <c r="I76">
        <v>0.68</v>
      </c>
      <c r="J76">
        <f t="shared" si="18"/>
        <v>3.2399999999999998</v>
      </c>
      <c r="K76" s="1">
        <v>31.39</v>
      </c>
      <c r="L76">
        <f t="shared" si="19"/>
        <v>3691.8406800000007</v>
      </c>
      <c r="M76" s="38">
        <f t="shared" si="20"/>
        <v>4.0695577396948295</v>
      </c>
      <c r="O76" s="24" t="s">
        <v>31</v>
      </c>
      <c r="P76" t="s">
        <v>155</v>
      </c>
      <c r="Q76">
        <v>9.24</v>
      </c>
      <c r="R76">
        <v>12.44</v>
      </c>
      <c r="S76">
        <v>9.23</v>
      </c>
      <c r="T76">
        <v>9.43</v>
      </c>
      <c r="U76">
        <v>11.94</v>
      </c>
      <c r="V76">
        <v>8.85</v>
      </c>
      <c r="W76">
        <v>7.87</v>
      </c>
      <c r="X76">
        <v>8.91</v>
      </c>
      <c r="Y76">
        <v>8.32</v>
      </c>
      <c r="Z76">
        <v>7.42</v>
      </c>
      <c r="AA76">
        <v>3.01</v>
      </c>
      <c r="AB76">
        <v>2.4700000000000002</v>
      </c>
      <c r="AC76">
        <v>3.37</v>
      </c>
      <c r="AD76">
        <v>4.24</v>
      </c>
      <c r="AE76">
        <v>4.18</v>
      </c>
      <c r="AF76">
        <v>3.61</v>
      </c>
      <c r="AG76">
        <v>3.41</v>
      </c>
      <c r="AH76">
        <v>3.6</v>
      </c>
      <c r="AI76">
        <v>4.37</v>
      </c>
      <c r="AJ76">
        <v>3.3</v>
      </c>
      <c r="AL76" t="s">
        <v>31</v>
      </c>
      <c r="AM76">
        <v>74</v>
      </c>
      <c r="AN76">
        <v>81</v>
      </c>
      <c r="AO76">
        <v>72</v>
      </c>
      <c r="AP76">
        <v>86</v>
      </c>
      <c r="AQ76">
        <v>70</v>
      </c>
      <c r="AR76">
        <f t="shared" si="22"/>
        <v>76.599999999999994</v>
      </c>
      <c r="AS76" s="20">
        <f t="shared" si="21"/>
        <v>194.56399999999999</v>
      </c>
    </row>
    <row r="77" spans="1:45" x14ac:dyDescent="0.25">
      <c r="A77" t="s">
        <v>32</v>
      </c>
      <c r="B77" s="20">
        <f>(8+17+25)/3</f>
        <v>16.666666666666668</v>
      </c>
      <c r="C77" s="20">
        <f t="shared" si="14"/>
        <v>9.5238095238095237</v>
      </c>
      <c r="D77" s="34">
        <f t="shared" si="15"/>
        <v>414857.14285714284</v>
      </c>
      <c r="E77">
        <v>100</v>
      </c>
      <c r="F77">
        <f t="shared" si="16"/>
        <v>363000.00000000006</v>
      </c>
      <c r="G77" s="35">
        <f t="shared" si="17"/>
        <v>87.500000000000028</v>
      </c>
      <c r="H77">
        <v>3.96</v>
      </c>
      <c r="I77">
        <v>0.68</v>
      </c>
      <c r="J77">
        <f t="shared" si="18"/>
        <v>3.28</v>
      </c>
      <c r="K77" s="1">
        <v>27.3</v>
      </c>
      <c r="L77">
        <f t="shared" si="19"/>
        <v>3250.4472000000005</v>
      </c>
      <c r="M77" s="38">
        <f t="shared" si="20"/>
        <v>3.5830047141225463</v>
      </c>
      <c r="O77" s="24" t="s">
        <v>32</v>
      </c>
      <c r="P77" t="s">
        <v>156</v>
      </c>
      <c r="Q77">
        <v>11.23</v>
      </c>
      <c r="R77">
        <v>11.57</v>
      </c>
      <c r="S77">
        <v>7.54</v>
      </c>
      <c r="T77">
        <v>9.2899999999999991</v>
      </c>
      <c r="U77">
        <v>9.32</v>
      </c>
      <c r="V77">
        <v>7.55</v>
      </c>
      <c r="W77">
        <v>8.93</v>
      </c>
      <c r="X77">
        <v>6.57</v>
      </c>
      <c r="Y77">
        <v>8.48</v>
      </c>
      <c r="Z77">
        <v>7.57</v>
      </c>
      <c r="AL77" t="s">
        <v>32</v>
      </c>
      <c r="AM77">
        <v>101</v>
      </c>
      <c r="AN77">
        <v>91</v>
      </c>
      <c r="AO77">
        <v>92</v>
      </c>
      <c r="AP77">
        <v>88</v>
      </c>
      <c r="AQ77">
        <v>93</v>
      </c>
      <c r="AR77">
        <f t="shared" si="22"/>
        <v>93</v>
      </c>
      <c r="AS77" s="20">
        <f t="shared" si="21"/>
        <v>236.22</v>
      </c>
    </row>
    <row r="78" spans="1:45" x14ac:dyDescent="0.25">
      <c r="A78" t="s">
        <v>33</v>
      </c>
      <c r="B78" s="20">
        <f>(20+15+22)/3</f>
        <v>19</v>
      </c>
      <c r="C78" s="20">
        <f t="shared" si="14"/>
        <v>10.857142857142858</v>
      </c>
      <c r="D78" s="34">
        <f t="shared" si="15"/>
        <v>472937.1428571429</v>
      </c>
      <c r="E78">
        <v>84</v>
      </c>
      <c r="F78">
        <f t="shared" si="16"/>
        <v>304920</v>
      </c>
      <c r="G78" s="35">
        <f t="shared" si="17"/>
        <v>64.473684210526301</v>
      </c>
      <c r="H78">
        <v>4.24</v>
      </c>
      <c r="I78">
        <v>0.68</v>
      </c>
      <c r="J78">
        <f t="shared" si="18"/>
        <v>3.56</v>
      </c>
      <c r="K78" s="1">
        <v>37.89</v>
      </c>
      <c r="L78">
        <f t="shared" si="19"/>
        <v>4896.4489200000007</v>
      </c>
      <c r="M78" s="38">
        <f t="shared" si="20"/>
        <v>5.3974110278795635</v>
      </c>
      <c r="O78" s="24" t="s">
        <v>33</v>
      </c>
      <c r="P78" t="s">
        <v>157</v>
      </c>
      <c r="Q78">
        <v>12.7</v>
      </c>
      <c r="R78">
        <v>12.57</v>
      </c>
      <c r="S78">
        <v>9.07</v>
      </c>
      <c r="T78">
        <v>4.92</v>
      </c>
      <c r="U78">
        <v>7.66</v>
      </c>
      <c r="V78">
        <v>9.81</v>
      </c>
      <c r="W78">
        <v>9.2899999999999991</v>
      </c>
      <c r="X78">
        <v>10.050000000000001</v>
      </c>
      <c r="Y78">
        <v>7.61</v>
      </c>
      <c r="AL78" t="s">
        <v>33</v>
      </c>
      <c r="AM78">
        <v>86</v>
      </c>
      <c r="AN78">
        <v>96</v>
      </c>
      <c r="AO78">
        <v>98</v>
      </c>
      <c r="AP78">
        <v>95</v>
      </c>
      <c r="AQ78">
        <v>80</v>
      </c>
      <c r="AR78">
        <f t="shared" si="22"/>
        <v>91</v>
      </c>
      <c r="AS78" s="20">
        <f t="shared" si="21"/>
        <v>231.14000000000001</v>
      </c>
    </row>
    <row r="79" spans="1:45" x14ac:dyDescent="0.25">
      <c r="A79" t="s">
        <v>35</v>
      </c>
      <c r="B79" s="20">
        <f>(50+16+16)/3</f>
        <v>27.333333333333332</v>
      </c>
      <c r="C79" s="20">
        <f t="shared" si="14"/>
        <v>15.619047619047619</v>
      </c>
      <c r="D79" s="34">
        <f t="shared" si="15"/>
        <v>680365.71428571432</v>
      </c>
      <c r="E79">
        <v>102</v>
      </c>
      <c r="F79">
        <f t="shared" si="16"/>
        <v>370260.00000000006</v>
      </c>
      <c r="G79" s="35">
        <f t="shared" si="17"/>
        <v>54.420731707317081</v>
      </c>
      <c r="H79">
        <v>3.44</v>
      </c>
      <c r="I79">
        <v>0.68</v>
      </c>
      <c r="J79">
        <f t="shared" si="18"/>
        <v>2.76</v>
      </c>
      <c r="K79" s="1">
        <v>33.06</v>
      </c>
      <c r="L79">
        <f t="shared" si="19"/>
        <v>3312.2152799999999</v>
      </c>
      <c r="M79" s="38">
        <f t="shared" si="20"/>
        <v>3.6510923673606288</v>
      </c>
      <c r="O79" s="24" t="s">
        <v>35</v>
      </c>
      <c r="P79" t="s">
        <v>159</v>
      </c>
      <c r="Q79">
        <v>6.98</v>
      </c>
      <c r="R79">
        <v>3.42</v>
      </c>
      <c r="S79">
        <v>6.37</v>
      </c>
      <c r="T79">
        <v>4.29</v>
      </c>
      <c r="U79">
        <v>4.1500000000000004</v>
      </c>
      <c r="V79">
        <v>6.49</v>
      </c>
      <c r="W79">
        <v>6.24</v>
      </c>
      <c r="X79">
        <v>6.15</v>
      </c>
      <c r="Y79">
        <v>5.4</v>
      </c>
      <c r="Z79">
        <v>7.78</v>
      </c>
      <c r="AL79" t="s">
        <v>35</v>
      </c>
      <c r="AM79">
        <v>75</v>
      </c>
      <c r="AN79">
        <v>65</v>
      </c>
      <c r="AO79">
        <v>62</v>
      </c>
      <c r="AP79">
        <v>78</v>
      </c>
      <c r="AQ79">
        <v>71</v>
      </c>
      <c r="AR79">
        <f t="shared" si="22"/>
        <v>70.2</v>
      </c>
      <c r="AS79" s="20">
        <f t="shared" si="21"/>
        <v>178.30800000000002</v>
      </c>
    </row>
    <row r="80" spans="1:45" x14ac:dyDescent="0.25">
      <c r="A80" t="s">
        <v>36</v>
      </c>
      <c r="B80" s="20">
        <f>(3+42+35)/3</f>
        <v>26.666666666666668</v>
      </c>
      <c r="C80" s="20">
        <f t="shared" si="14"/>
        <v>15.238095238095239</v>
      </c>
      <c r="D80" s="34">
        <f t="shared" si="15"/>
        <v>663771.42857142864</v>
      </c>
      <c r="E80">
        <v>111</v>
      </c>
      <c r="F80">
        <f t="shared" si="16"/>
        <v>402930.00000000006</v>
      </c>
      <c r="G80" s="35">
        <f t="shared" si="17"/>
        <v>60.703125</v>
      </c>
      <c r="H80">
        <v>3.02</v>
      </c>
      <c r="I80">
        <v>0.68</v>
      </c>
      <c r="J80">
        <f t="shared" si="18"/>
        <v>2.34</v>
      </c>
      <c r="K80" s="1">
        <v>33.630000000000003</v>
      </c>
      <c r="L80">
        <f t="shared" si="19"/>
        <v>2856.5994600000004</v>
      </c>
      <c r="M80" s="38">
        <f t="shared" si="20"/>
        <v>3.1488618955385337</v>
      </c>
      <c r="O80" s="24" t="s">
        <v>36</v>
      </c>
      <c r="P80" t="s">
        <v>160</v>
      </c>
      <c r="Q80">
        <v>12.34</v>
      </c>
      <c r="R80">
        <v>5.47</v>
      </c>
      <c r="S80">
        <v>4.4000000000000004</v>
      </c>
      <c r="T80">
        <v>9.41</v>
      </c>
      <c r="U80">
        <v>4.76</v>
      </c>
      <c r="V80">
        <v>8.86</v>
      </c>
      <c r="W80">
        <v>8.2899999999999991</v>
      </c>
      <c r="X80">
        <v>9.09</v>
      </c>
      <c r="Y80">
        <v>2.36</v>
      </c>
      <c r="Z80">
        <v>8.75</v>
      </c>
      <c r="AL80" t="s">
        <v>36</v>
      </c>
      <c r="AM80">
        <v>75</v>
      </c>
      <c r="AN80">
        <v>70</v>
      </c>
      <c r="AO80">
        <v>64</v>
      </c>
      <c r="AP80">
        <v>68</v>
      </c>
      <c r="AQ80">
        <v>72</v>
      </c>
      <c r="AR80">
        <f t="shared" si="22"/>
        <v>69.8</v>
      </c>
      <c r="AS80" s="20">
        <f t="shared" si="21"/>
        <v>177.292</v>
      </c>
    </row>
    <row r="81" spans="1:45" x14ac:dyDescent="0.25">
      <c r="A81" t="s">
        <v>37</v>
      </c>
      <c r="B81" s="20">
        <f>(51+15+44)/3</f>
        <v>36.666666666666664</v>
      </c>
      <c r="C81" s="20">
        <f t="shared" si="14"/>
        <v>20.952380952380953</v>
      </c>
      <c r="D81" s="34">
        <f t="shared" si="15"/>
        <v>912685.71428571432</v>
      </c>
      <c r="E81">
        <v>129</v>
      </c>
      <c r="F81">
        <f t="shared" si="16"/>
        <v>468270.00000000006</v>
      </c>
      <c r="G81" s="35">
        <f t="shared" si="17"/>
        <v>51.30681818181818</v>
      </c>
      <c r="H81">
        <v>3.28</v>
      </c>
      <c r="I81">
        <v>0.68</v>
      </c>
      <c r="J81">
        <f t="shared" si="18"/>
        <v>2.5999999999999996</v>
      </c>
      <c r="K81" s="1">
        <v>32.44</v>
      </c>
      <c r="L81">
        <f t="shared" si="19"/>
        <v>3061.6871999999994</v>
      </c>
      <c r="M81" s="38">
        <f t="shared" si="20"/>
        <v>3.3749324310724553</v>
      </c>
      <c r="O81" s="24" t="s">
        <v>37</v>
      </c>
      <c r="P81" t="s">
        <v>161</v>
      </c>
      <c r="Q81">
        <v>10.4</v>
      </c>
      <c r="R81">
        <v>6.63</v>
      </c>
      <c r="S81">
        <v>5.87</v>
      </c>
      <c r="T81">
        <v>6.9</v>
      </c>
      <c r="U81">
        <v>2.39</v>
      </c>
      <c r="V81">
        <v>5.91</v>
      </c>
      <c r="W81">
        <v>2.4500000000000002</v>
      </c>
      <c r="X81">
        <v>5.16</v>
      </c>
      <c r="Y81">
        <v>6.71</v>
      </c>
      <c r="Z81">
        <v>7</v>
      </c>
      <c r="AL81" t="s">
        <v>37</v>
      </c>
      <c r="AM81">
        <v>67</v>
      </c>
      <c r="AN81">
        <v>68</v>
      </c>
      <c r="AO81">
        <v>72</v>
      </c>
      <c r="AP81">
        <v>66</v>
      </c>
      <c r="AQ81">
        <v>71</v>
      </c>
      <c r="AR81">
        <f t="shared" si="22"/>
        <v>68.8</v>
      </c>
      <c r="AS81" s="20">
        <f t="shared" si="21"/>
        <v>174.75199999999998</v>
      </c>
    </row>
    <row r="82" spans="1:45" x14ac:dyDescent="0.25">
      <c r="A82" t="s">
        <v>39</v>
      </c>
      <c r="B82" s="20">
        <f>(13+1+15)/3</f>
        <v>9.6666666666666661</v>
      </c>
      <c r="C82" s="20">
        <f t="shared" si="14"/>
        <v>5.5238095238095237</v>
      </c>
      <c r="D82" s="34">
        <f t="shared" si="15"/>
        <v>240617.14285714284</v>
      </c>
      <c r="E82">
        <v>123</v>
      </c>
      <c r="F82">
        <f t="shared" si="16"/>
        <v>446490.00000000006</v>
      </c>
      <c r="G82" s="35">
        <f t="shared" si="17"/>
        <v>185.56034482758625</v>
      </c>
      <c r="H82">
        <v>4.0599999999999996</v>
      </c>
      <c r="I82">
        <v>0.68</v>
      </c>
      <c r="J82">
        <f t="shared" si="18"/>
        <v>3.3799999999999994</v>
      </c>
      <c r="K82" s="1">
        <v>31.65</v>
      </c>
      <c r="L82">
        <f t="shared" si="19"/>
        <v>3883.2651000000001</v>
      </c>
      <c r="M82" s="38">
        <f t="shared" si="20"/>
        <v>4.2805670430479719</v>
      </c>
      <c r="O82" s="26" t="s">
        <v>39</v>
      </c>
      <c r="P82" t="s">
        <v>162</v>
      </c>
      <c r="Q82">
        <v>6.65</v>
      </c>
      <c r="R82">
        <v>7.29</v>
      </c>
      <c r="S82">
        <v>10.46</v>
      </c>
      <c r="T82">
        <v>9.9499999999999993</v>
      </c>
      <c r="U82">
        <v>6.43</v>
      </c>
      <c r="V82">
        <v>3.53</v>
      </c>
      <c r="W82">
        <v>5.74</v>
      </c>
      <c r="X82">
        <v>7.75</v>
      </c>
      <c r="Y82">
        <v>3.53</v>
      </c>
      <c r="Z82">
        <v>6.02</v>
      </c>
      <c r="AL82" t="s">
        <v>39</v>
      </c>
      <c r="AM82">
        <v>72</v>
      </c>
      <c r="AN82">
        <v>76</v>
      </c>
      <c r="AO82">
        <v>68</v>
      </c>
      <c r="AP82">
        <v>63</v>
      </c>
      <c r="AQ82">
        <v>64</v>
      </c>
      <c r="AR82">
        <f t="shared" si="22"/>
        <v>68.599999999999994</v>
      </c>
      <c r="AS82" s="20">
        <f t="shared" si="21"/>
        <v>174.244</v>
      </c>
    </row>
    <row r="83" spans="1:45" x14ac:dyDescent="0.25">
      <c r="A83" t="s">
        <v>40</v>
      </c>
      <c r="B83" s="20">
        <f>(32+0+32)/3</f>
        <v>21.333333333333332</v>
      </c>
      <c r="C83" s="20">
        <f t="shared" si="14"/>
        <v>12.19047619047619</v>
      </c>
      <c r="D83" s="34">
        <f t="shared" si="15"/>
        <v>531017.14285714284</v>
      </c>
      <c r="E83">
        <v>112</v>
      </c>
      <c r="F83">
        <f t="shared" si="16"/>
        <v>406560.00000000006</v>
      </c>
      <c r="G83" s="35">
        <f t="shared" si="17"/>
        <v>76.562500000000014</v>
      </c>
      <c r="H83">
        <v>3.3</v>
      </c>
      <c r="I83">
        <v>0.68</v>
      </c>
      <c r="J83">
        <f t="shared" si="18"/>
        <v>2.6199999999999997</v>
      </c>
      <c r="K83" s="1">
        <v>35.47</v>
      </c>
      <c r="L83">
        <f t="shared" si="19"/>
        <v>3373.4098200000003</v>
      </c>
      <c r="M83" s="38">
        <f t="shared" si="20"/>
        <v>3.718547800969445</v>
      </c>
      <c r="O83" s="26" t="s">
        <v>40</v>
      </c>
      <c r="P83" t="s">
        <v>158</v>
      </c>
      <c r="Q83">
        <v>5.98</v>
      </c>
      <c r="R83">
        <v>7.76</v>
      </c>
      <c r="S83">
        <v>10.29</v>
      </c>
      <c r="T83">
        <v>6.11</v>
      </c>
      <c r="U83">
        <v>6.93</v>
      </c>
      <c r="V83">
        <v>7.69</v>
      </c>
      <c r="W83">
        <v>3.88</v>
      </c>
      <c r="X83">
        <v>6.96</v>
      </c>
      <c r="Y83">
        <v>10.02</v>
      </c>
      <c r="Z83">
        <v>9.5</v>
      </c>
      <c r="AL83" t="s">
        <v>40</v>
      </c>
      <c r="AM83">
        <v>100</v>
      </c>
      <c r="AN83">
        <v>90</v>
      </c>
      <c r="AO83">
        <v>93</v>
      </c>
      <c r="AP83">
        <v>100</v>
      </c>
      <c r="AQ83">
        <v>92</v>
      </c>
      <c r="AR83">
        <f t="shared" si="22"/>
        <v>95</v>
      </c>
      <c r="AS83" s="20">
        <f t="shared" si="21"/>
        <v>241.3</v>
      </c>
    </row>
    <row r="84" spans="1:45" x14ac:dyDescent="0.25">
      <c r="A84" t="s">
        <v>41</v>
      </c>
      <c r="B84" s="20">
        <f>(25+24+24)/3</f>
        <v>24.333333333333332</v>
      </c>
      <c r="C84" s="20">
        <f t="shared" si="14"/>
        <v>13.904761904761903</v>
      </c>
      <c r="D84" s="34">
        <f t="shared" si="15"/>
        <v>605691.42857142852</v>
      </c>
      <c r="E84">
        <v>122</v>
      </c>
      <c r="F84">
        <f t="shared" si="16"/>
        <v>442860.00000000006</v>
      </c>
      <c r="G84" s="35">
        <f t="shared" si="17"/>
        <v>73.116438356164409</v>
      </c>
      <c r="H84">
        <v>3.46</v>
      </c>
      <c r="I84">
        <v>0.68</v>
      </c>
      <c r="J84">
        <f t="shared" si="18"/>
        <v>2.78</v>
      </c>
      <c r="K84" s="1">
        <v>39.11</v>
      </c>
      <c r="L84">
        <f t="shared" si="19"/>
        <v>3946.7465399999996</v>
      </c>
      <c r="M84" s="38">
        <f t="shared" si="20"/>
        <v>4.35054335239374</v>
      </c>
      <c r="O84" s="26" t="s">
        <v>41</v>
      </c>
      <c r="P84" t="s">
        <v>155</v>
      </c>
      <c r="Q84">
        <v>8.23</v>
      </c>
      <c r="R84">
        <v>5.84</v>
      </c>
      <c r="S84">
        <v>8.61</v>
      </c>
      <c r="T84">
        <v>7.38</v>
      </c>
      <c r="U84">
        <v>5.36</v>
      </c>
      <c r="V84">
        <v>1.75</v>
      </c>
      <c r="W84">
        <v>7.22</v>
      </c>
      <c r="X84">
        <v>6.05</v>
      </c>
      <c r="Y84">
        <v>5.25</v>
      </c>
      <c r="Z84">
        <v>2.65</v>
      </c>
      <c r="AL84" t="s">
        <v>41</v>
      </c>
      <c r="AM84">
        <v>60</v>
      </c>
      <c r="AN84">
        <v>79</v>
      </c>
      <c r="AO84">
        <v>89</v>
      </c>
      <c r="AP84">
        <v>75</v>
      </c>
      <c r="AQ84">
        <v>78</v>
      </c>
      <c r="AR84">
        <f t="shared" si="22"/>
        <v>76.2</v>
      </c>
      <c r="AS84" s="20">
        <f t="shared" si="21"/>
        <v>193.548</v>
      </c>
    </row>
    <row r="85" spans="1:45" x14ac:dyDescent="0.25">
      <c r="A85" t="s">
        <v>43</v>
      </c>
      <c r="B85" s="20">
        <f>(4+27+17)/3</f>
        <v>16</v>
      </c>
      <c r="C85" s="20">
        <f t="shared" si="14"/>
        <v>9.1428571428571423</v>
      </c>
      <c r="D85" s="34">
        <f t="shared" si="15"/>
        <v>398262.8571428571</v>
      </c>
      <c r="E85">
        <v>100</v>
      </c>
      <c r="F85">
        <f t="shared" si="16"/>
        <v>363000.00000000006</v>
      </c>
      <c r="G85" s="35">
        <f t="shared" si="17"/>
        <v>91.145833333333357</v>
      </c>
      <c r="H85">
        <v>4.38</v>
      </c>
      <c r="I85">
        <v>0.68</v>
      </c>
      <c r="J85">
        <f t="shared" si="18"/>
        <v>3.6999999999999997</v>
      </c>
      <c r="K85" s="1">
        <v>30.29</v>
      </c>
      <c r="L85">
        <f t="shared" si="19"/>
        <v>4068.2499000000003</v>
      </c>
      <c r="M85" s="38">
        <f t="shared" si="20"/>
        <v>4.4844778804370602</v>
      </c>
      <c r="O85" s="26" t="s">
        <v>43</v>
      </c>
      <c r="P85" t="s">
        <v>156</v>
      </c>
      <c r="Q85">
        <v>10.15</v>
      </c>
      <c r="R85">
        <v>7.6</v>
      </c>
      <c r="S85">
        <v>4.97</v>
      </c>
      <c r="T85">
        <v>7.69</v>
      </c>
      <c r="U85">
        <v>6.42</v>
      </c>
      <c r="V85">
        <v>6.67</v>
      </c>
      <c r="W85">
        <v>10.48</v>
      </c>
      <c r="X85">
        <v>8.74</v>
      </c>
      <c r="Y85">
        <v>12.72</v>
      </c>
      <c r="Z85">
        <v>5.82</v>
      </c>
      <c r="AL85" t="s">
        <v>43</v>
      </c>
      <c r="AM85">
        <v>88</v>
      </c>
      <c r="AN85">
        <v>90</v>
      </c>
      <c r="AO85">
        <v>86</v>
      </c>
      <c r="AP85">
        <v>77</v>
      </c>
      <c r="AQ85">
        <v>76</v>
      </c>
      <c r="AR85">
        <f t="shared" si="22"/>
        <v>83.4</v>
      </c>
      <c r="AS85" s="20">
        <f t="shared" si="21"/>
        <v>211.83600000000001</v>
      </c>
    </row>
    <row r="86" spans="1:45" x14ac:dyDescent="0.25">
      <c r="A86" t="s">
        <v>44</v>
      </c>
      <c r="B86" s="20">
        <f>(17+2+34)/3</f>
        <v>17.666666666666668</v>
      </c>
      <c r="C86" s="20">
        <f t="shared" si="14"/>
        <v>10.095238095238097</v>
      </c>
      <c r="D86" s="34">
        <f t="shared" si="15"/>
        <v>439748.57142857148</v>
      </c>
      <c r="E86">
        <v>96</v>
      </c>
      <c r="F86">
        <f t="shared" si="16"/>
        <v>348480.00000000006</v>
      </c>
      <c r="G86" s="35">
        <f t="shared" si="17"/>
        <v>79.245283018867923</v>
      </c>
      <c r="H86">
        <v>3.12</v>
      </c>
      <c r="I86">
        <v>0.68</v>
      </c>
      <c r="J86">
        <f t="shared" si="18"/>
        <v>2.44</v>
      </c>
      <c r="K86" s="1">
        <v>31.15</v>
      </c>
      <c r="L86">
        <f t="shared" si="19"/>
        <v>2759.0178000000001</v>
      </c>
      <c r="M86" s="38">
        <f t="shared" si="20"/>
        <v>3.0412965279817543</v>
      </c>
      <c r="O86" s="26" t="s">
        <v>44</v>
      </c>
      <c r="P86" t="s">
        <v>159</v>
      </c>
      <c r="Q86">
        <v>7.18</v>
      </c>
      <c r="R86">
        <v>7.42</v>
      </c>
      <c r="S86">
        <v>7.01</v>
      </c>
      <c r="T86">
        <v>4.84</v>
      </c>
      <c r="U86">
        <v>6.83</v>
      </c>
      <c r="V86">
        <v>3.55</v>
      </c>
      <c r="W86">
        <v>4.1900000000000004</v>
      </c>
      <c r="X86">
        <v>3.27</v>
      </c>
      <c r="Y86">
        <v>7.22</v>
      </c>
      <c r="Z86">
        <v>6.62</v>
      </c>
      <c r="AL86" t="s">
        <v>44</v>
      </c>
      <c r="AM86">
        <v>81</v>
      </c>
      <c r="AN86">
        <v>80</v>
      </c>
      <c r="AO86">
        <v>82</v>
      </c>
      <c r="AP86">
        <v>90</v>
      </c>
      <c r="AQ86">
        <v>74</v>
      </c>
      <c r="AR86">
        <f t="shared" si="22"/>
        <v>81.400000000000006</v>
      </c>
      <c r="AS86" s="20">
        <f t="shared" si="21"/>
        <v>206.75600000000003</v>
      </c>
    </row>
    <row r="87" spans="1:45" x14ac:dyDescent="0.25">
      <c r="A87" t="s">
        <v>45</v>
      </c>
      <c r="B87" s="20">
        <f>(8+50+17)/3</f>
        <v>25</v>
      </c>
      <c r="C87" s="20">
        <f t="shared" si="14"/>
        <v>14.285714285714286</v>
      </c>
      <c r="D87" s="34">
        <f t="shared" si="15"/>
        <v>622285.71428571432</v>
      </c>
      <c r="E87">
        <v>142</v>
      </c>
      <c r="F87">
        <f t="shared" si="16"/>
        <v>515460.00000000006</v>
      </c>
      <c r="G87" s="35">
        <f t="shared" si="17"/>
        <v>82.833333333333343</v>
      </c>
      <c r="H87">
        <v>2.54</v>
      </c>
      <c r="I87">
        <v>0.68</v>
      </c>
      <c r="J87">
        <f t="shared" si="18"/>
        <v>1.8599999999999999</v>
      </c>
      <c r="K87" s="1">
        <v>32.82</v>
      </c>
      <c r="L87">
        <f t="shared" si="19"/>
        <v>2215.94076</v>
      </c>
      <c r="M87" s="38">
        <f t="shared" si="20"/>
        <v>2.4426565640864113</v>
      </c>
      <c r="O87" s="26" t="s">
        <v>45</v>
      </c>
      <c r="P87" t="s">
        <v>161</v>
      </c>
      <c r="Q87">
        <v>6.85</v>
      </c>
      <c r="R87">
        <v>4.54</v>
      </c>
      <c r="S87">
        <v>5.62</v>
      </c>
      <c r="T87">
        <v>3.91</v>
      </c>
      <c r="U87">
        <v>5.5</v>
      </c>
      <c r="V87">
        <v>5.98</v>
      </c>
      <c r="W87">
        <v>4.5199999999999996</v>
      </c>
      <c r="X87">
        <v>3.71</v>
      </c>
      <c r="Y87">
        <v>4.92</v>
      </c>
      <c r="Z87">
        <v>6.44</v>
      </c>
      <c r="AL87" t="s">
        <v>45</v>
      </c>
      <c r="AM87">
        <v>73</v>
      </c>
      <c r="AN87">
        <v>66</v>
      </c>
      <c r="AO87">
        <v>61</v>
      </c>
      <c r="AP87">
        <v>74</v>
      </c>
      <c r="AQ87">
        <v>72</v>
      </c>
      <c r="AR87">
        <f t="shared" si="22"/>
        <v>69.2</v>
      </c>
      <c r="AS87" s="20">
        <f t="shared" si="21"/>
        <v>175.768</v>
      </c>
    </row>
    <row r="88" spans="1:45" x14ac:dyDescent="0.25">
      <c r="A88" t="s">
        <v>135</v>
      </c>
      <c r="B88" s="20">
        <f>(23+32+23)/3</f>
        <v>26</v>
      </c>
      <c r="C88" s="20">
        <f t="shared" si="14"/>
        <v>14.857142857142858</v>
      </c>
      <c r="D88" s="34">
        <f t="shared" si="15"/>
        <v>647177.14285714284</v>
      </c>
      <c r="E88">
        <v>150</v>
      </c>
      <c r="F88">
        <f t="shared" si="16"/>
        <v>544500</v>
      </c>
      <c r="G88" s="35">
        <f t="shared" si="17"/>
        <v>84.134615384615387</v>
      </c>
      <c r="H88">
        <v>4.76</v>
      </c>
      <c r="I88">
        <v>0.68</v>
      </c>
      <c r="J88">
        <f t="shared" si="18"/>
        <v>4.08</v>
      </c>
      <c r="K88" s="1">
        <v>33.75</v>
      </c>
      <c r="L88">
        <f t="shared" si="19"/>
        <v>4998.5100000000011</v>
      </c>
      <c r="M88" s="38">
        <f t="shared" si="20"/>
        <v>5.5099141107687242</v>
      </c>
      <c r="O88" s="31" t="s">
        <v>135</v>
      </c>
      <c r="P88" t="s">
        <v>157</v>
      </c>
      <c r="Q88">
        <v>7.79</v>
      </c>
      <c r="R88">
        <v>8.49</v>
      </c>
      <c r="S88">
        <v>11.36</v>
      </c>
      <c r="T88">
        <v>7.45</v>
      </c>
      <c r="U88">
        <v>7.9</v>
      </c>
      <c r="V88">
        <v>5.0599999999999996</v>
      </c>
      <c r="W88">
        <v>9.5500000000000007</v>
      </c>
      <c r="X88">
        <v>8.94</v>
      </c>
      <c r="Y88">
        <v>11.42</v>
      </c>
      <c r="Z88">
        <v>9.2100000000000009</v>
      </c>
      <c r="AL88" t="s">
        <v>135</v>
      </c>
      <c r="AM88">
        <v>95</v>
      </c>
      <c r="AN88">
        <v>90</v>
      </c>
      <c r="AO88">
        <v>97</v>
      </c>
      <c r="AP88">
        <v>92</v>
      </c>
      <c r="AQ88">
        <v>91</v>
      </c>
      <c r="AR88">
        <f t="shared" si="22"/>
        <v>93</v>
      </c>
      <c r="AS88" s="20">
        <f t="shared" si="21"/>
        <v>236.22</v>
      </c>
    </row>
    <row r="89" spans="1:45" x14ac:dyDescent="0.25">
      <c r="A89" t="s">
        <v>47</v>
      </c>
      <c r="B89" s="20">
        <f>(10+2+50)/3</f>
        <v>20.666666666666668</v>
      </c>
      <c r="C89" s="20">
        <f t="shared" si="14"/>
        <v>11.80952380952381</v>
      </c>
      <c r="D89" s="34">
        <f t="shared" si="15"/>
        <v>514422.85714285716</v>
      </c>
      <c r="E89">
        <v>101</v>
      </c>
      <c r="F89">
        <f t="shared" si="16"/>
        <v>366630.00000000006</v>
      </c>
      <c r="G89" s="35">
        <f t="shared" si="17"/>
        <v>71.270161290322591</v>
      </c>
      <c r="H89">
        <v>5.58</v>
      </c>
      <c r="I89">
        <v>0.68</v>
      </c>
      <c r="J89">
        <f t="shared" si="18"/>
        <v>4.9000000000000004</v>
      </c>
      <c r="K89" s="1">
        <v>35.909999999999997</v>
      </c>
      <c r="L89">
        <f t="shared" si="19"/>
        <v>6387.3117000000002</v>
      </c>
      <c r="M89" s="38">
        <f t="shared" si="20"/>
        <v>7.040805933309759</v>
      </c>
      <c r="O89" s="31" t="s">
        <v>47</v>
      </c>
      <c r="P89" t="s">
        <v>158</v>
      </c>
      <c r="Q89">
        <v>12.69</v>
      </c>
      <c r="R89">
        <v>11.31</v>
      </c>
      <c r="S89">
        <v>10.62</v>
      </c>
      <c r="T89">
        <v>8.9700000000000006</v>
      </c>
      <c r="U89">
        <v>7.58</v>
      </c>
      <c r="V89">
        <v>8.76</v>
      </c>
      <c r="W89">
        <v>10.4</v>
      </c>
      <c r="X89">
        <v>14.23</v>
      </c>
      <c r="Y89">
        <v>12.46</v>
      </c>
      <c r="Z89">
        <v>9.34</v>
      </c>
      <c r="AL89" t="s">
        <v>47</v>
      </c>
      <c r="AM89">
        <v>106</v>
      </c>
      <c r="AN89">
        <v>91</v>
      </c>
      <c r="AO89">
        <v>97</v>
      </c>
      <c r="AP89">
        <v>95</v>
      </c>
      <c r="AQ89">
        <v>101</v>
      </c>
      <c r="AR89">
        <f t="shared" si="22"/>
        <v>98</v>
      </c>
      <c r="AS89" s="20">
        <f t="shared" si="21"/>
        <v>248.92000000000002</v>
      </c>
    </row>
    <row r="90" spans="1:45" x14ac:dyDescent="0.25">
      <c r="A90" t="s">
        <v>48</v>
      </c>
      <c r="B90" s="20">
        <f>(8+15+29)/3</f>
        <v>17.333333333333332</v>
      </c>
      <c r="C90" s="20">
        <f t="shared" si="14"/>
        <v>9.9047619047619033</v>
      </c>
      <c r="D90" s="34">
        <f t="shared" si="15"/>
        <v>431451.42857142852</v>
      </c>
      <c r="E90">
        <v>104</v>
      </c>
      <c r="F90">
        <f t="shared" si="16"/>
        <v>377520.00000000006</v>
      </c>
      <c r="G90" s="35">
        <f t="shared" si="17"/>
        <v>87.500000000000028</v>
      </c>
      <c r="H90">
        <v>2.9</v>
      </c>
      <c r="I90">
        <v>0.68</v>
      </c>
      <c r="J90">
        <f t="shared" si="18"/>
        <v>2.2199999999999998</v>
      </c>
      <c r="K90" s="1">
        <v>32.36</v>
      </c>
      <c r="L90">
        <f t="shared" si="19"/>
        <v>2607.76296</v>
      </c>
      <c r="M90" s="38">
        <f t="shared" si="20"/>
        <v>2.8745666070176941</v>
      </c>
      <c r="O90" s="31" t="s">
        <v>48</v>
      </c>
      <c r="P90" t="s">
        <v>156</v>
      </c>
      <c r="Q90">
        <v>8.7100000000000009</v>
      </c>
      <c r="R90">
        <v>8.34</v>
      </c>
      <c r="S90">
        <v>5.8</v>
      </c>
      <c r="T90">
        <v>9.58</v>
      </c>
      <c r="U90">
        <v>5.56</v>
      </c>
      <c r="V90">
        <v>5.37</v>
      </c>
      <c r="W90">
        <v>11.18</v>
      </c>
      <c r="X90">
        <v>3.55</v>
      </c>
      <c r="Y90">
        <v>5.92</v>
      </c>
      <c r="Z90">
        <v>8.6999999999999993</v>
      </c>
      <c r="AL90" t="s">
        <v>48</v>
      </c>
      <c r="AM90">
        <v>91</v>
      </c>
      <c r="AN90">
        <v>96</v>
      </c>
      <c r="AO90">
        <v>85</v>
      </c>
      <c r="AP90">
        <v>82</v>
      </c>
      <c r="AQ90">
        <v>80</v>
      </c>
      <c r="AR90">
        <f t="shared" si="22"/>
        <v>86.8</v>
      </c>
      <c r="AS90" s="20">
        <f t="shared" si="21"/>
        <v>220.47200000000001</v>
      </c>
    </row>
    <row r="91" spans="1:45" x14ac:dyDescent="0.25">
      <c r="A91" t="s">
        <v>50</v>
      </c>
      <c r="B91" s="20">
        <f>(52+71+9)/3</f>
        <v>44</v>
      </c>
      <c r="C91" s="20">
        <f t="shared" si="14"/>
        <v>25.142857142857142</v>
      </c>
      <c r="D91" s="34">
        <f t="shared" si="15"/>
        <v>1095222.857142857</v>
      </c>
      <c r="E91">
        <v>186</v>
      </c>
      <c r="F91">
        <f t="shared" si="16"/>
        <v>675180.00000000012</v>
      </c>
      <c r="G91" s="35">
        <f t="shared" si="17"/>
        <v>61.647727272727295</v>
      </c>
      <c r="H91">
        <v>4.46</v>
      </c>
      <c r="I91">
        <v>0.68</v>
      </c>
      <c r="J91">
        <f t="shared" si="18"/>
        <v>3.78</v>
      </c>
      <c r="K91" s="1">
        <v>31.48</v>
      </c>
      <c r="L91">
        <f t="shared" si="19"/>
        <v>4319.496720000001</v>
      </c>
      <c r="M91" s="38">
        <f t="shared" si="20"/>
        <v>4.7614300919568473</v>
      </c>
      <c r="O91" s="31" t="s">
        <v>50</v>
      </c>
      <c r="P91" t="s">
        <v>161</v>
      </c>
      <c r="Q91">
        <v>8.82</v>
      </c>
      <c r="R91">
        <v>11.89</v>
      </c>
      <c r="S91">
        <v>7.94</v>
      </c>
      <c r="T91">
        <v>7.32</v>
      </c>
      <c r="U91">
        <v>5.51</v>
      </c>
      <c r="V91">
        <v>9.08</v>
      </c>
      <c r="W91">
        <v>10.51</v>
      </c>
      <c r="X91">
        <v>10.06</v>
      </c>
      <c r="Y91">
        <v>3.72</v>
      </c>
      <c r="Z91">
        <v>7.09</v>
      </c>
      <c r="AL91" t="s">
        <v>50</v>
      </c>
      <c r="AM91">
        <v>84</v>
      </c>
      <c r="AN91">
        <v>87</v>
      </c>
      <c r="AO91">
        <v>77</v>
      </c>
      <c r="AP91">
        <v>80</v>
      </c>
      <c r="AQ91">
        <v>81</v>
      </c>
      <c r="AR91">
        <f t="shared" si="22"/>
        <v>81.8</v>
      </c>
      <c r="AS91" s="20">
        <f t="shared" si="21"/>
        <v>207.77199999999999</v>
      </c>
    </row>
    <row r="92" spans="1:45" x14ac:dyDescent="0.25">
      <c r="A92" t="s">
        <v>51</v>
      </c>
      <c r="B92" s="20">
        <f>(47+1+2)/3</f>
        <v>16.666666666666668</v>
      </c>
      <c r="C92" s="20">
        <f t="shared" si="14"/>
        <v>9.5238095238095237</v>
      </c>
      <c r="D92" s="34">
        <f t="shared" si="15"/>
        <v>414857.14285714284</v>
      </c>
      <c r="E92">
        <v>130</v>
      </c>
      <c r="F92">
        <f t="shared" si="16"/>
        <v>471900.00000000006</v>
      </c>
      <c r="G92" s="35">
        <f t="shared" si="17"/>
        <v>113.75000000000001</v>
      </c>
      <c r="H92">
        <v>3.84</v>
      </c>
      <c r="I92">
        <v>0.68</v>
      </c>
      <c r="J92">
        <f t="shared" si="18"/>
        <v>3.1599999999999997</v>
      </c>
      <c r="K92" s="1">
        <v>28.48</v>
      </c>
      <c r="L92">
        <f t="shared" si="19"/>
        <v>3266.88384</v>
      </c>
      <c r="M92" s="38">
        <f t="shared" si="20"/>
        <v>3.601123008308138</v>
      </c>
      <c r="O92" s="31" t="s">
        <v>51</v>
      </c>
      <c r="P92" t="s">
        <v>162</v>
      </c>
      <c r="Q92">
        <v>8.58</v>
      </c>
      <c r="R92">
        <v>9.68</v>
      </c>
      <c r="S92">
        <v>11.32</v>
      </c>
      <c r="T92">
        <v>8.19</v>
      </c>
      <c r="U92">
        <v>5.56</v>
      </c>
      <c r="V92">
        <v>8.48</v>
      </c>
      <c r="W92">
        <v>9.83</v>
      </c>
      <c r="X92">
        <v>10.09</v>
      </c>
      <c r="Y92">
        <v>4.9800000000000004</v>
      </c>
      <c r="Z92">
        <v>10.78</v>
      </c>
      <c r="AL92" t="s">
        <v>51</v>
      </c>
      <c r="AM92">
        <v>66</v>
      </c>
      <c r="AN92">
        <v>85</v>
      </c>
      <c r="AO92">
        <v>78</v>
      </c>
      <c r="AP92">
        <v>76</v>
      </c>
      <c r="AQ92">
        <v>66</v>
      </c>
      <c r="AR92">
        <f t="shared" si="22"/>
        <v>74.2</v>
      </c>
      <c r="AS92" s="20">
        <f t="shared" si="21"/>
        <v>188.46800000000002</v>
      </c>
    </row>
    <row r="93" spans="1:45" x14ac:dyDescent="0.25">
      <c r="A93" t="s">
        <v>52</v>
      </c>
      <c r="B93" s="20">
        <f>(10+16+27)/3</f>
        <v>17.666666666666668</v>
      </c>
      <c r="C93" s="20">
        <f t="shared" si="14"/>
        <v>10.095238095238097</v>
      </c>
      <c r="D93" s="34">
        <f t="shared" si="15"/>
        <v>439748.57142857148</v>
      </c>
      <c r="E93">
        <v>130</v>
      </c>
      <c r="F93">
        <f t="shared" si="16"/>
        <v>471900.00000000006</v>
      </c>
      <c r="G93" s="35">
        <f t="shared" si="17"/>
        <v>107.31132075471699</v>
      </c>
      <c r="H93">
        <v>3.48</v>
      </c>
      <c r="I93">
        <v>0.68</v>
      </c>
      <c r="J93">
        <f t="shared" si="18"/>
        <v>2.8</v>
      </c>
      <c r="K93" s="1">
        <v>32.26</v>
      </c>
      <c r="L93">
        <f t="shared" si="19"/>
        <v>3278.9064000000003</v>
      </c>
      <c r="M93" s="38">
        <f t="shared" si="20"/>
        <v>3.6143756121824056</v>
      </c>
      <c r="O93" s="31" t="s">
        <v>52</v>
      </c>
      <c r="P93" t="s">
        <v>155</v>
      </c>
      <c r="Q93">
        <v>10.52</v>
      </c>
      <c r="R93">
        <v>8.8800000000000008</v>
      </c>
      <c r="S93">
        <v>8.9</v>
      </c>
      <c r="T93">
        <v>8.6</v>
      </c>
      <c r="U93">
        <v>8.2200000000000006</v>
      </c>
      <c r="V93">
        <v>8.67</v>
      </c>
      <c r="W93">
        <v>8.52</v>
      </c>
      <c r="X93">
        <v>7.19</v>
      </c>
      <c r="Y93">
        <v>4.8499999999999996</v>
      </c>
      <c r="Z93">
        <v>10.75</v>
      </c>
      <c r="AL93" t="s">
        <v>52</v>
      </c>
      <c r="AM93">
        <v>90</v>
      </c>
      <c r="AN93">
        <v>92</v>
      </c>
      <c r="AO93">
        <v>88</v>
      </c>
      <c r="AP93">
        <v>81</v>
      </c>
      <c r="AQ93">
        <v>86</v>
      </c>
      <c r="AR93">
        <f t="shared" si="22"/>
        <v>87.4</v>
      </c>
      <c r="AS93" s="20">
        <f t="shared" si="21"/>
        <v>221.99600000000001</v>
      </c>
    </row>
    <row r="94" spans="1:45" x14ac:dyDescent="0.25">
      <c r="A94" t="s">
        <v>54</v>
      </c>
      <c r="B94" s="20">
        <f>(2+20+27)/3</f>
        <v>16.333333333333332</v>
      </c>
      <c r="C94" s="20">
        <f t="shared" si="14"/>
        <v>9.3333333333333321</v>
      </c>
      <c r="D94" s="34">
        <f t="shared" si="15"/>
        <v>406559.99999999994</v>
      </c>
      <c r="E94">
        <v>130</v>
      </c>
      <c r="F94">
        <f t="shared" si="16"/>
        <v>471900.00000000006</v>
      </c>
      <c r="G94" s="35">
        <f t="shared" si="17"/>
        <v>116.0714285714286</v>
      </c>
      <c r="H94">
        <v>3</v>
      </c>
      <c r="I94">
        <v>0.68</v>
      </c>
      <c r="J94">
        <f t="shared" si="18"/>
        <v>2.3199999999999998</v>
      </c>
      <c r="K94" s="1">
        <v>32.92</v>
      </c>
      <c r="L94">
        <f t="shared" si="19"/>
        <v>2772.3907200000003</v>
      </c>
      <c r="M94" s="38">
        <f t="shared" si="20"/>
        <v>3.0560376489578416</v>
      </c>
      <c r="O94" s="25" t="s">
        <v>54</v>
      </c>
      <c r="P94" t="s">
        <v>158</v>
      </c>
      <c r="Q94">
        <v>11.67</v>
      </c>
      <c r="R94">
        <v>7.71</v>
      </c>
      <c r="S94">
        <v>6.69</v>
      </c>
      <c r="T94">
        <v>6.54</v>
      </c>
      <c r="U94">
        <v>5.35</v>
      </c>
      <c r="V94">
        <v>6.52</v>
      </c>
      <c r="W94">
        <v>7.91</v>
      </c>
      <c r="X94">
        <v>6.32</v>
      </c>
      <c r="Y94">
        <v>7</v>
      </c>
      <c r="Z94">
        <v>5.94</v>
      </c>
      <c r="AL94" t="s">
        <v>54</v>
      </c>
      <c r="AM94">
        <v>88</v>
      </c>
      <c r="AN94">
        <v>86</v>
      </c>
      <c r="AO94">
        <v>76</v>
      </c>
      <c r="AP94">
        <v>72</v>
      </c>
      <c r="AQ94">
        <v>80</v>
      </c>
      <c r="AR94">
        <f t="shared" si="22"/>
        <v>80.400000000000006</v>
      </c>
      <c r="AS94" s="20">
        <f t="shared" si="21"/>
        <v>204.21600000000001</v>
      </c>
    </row>
    <row r="95" spans="1:45" x14ac:dyDescent="0.25">
      <c r="A95" t="s">
        <v>55</v>
      </c>
      <c r="B95" s="20">
        <f>(24+3+2)/3</f>
        <v>9.6666666666666661</v>
      </c>
      <c r="C95" s="20">
        <f t="shared" si="14"/>
        <v>5.5238095238095237</v>
      </c>
      <c r="D95" s="34">
        <f t="shared" si="15"/>
        <v>240617.14285714284</v>
      </c>
      <c r="E95">
        <v>106</v>
      </c>
      <c r="F95">
        <f t="shared" si="16"/>
        <v>384780.00000000006</v>
      </c>
      <c r="G95" s="35">
        <f t="shared" si="17"/>
        <v>159.91379310344831</v>
      </c>
      <c r="H95">
        <v>4.1399999999999997</v>
      </c>
      <c r="I95">
        <v>0.68</v>
      </c>
      <c r="J95">
        <f t="shared" si="18"/>
        <v>3.4599999999999995</v>
      </c>
      <c r="K95" s="1">
        <v>32.630000000000003</v>
      </c>
      <c r="L95">
        <f t="shared" si="19"/>
        <v>4098.2627400000001</v>
      </c>
      <c r="M95" s="38">
        <f t="shared" si="20"/>
        <v>4.5175613734420237</v>
      </c>
      <c r="O95" s="25" t="s">
        <v>55</v>
      </c>
      <c r="P95" t="s">
        <v>161</v>
      </c>
      <c r="Q95">
        <v>8.06</v>
      </c>
      <c r="R95">
        <v>6.61</v>
      </c>
      <c r="S95" t="s">
        <v>254</v>
      </c>
      <c r="T95">
        <v>7.74</v>
      </c>
      <c r="U95">
        <v>5.34</v>
      </c>
      <c r="V95">
        <v>7.5</v>
      </c>
      <c r="W95">
        <v>6.33</v>
      </c>
      <c r="X95">
        <v>6.21</v>
      </c>
      <c r="Y95">
        <v>8.2799999999999994</v>
      </c>
      <c r="Z95">
        <v>7.42</v>
      </c>
      <c r="AL95" t="s">
        <v>55</v>
      </c>
      <c r="AM95">
        <v>78</v>
      </c>
      <c r="AN95">
        <v>77</v>
      </c>
      <c r="AO95">
        <v>65</v>
      </c>
      <c r="AP95">
        <v>68</v>
      </c>
      <c r="AQ95">
        <v>70</v>
      </c>
      <c r="AR95">
        <f t="shared" si="22"/>
        <v>71.599999999999994</v>
      </c>
      <c r="AS95" s="20">
        <f t="shared" si="21"/>
        <v>181.86399999999998</v>
      </c>
    </row>
    <row r="96" spans="1:45" x14ac:dyDescent="0.25">
      <c r="A96" t="s">
        <v>57</v>
      </c>
      <c r="B96" s="20">
        <f>(13+37+43)/3</f>
        <v>31</v>
      </c>
      <c r="C96" s="20">
        <f t="shared" si="14"/>
        <v>17.714285714285715</v>
      </c>
      <c r="D96" s="34">
        <f t="shared" si="15"/>
        <v>771634.2857142858</v>
      </c>
      <c r="E96">
        <v>132</v>
      </c>
      <c r="F96">
        <f t="shared" si="16"/>
        <v>479160.00000000006</v>
      </c>
      <c r="G96" s="35">
        <f t="shared" si="17"/>
        <v>62.096774193548384</v>
      </c>
      <c r="H96">
        <v>2.68</v>
      </c>
      <c r="I96">
        <v>0.68</v>
      </c>
      <c r="J96">
        <f t="shared" si="18"/>
        <v>2</v>
      </c>
      <c r="K96" s="1">
        <v>33.96</v>
      </c>
      <c r="L96">
        <f t="shared" si="19"/>
        <v>2465.4960000000001</v>
      </c>
      <c r="M96" s="38">
        <f t="shared" si="20"/>
        <v>2.717744127838865</v>
      </c>
      <c r="O96" s="25" t="s">
        <v>57</v>
      </c>
      <c r="P96" t="s">
        <v>156</v>
      </c>
      <c r="Q96">
        <v>8.4499999999999993</v>
      </c>
      <c r="R96">
        <v>6.51</v>
      </c>
      <c r="S96">
        <v>2.64</v>
      </c>
      <c r="T96">
        <v>3.84</v>
      </c>
      <c r="U96">
        <v>6.56</v>
      </c>
      <c r="V96">
        <v>5.65</v>
      </c>
      <c r="W96">
        <v>9.66</v>
      </c>
      <c r="X96">
        <v>5.45</v>
      </c>
      <c r="Y96">
        <v>6.57</v>
      </c>
      <c r="Z96">
        <v>6.44</v>
      </c>
      <c r="AL96" t="s">
        <v>57</v>
      </c>
      <c r="AM96">
        <v>70</v>
      </c>
      <c r="AN96">
        <v>62</v>
      </c>
      <c r="AO96">
        <v>63</v>
      </c>
      <c r="AP96">
        <v>66</v>
      </c>
      <c r="AQ96">
        <v>68</v>
      </c>
      <c r="AR96">
        <f t="shared" si="22"/>
        <v>65.8</v>
      </c>
      <c r="AS96" s="20">
        <f t="shared" si="21"/>
        <v>167.13200000000001</v>
      </c>
    </row>
    <row r="97" spans="1:45" x14ac:dyDescent="0.25">
      <c r="A97" t="s">
        <v>58</v>
      </c>
      <c r="B97" s="20">
        <f>(73+42)/3</f>
        <v>38.333333333333336</v>
      </c>
      <c r="C97" s="20">
        <f t="shared" si="14"/>
        <v>21.904761904761905</v>
      </c>
      <c r="D97" s="34">
        <f t="shared" si="15"/>
        <v>954171.42857142864</v>
      </c>
      <c r="E97">
        <v>176</v>
      </c>
      <c r="F97">
        <f t="shared" si="16"/>
        <v>638880</v>
      </c>
      <c r="G97" s="35">
        <f t="shared" si="17"/>
        <v>66.956521739130423</v>
      </c>
      <c r="H97">
        <v>3.38</v>
      </c>
      <c r="I97">
        <v>0.68</v>
      </c>
      <c r="J97">
        <f t="shared" si="18"/>
        <v>2.6999999999999997</v>
      </c>
      <c r="K97" s="1">
        <v>33.32</v>
      </c>
      <c r="L97">
        <f t="shared" si="19"/>
        <v>3265.6931999999997</v>
      </c>
      <c r="M97" s="38">
        <f t="shared" si="20"/>
        <v>3.5998105523688988</v>
      </c>
      <c r="O97" s="25" t="s">
        <v>58</v>
      </c>
      <c r="P97" t="s">
        <v>160</v>
      </c>
      <c r="Q97">
        <v>5.78</v>
      </c>
      <c r="R97">
        <v>4.67</v>
      </c>
      <c r="S97">
        <v>7.53</v>
      </c>
      <c r="T97">
        <v>4.43</v>
      </c>
      <c r="U97">
        <v>7.8</v>
      </c>
      <c r="V97">
        <v>5.04</v>
      </c>
      <c r="W97">
        <v>3.09</v>
      </c>
      <c r="X97">
        <v>4.0599999999999996</v>
      </c>
      <c r="Y97">
        <v>5.0599999999999996</v>
      </c>
      <c r="Z97">
        <v>3.77</v>
      </c>
      <c r="AL97" t="s">
        <v>58</v>
      </c>
      <c r="AM97">
        <v>65</v>
      </c>
      <c r="AN97">
        <v>66</v>
      </c>
      <c r="AO97">
        <v>68</v>
      </c>
      <c r="AP97">
        <v>57</v>
      </c>
      <c r="AQ97">
        <v>54</v>
      </c>
      <c r="AR97">
        <f t="shared" si="22"/>
        <v>62</v>
      </c>
      <c r="AS97" s="20">
        <f t="shared" si="21"/>
        <v>157.47999999999999</v>
      </c>
    </row>
    <row r="98" spans="1:45" x14ac:dyDescent="0.25">
      <c r="A98" t="s">
        <v>59</v>
      </c>
      <c r="B98" s="20">
        <f>(34+6+7)/3</f>
        <v>15.666666666666666</v>
      </c>
      <c r="C98" s="20">
        <f t="shared" si="14"/>
        <v>8.9523809523809526</v>
      </c>
      <c r="D98" s="34">
        <f t="shared" si="15"/>
        <v>389965.71428571432</v>
      </c>
      <c r="E98">
        <v>99</v>
      </c>
      <c r="F98">
        <f t="shared" si="16"/>
        <v>359370.00000000006</v>
      </c>
      <c r="G98" s="35">
        <f t="shared" si="17"/>
        <v>92.154255319148945</v>
      </c>
      <c r="H98">
        <v>3.5</v>
      </c>
      <c r="I98">
        <v>0.68</v>
      </c>
      <c r="J98">
        <f t="shared" si="18"/>
        <v>2.82</v>
      </c>
      <c r="K98" s="1">
        <v>32.89</v>
      </c>
      <c r="L98">
        <f t="shared" si="19"/>
        <v>3366.8177400000004</v>
      </c>
      <c r="M98" s="38">
        <f t="shared" si="20"/>
        <v>3.7112812766229264</v>
      </c>
      <c r="O98" s="25" t="s">
        <v>59</v>
      </c>
      <c r="P98" t="s">
        <v>157</v>
      </c>
      <c r="Q98">
        <v>10.9</v>
      </c>
      <c r="R98">
        <v>11.57</v>
      </c>
      <c r="S98">
        <v>7.28</v>
      </c>
      <c r="T98">
        <v>8.52</v>
      </c>
      <c r="U98">
        <v>6.65</v>
      </c>
      <c r="V98">
        <v>7.43</v>
      </c>
      <c r="W98">
        <v>6.91</v>
      </c>
      <c r="X98">
        <v>12</v>
      </c>
      <c r="Y98">
        <v>10.67</v>
      </c>
      <c r="AL98" t="s">
        <v>59</v>
      </c>
      <c r="AM98">
        <v>70</v>
      </c>
      <c r="AN98">
        <v>75</v>
      </c>
      <c r="AO98">
        <v>85</v>
      </c>
      <c r="AP98">
        <v>75</v>
      </c>
      <c r="AQ98">
        <v>80</v>
      </c>
      <c r="AR98">
        <f t="shared" si="22"/>
        <v>77</v>
      </c>
      <c r="AS98" s="20">
        <f t="shared" si="21"/>
        <v>195.58</v>
      </c>
    </row>
    <row r="99" spans="1:45" x14ac:dyDescent="0.25">
      <c r="A99" t="s">
        <v>60</v>
      </c>
      <c r="B99" s="20">
        <f>(50+3+40)/3</f>
        <v>31</v>
      </c>
      <c r="C99" s="20">
        <f t="shared" si="14"/>
        <v>17.714285714285715</v>
      </c>
      <c r="D99" s="34">
        <f t="shared" si="15"/>
        <v>771634.2857142858</v>
      </c>
      <c r="E99">
        <v>162</v>
      </c>
      <c r="F99">
        <f t="shared" si="16"/>
        <v>588060</v>
      </c>
      <c r="G99" s="35">
        <f t="shared" si="17"/>
        <v>76.209677419354833</v>
      </c>
      <c r="H99">
        <v>3.72</v>
      </c>
      <c r="I99">
        <v>0.68</v>
      </c>
      <c r="J99">
        <f t="shared" si="18"/>
        <v>3.04</v>
      </c>
      <c r="K99" s="1">
        <v>32.270000000000003</v>
      </c>
      <c r="L99">
        <f t="shared" si="19"/>
        <v>3561.0590400000006</v>
      </c>
      <c r="M99" s="38">
        <f t="shared" si="20"/>
        <v>3.9253956586615861</v>
      </c>
      <c r="O99" s="25" t="s">
        <v>60</v>
      </c>
      <c r="P99" t="s">
        <v>162</v>
      </c>
      <c r="Q99">
        <v>10.97</v>
      </c>
      <c r="R99">
        <v>3.83</v>
      </c>
      <c r="S99">
        <v>8.2200000000000006</v>
      </c>
      <c r="T99">
        <v>6.53</v>
      </c>
      <c r="U99">
        <v>6.87</v>
      </c>
      <c r="V99">
        <v>4.04</v>
      </c>
      <c r="W99">
        <v>7.12</v>
      </c>
      <c r="X99">
        <v>6.94</v>
      </c>
      <c r="Y99">
        <v>5.15</v>
      </c>
      <c r="Z99">
        <v>4.59</v>
      </c>
      <c r="AL99" t="s">
        <v>61</v>
      </c>
      <c r="AM99">
        <v>75</v>
      </c>
      <c r="AN99">
        <v>70</v>
      </c>
      <c r="AO99">
        <v>60</v>
      </c>
      <c r="AP99">
        <v>72</v>
      </c>
      <c r="AQ99">
        <v>74</v>
      </c>
      <c r="AR99">
        <f t="shared" si="22"/>
        <v>70.2</v>
      </c>
      <c r="AS99" s="20">
        <f t="shared" si="21"/>
        <v>178.30800000000002</v>
      </c>
    </row>
    <row r="100" spans="1:45" x14ac:dyDescent="0.25">
      <c r="B100" s="20"/>
      <c r="C100" s="20"/>
    </row>
    <row r="102" spans="1:45" x14ac:dyDescent="0.25">
      <c r="A102" t="s">
        <v>61</v>
      </c>
      <c r="B102" s="20">
        <f>(27+20+20)/3</f>
        <v>22.333333333333332</v>
      </c>
      <c r="C102" s="20">
        <f t="shared" ref="C102:C108" si="23">(B102*4)/7</f>
        <v>12.761904761904761</v>
      </c>
      <c r="D102" s="34">
        <f t="shared" ref="D102:D108" si="24">(C102*43560)</f>
        <v>555908.57142857136</v>
      </c>
    </row>
    <row r="103" spans="1:45" x14ac:dyDescent="0.25">
      <c r="A103" t="s">
        <v>34</v>
      </c>
      <c r="B103" s="20">
        <f>(45+7+40)/3</f>
        <v>30.666666666666668</v>
      </c>
      <c r="C103" s="20">
        <f t="shared" si="23"/>
        <v>17.523809523809526</v>
      </c>
      <c r="D103" s="34">
        <f t="shared" si="24"/>
        <v>763337.14285714296</v>
      </c>
    </row>
    <row r="104" spans="1:45" x14ac:dyDescent="0.25">
      <c r="A104" t="s">
        <v>42</v>
      </c>
      <c r="B104" s="20">
        <f>(40+1+53)/3</f>
        <v>31.333333333333332</v>
      </c>
      <c r="C104" s="20">
        <f t="shared" si="23"/>
        <v>17.904761904761905</v>
      </c>
      <c r="D104" s="34">
        <f t="shared" si="24"/>
        <v>779931.42857142864</v>
      </c>
    </row>
    <row r="105" spans="1:45" x14ac:dyDescent="0.25">
      <c r="A105" t="s">
        <v>46</v>
      </c>
      <c r="B105" s="20">
        <f>(10+32+3)/3</f>
        <v>15</v>
      </c>
      <c r="C105" s="20">
        <f t="shared" si="23"/>
        <v>8.5714285714285712</v>
      </c>
      <c r="D105" s="34">
        <f t="shared" si="24"/>
        <v>373371.42857142858</v>
      </c>
    </row>
    <row r="106" spans="1:45" x14ac:dyDescent="0.25">
      <c r="A106" t="s">
        <v>49</v>
      </c>
      <c r="B106" s="20">
        <f>(14+33+2)/3</f>
        <v>16.333333333333332</v>
      </c>
      <c r="C106" s="20">
        <f t="shared" si="23"/>
        <v>9.3333333333333321</v>
      </c>
      <c r="D106" s="34">
        <f t="shared" si="24"/>
        <v>406559.99999999994</v>
      </c>
    </row>
    <row r="107" spans="1:45" x14ac:dyDescent="0.25">
      <c r="A107" t="s">
        <v>53</v>
      </c>
      <c r="B107" s="20">
        <f>(27+30+0)/3</f>
        <v>19</v>
      </c>
      <c r="C107" s="20">
        <f t="shared" si="23"/>
        <v>10.857142857142858</v>
      </c>
      <c r="D107" s="34">
        <f t="shared" si="24"/>
        <v>472937.1428571429</v>
      </c>
    </row>
    <row r="108" spans="1:45" x14ac:dyDescent="0.25">
      <c r="A108" t="s">
        <v>56</v>
      </c>
      <c r="B108" s="20">
        <f>(49+42+52)/3</f>
        <v>47.666666666666664</v>
      </c>
      <c r="C108" s="20">
        <f t="shared" si="23"/>
        <v>27.238095238095237</v>
      </c>
      <c r="D108" s="34">
        <f t="shared" si="24"/>
        <v>1186491.4285714286</v>
      </c>
    </row>
  </sheetData>
  <sortState xmlns:xlrd2="http://schemas.microsoft.com/office/spreadsheetml/2017/richdata2" ref="A3:D102">
    <sortCondition ref="A3:A102"/>
  </sortState>
  <mergeCells count="2">
    <mergeCell ref="Q2:Z2"/>
    <mergeCell ref="AA2:AJ2"/>
  </mergeCells>
  <phoneticPr fontId="6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4CCD-92B7-488D-B568-3B943DE02146}">
  <dimension ref="A1:O97"/>
  <sheetViews>
    <sheetView zoomScale="72" workbookViewId="0">
      <selection activeCell="W88" sqref="W88"/>
    </sheetView>
  </sheetViews>
  <sheetFormatPr defaultRowHeight="15" x14ac:dyDescent="0.25"/>
  <cols>
    <col min="3" max="3" width="10.28515625" bestFit="1" customWidth="1"/>
    <col min="4" max="5" width="14.28515625" bestFit="1" customWidth="1"/>
    <col min="6" max="6" width="15.85546875" bestFit="1" customWidth="1"/>
    <col min="14" max="14" width="12.85546875" bestFit="1" customWidth="1"/>
    <col min="15" max="15" width="13.7109375" bestFit="1" customWidth="1"/>
  </cols>
  <sheetData>
    <row r="1" spans="1:15" x14ac:dyDescent="0.25">
      <c r="A1" s="19" t="s">
        <v>138</v>
      </c>
      <c r="B1" s="19" t="s">
        <v>145</v>
      </c>
      <c r="C1" s="19" t="s">
        <v>143</v>
      </c>
      <c r="D1" s="19" t="s">
        <v>146</v>
      </c>
      <c r="E1" s="19" t="s">
        <v>165</v>
      </c>
      <c r="F1" s="19" t="s">
        <v>175</v>
      </c>
      <c r="H1" s="19" t="s">
        <v>138</v>
      </c>
      <c r="I1" s="19" t="s">
        <v>247</v>
      </c>
      <c r="J1" s="19" t="s">
        <v>248</v>
      </c>
      <c r="K1" s="19" t="s">
        <v>249</v>
      </c>
      <c r="L1" s="19" t="s">
        <v>251</v>
      </c>
      <c r="M1" s="19" t="s">
        <v>250</v>
      </c>
      <c r="N1" s="29" t="s">
        <v>144</v>
      </c>
      <c r="O1" s="30" t="s">
        <v>166</v>
      </c>
    </row>
    <row r="2" spans="1:15" x14ac:dyDescent="0.25">
      <c r="A2" s="22" t="s">
        <v>9</v>
      </c>
      <c r="B2" t="s">
        <v>65</v>
      </c>
      <c r="C2">
        <v>29</v>
      </c>
      <c r="D2">
        <v>3</v>
      </c>
      <c r="E2">
        <v>0.68</v>
      </c>
      <c r="F2">
        <f>D2-E2</f>
        <v>2.3199999999999998</v>
      </c>
      <c r="H2" s="2">
        <v>301</v>
      </c>
      <c r="I2" s="27">
        <v>65</v>
      </c>
      <c r="J2" s="27">
        <v>82</v>
      </c>
      <c r="K2" s="27">
        <v>83</v>
      </c>
      <c r="L2" s="27">
        <v>62</v>
      </c>
      <c r="M2" s="27">
        <v>77</v>
      </c>
      <c r="N2">
        <f t="shared" ref="N2:N17" si="0">AVERAGE(I2,J2,K2,L2,M2)</f>
        <v>73.8</v>
      </c>
      <c r="O2" s="20">
        <f t="shared" ref="O2:O33" si="1">N2*2.54</f>
        <v>187.452</v>
      </c>
    </row>
    <row r="3" spans="1:15" x14ac:dyDescent="0.25">
      <c r="A3" s="22" t="s">
        <v>10</v>
      </c>
      <c r="B3" t="s">
        <v>167</v>
      </c>
      <c r="C3">
        <v>103</v>
      </c>
      <c r="D3">
        <v>3.26</v>
      </c>
      <c r="E3">
        <v>0.68</v>
      </c>
      <c r="F3">
        <f t="shared" ref="F3:F66" si="2">D3-E3</f>
        <v>2.5799999999999996</v>
      </c>
      <c r="H3" t="s">
        <v>101</v>
      </c>
      <c r="I3">
        <v>70</v>
      </c>
      <c r="J3">
        <v>62</v>
      </c>
      <c r="K3">
        <v>58</v>
      </c>
      <c r="L3">
        <v>64</v>
      </c>
      <c r="M3">
        <v>67</v>
      </c>
      <c r="N3">
        <f t="shared" si="0"/>
        <v>64.2</v>
      </c>
      <c r="O3" s="20">
        <f t="shared" si="1"/>
        <v>163.06800000000001</v>
      </c>
    </row>
    <row r="4" spans="1:15" x14ac:dyDescent="0.25">
      <c r="A4" s="22" t="s">
        <v>11</v>
      </c>
      <c r="B4" t="s">
        <v>168</v>
      </c>
      <c r="C4">
        <v>32</v>
      </c>
      <c r="D4">
        <v>2.36</v>
      </c>
      <c r="E4">
        <v>0.68</v>
      </c>
      <c r="F4">
        <f t="shared" si="2"/>
        <v>1.6799999999999997</v>
      </c>
      <c r="H4" t="s">
        <v>102</v>
      </c>
      <c r="I4">
        <v>105</v>
      </c>
      <c r="J4">
        <v>110</v>
      </c>
      <c r="K4">
        <v>90</v>
      </c>
      <c r="L4">
        <v>95</v>
      </c>
      <c r="M4">
        <v>92</v>
      </c>
      <c r="N4">
        <f t="shared" si="0"/>
        <v>98.4</v>
      </c>
      <c r="O4" s="20">
        <f t="shared" si="1"/>
        <v>249.93600000000001</v>
      </c>
    </row>
    <row r="5" spans="1:15" x14ac:dyDescent="0.25">
      <c r="A5" s="22" t="s">
        <v>12</v>
      </c>
      <c r="B5" t="s">
        <v>68</v>
      </c>
      <c r="C5">
        <v>77</v>
      </c>
      <c r="D5">
        <v>4.28</v>
      </c>
      <c r="E5">
        <v>0.68</v>
      </c>
      <c r="F5">
        <f t="shared" si="2"/>
        <v>3.6</v>
      </c>
      <c r="H5" t="s">
        <v>103</v>
      </c>
      <c r="I5">
        <v>106</v>
      </c>
      <c r="J5">
        <v>84</v>
      </c>
      <c r="K5">
        <v>89</v>
      </c>
      <c r="L5">
        <v>97</v>
      </c>
      <c r="M5">
        <v>93</v>
      </c>
      <c r="N5">
        <f t="shared" si="0"/>
        <v>93.8</v>
      </c>
      <c r="O5" s="20">
        <f t="shared" si="1"/>
        <v>238.25200000000001</v>
      </c>
    </row>
    <row r="6" spans="1:15" x14ac:dyDescent="0.25">
      <c r="A6" s="22" t="s">
        <v>13</v>
      </c>
      <c r="B6" t="s">
        <v>69</v>
      </c>
      <c r="C6">
        <v>42</v>
      </c>
      <c r="D6">
        <v>2.58</v>
      </c>
      <c r="E6">
        <v>0.68</v>
      </c>
      <c r="F6">
        <f t="shared" si="2"/>
        <v>1.9</v>
      </c>
      <c r="H6" t="s">
        <v>104</v>
      </c>
      <c r="I6">
        <v>52</v>
      </c>
      <c r="J6">
        <v>80</v>
      </c>
      <c r="K6">
        <v>72</v>
      </c>
      <c r="L6">
        <v>60</v>
      </c>
      <c r="M6">
        <v>64</v>
      </c>
      <c r="N6">
        <f t="shared" si="0"/>
        <v>65.599999999999994</v>
      </c>
      <c r="O6" s="20">
        <f t="shared" si="1"/>
        <v>166.624</v>
      </c>
    </row>
    <row r="7" spans="1:15" x14ac:dyDescent="0.25">
      <c r="A7" s="22" t="s">
        <v>14</v>
      </c>
      <c r="B7" t="s">
        <v>70</v>
      </c>
      <c r="C7">
        <v>160</v>
      </c>
      <c r="D7">
        <v>5.5</v>
      </c>
      <c r="E7">
        <v>0.68</v>
      </c>
      <c r="F7">
        <f t="shared" si="2"/>
        <v>4.82</v>
      </c>
      <c r="H7" t="s">
        <v>105</v>
      </c>
      <c r="I7">
        <v>62</v>
      </c>
      <c r="J7">
        <v>54</v>
      </c>
      <c r="K7">
        <v>64</v>
      </c>
      <c r="L7">
        <v>50</v>
      </c>
      <c r="M7">
        <v>52</v>
      </c>
      <c r="N7">
        <f t="shared" si="0"/>
        <v>56.4</v>
      </c>
      <c r="O7" s="20">
        <f t="shared" si="1"/>
        <v>143.256</v>
      </c>
    </row>
    <row r="8" spans="1:15" x14ac:dyDescent="0.25">
      <c r="A8" s="22" t="s">
        <v>15</v>
      </c>
      <c r="B8" t="s">
        <v>170</v>
      </c>
      <c r="C8">
        <v>80</v>
      </c>
      <c r="D8">
        <v>4.54</v>
      </c>
      <c r="E8">
        <v>0.68</v>
      </c>
      <c r="F8">
        <f t="shared" si="2"/>
        <v>3.86</v>
      </c>
      <c r="H8" t="s">
        <v>106</v>
      </c>
      <c r="I8">
        <v>72</v>
      </c>
      <c r="J8">
        <v>63</v>
      </c>
      <c r="K8">
        <v>66</v>
      </c>
      <c r="L8">
        <v>72</v>
      </c>
      <c r="M8">
        <v>73</v>
      </c>
      <c r="N8">
        <f t="shared" si="0"/>
        <v>69.2</v>
      </c>
      <c r="O8" s="20">
        <f t="shared" si="1"/>
        <v>175.768</v>
      </c>
    </row>
    <row r="9" spans="1:15" x14ac:dyDescent="0.25">
      <c r="A9" s="22" t="s">
        <v>16</v>
      </c>
      <c r="B9" t="s">
        <v>171</v>
      </c>
      <c r="C9">
        <v>137</v>
      </c>
      <c r="D9">
        <v>3.3</v>
      </c>
      <c r="E9">
        <v>0.68</v>
      </c>
      <c r="F9">
        <f t="shared" si="2"/>
        <v>2.6199999999999997</v>
      </c>
      <c r="H9" t="s">
        <v>107</v>
      </c>
      <c r="I9">
        <v>76</v>
      </c>
      <c r="J9">
        <v>59</v>
      </c>
      <c r="K9">
        <v>67</v>
      </c>
      <c r="L9">
        <v>58</v>
      </c>
      <c r="M9">
        <v>58</v>
      </c>
      <c r="N9">
        <f t="shared" si="0"/>
        <v>63.6</v>
      </c>
      <c r="O9" s="20">
        <f t="shared" si="1"/>
        <v>161.54400000000001</v>
      </c>
    </row>
    <row r="10" spans="1:15" x14ac:dyDescent="0.25">
      <c r="A10" s="22" t="s">
        <v>17</v>
      </c>
      <c r="B10" t="s">
        <v>172</v>
      </c>
      <c r="C10">
        <v>199</v>
      </c>
      <c r="D10">
        <v>6.5</v>
      </c>
      <c r="E10">
        <v>0.68</v>
      </c>
      <c r="F10">
        <f t="shared" si="2"/>
        <v>5.82</v>
      </c>
      <c r="H10" t="s">
        <v>108</v>
      </c>
      <c r="I10">
        <v>77</v>
      </c>
      <c r="J10">
        <v>68</v>
      </c>
      <c r="K10">
        <v>69</v>
      </c>
      <c r="L10">
        <v>70</v>
      </c>
      <c r="M10">
        <v>72</v>
      </c>
      <c r="N10">
        <f t="shared" si="0"/>
        <v>71.2</v>
      </c>
      <c r="O10" s="20">
        <f t="shared" si="1"/>
        <v>180.84800000000001</v>
      </c>
    </row>
    <row r="11" spans="1:15" x14ac:dyDescent="0.25">
      <c r="A11" s="22" t="s">
        <v>18</v>
      </c>
      <c r="B11" t="s">
        <v>173</v>
      </c>
      <c r="C11">
        <v>116</v>
      </c>
      <c r="D11">
        <v>4.8600000000000003</v>
      </c>
      <c r="E11">
        <v>0.68</v>
      </c>
      <c r="F11">
        <f t="shared" si="2"/>
        <v>4.1800000000000006</v>
      </c>
      <c r="H11" t="s">
        <v>136</v>
      </c>
      <c r="I11">
        <v>103</v>
      </c>
      <c r="J11">
        <v>91</v>
      </c>
      <c r="K11">
        <v>80</v>
      </c>
      <c r="L11">
        <v>102</v>
      </c>
      <c r="M11">
        <v>106</v>
      </c>
      <c r="N11">
        <f t="shared" si="0"/>
        <v>96.4</v>
      </c>
      <c r="O11" s="20">
        <f t="shared" si="1"/>
        <v>244.85600000000002</v>
      </c>
    </row>
    <row r="12" spans="1:15" x14ac:dyDescent="0.25">
      <c r="A12" s="22" t="s">
        <v>19</v>
      </c>
      <c r="B12" t="s">
        <v>174</v>
      </c>
      <c r="C12">
        <v>88</v>
      </c>
      <c r="D12">
        <v>5.52</v>
      </c>
      <c r="E12">
        <v>0.68</v>
      </c>
      <c r="F12">
        <f t="shared" si="2"/>
        <v>4.84</v>
      </c>
      <c r="H12" t="s">
        <v>109</v>
      </c>
      <c r="I12">
        <v>100</v>
      </c>
      <c r="J12">
        <v>79</v>
      </c>
      <c r="K12">
        <v>85</v>
      </c>
      <c r="L12">
        <v>90</v>
      </c>
      <c r="M12">
        <v>80</v>
      </c>
      <c r="N12">
        <f t="shared" si="0"/>
        <v>86.8</v>
      </c>
      <c r="O12" s="20">
        <f t="shared" si="1"/>
        <v>220.47200000000001</v>
      </c>
    </row>
    <row r="13" spans="1:15" x14ac:dyDescent="0.25">
      <c r="A13" s="22" t="s">
        <v>20</v>
      </c>
      <c r="B13" t="s">
        <v>152</v>
      </c>
      <c r="C13">
        <v>195</v>
      </c>
      <c r="D13">
        <v>5.82</v>
      </c>
      <c r="E13">
        <v>0.68</v>
      </c>
      <c r="F13">
        <f t="shared" si="2"/>
        <v>5.1400000000000006</v>
      </c>
      <c r="H13" t="s">
        <v>110</v>
      </c>
      <c r="I13">
        <v>92</v>
      </c>
      <c r="J13">
        <v>76</v>
      </c>
      <c r="K13">
        <v>81</v>
      </c>
      <c r="L13">
        <v>92</v>
      </c>
      <c r="M13">
        <v>96</v>
      </c>
      <c r="N13">
        <f t="shared" si="0"/>
        <v>87.4</v>
      </c>
      <c r="O13" s="20">
        <f t="shared" si="1"/>
        <v>221.99600000000001</v>
      </c>
    </row>
    <row r="14" spans="1:15" x14ac:dyDescent="0.25">
      <c r="A14" s="22" t="s">
        <v>76</v>
      </c>
      <c r="B14" t="s">
        <v>151</v>
      </c>
      <c r="C14">
        <v>93</v>
      </c>
      <c r="D14">
        <v>8.7200000000000006</v>
      </c>
      <c r="E14">
        <v>0.68</v>
      </c>
      <c r="F14">
        <f t="shared" si="2"/>
        <v>8.0400000000000009</v>
      </c>
      <c r="H14" t="s">
        <v>111</v>
      </c>
      <c r="I14">
        <v>76</v>
      </c>
      <c r="J14">
        <v>72</v>
      </c>
      <c r="K14">
        <v>63</v>
      </c>
      <c r="L14">
        <v>77</v>
      </c>
      <c r="M14">
        <v>60</v>
      </c>
      <c r="N14">
        <f t="shared" si="0"/>
        <v>69.599999999999994</v>
      </c>
      <c r="O14" s="20">
        <f t="shared" si="1"/>
        <v>176.78399999999999</v>
      </c>
    </row>
    <row r="15" spans="1:15" x14ac:dyDescent="0.25">
      <c r="A15" s="22" t="s">
        <v>77</v>
      </c>
      <c r="B15" t="s">
        <v>169</v>
      </c>
      <c r="C15">
        <v>86</v>
      </c>
      <c r="D15">
        <v>8.1199999999999992</v>
      </c>
      <c r="E15">
        <v>0.68</v>
      </c>
      <c r="F15">
        <f t="shared" si="2"/>
        <v>7.4399999999999995</v>
      </c>
      <c r="H15" t="s">
        <v>112</v>
      </c>
      <c r="I15">
        <v>93</v>
      </c>
      <c r="J15">
        <v>103</v>
      </c>
      <c r="K15">
        <v>80</v>
      </c>
      <c r="L15">
        <v>82</v>
      </c>
      <c r="M15">
        <v>77</v>
      </c>
      <c r="N15">
        <f t="shared" si="0"/>
        <v>87</v>
      </c>
      <c r="O15" s="20">
        <f t="shared" si="1"/>
        <v>220.98</v>
      </c>
    </row>
    <row r="16" spans="1:15" x14ac:dyDescent="0.25">
      <c r="A16" s="22" t="s">
        <v>78</v>
      </c>
      <c r="B16" t="s">
        <v>154</v>
      </c>
      <c r="C16">
        <v>87</v>
      </c>
      <c r="D16">
        <v>6.42</v>
      </c>
      <c r="E16">
        <v>0.68</v>
      </c>
      <c r="F16">
        <f t="shared" si="2"/>
        <v>5.74</v>
      </c>
      <c r="H16" t="s">
        <v>246</v>
      </c>
      <c r="I16">
        <v>114</v>
      </c>
      <c r="J16">
        <v>116</v>
      </c>
      <c r="K16">
        <v>118</v>
      </c>
      <c r="L16">
        <v>114</v>
      </c>
      <c r="M16">
        <v>114</v>
      </c>
      <c r="N16">
        <f t="shared" si="0"/>
        <v>115.2</v>
      </c>
      <c r="O16" s="20">
        <f t="shared" si="1"/>
        <v>292.608</v>
      </c>
    </row>
    <row r="17" spans="1:15" x14ac:dyDescent="0.25">
      <c r="A17" s="22" t="s">
        <v>79</v>
      </c>
      <c r="B17" t="s">
        <v>153</v>
      </c>
      <c r="C17">
        <v>60</v>
      </c>
      <c r="D17">
        <v>3.78</v>
      </c>
      <c r="E17">
        <v>0.68</v>
      </c>
      <c r="F17">
        <f t="shared" si="2"/>
        <v>3.0999999999999996</v>
      </c>
      <c r="H17" t="s">
        <v>114</v>
      </c>
      <c r="I17">
        <v>80</v>
      </c>
      <c r="J17">
        <v>87</v>
      </c>
      <c r="K17">
        <v>77</v>
      </c>
      <c r="L17">
        <v>100</v>
      </c>
      <c r="M17">
        <v>66</v>
      </c>
      <c r="N17">
        <f t="shared" si="0"/>
        <v>82</v>
      </c>
      <c r="O17" s="20">
        <f t="shared" si="1"/>
        <v>208.28</v>
      </c>
    </row>
    <row r="18" spans="1:15" x14ac:dyDescent="0.25">
      <c r="A18" s="22" t="s">
        <v>80</v>
      </c>
      <c r="B18" t="s">
        <v>252</v>
      </c>
      <c r="C18">
        <v>198</v>
      </c>
      <c r="D18">
        <v>4.8</v>
      </c>
      <c r="E18">
        <v>0.68</v>
      </c>
      <c r="F18">
        <f t="shared" si="2"/>
        <v>4.12</v>
      </c>
      <c r="H18" t="s">
        <v>115</v>
      </c>
      <c r="I18">
        <v>82</v>
      </c>
      <c r="J18">
        <v>72</v>
      </c>
      <c r="K18">
        <v>87</v>
      </c>
      <c r="L18">
        <v>77</v>
      </c>
      <c r="N18">
        <f>AVERAGE(I18,J18,K18,L18)</f>
        <v>79.5</v>
      </c>
      <c r="O18" s="20">
        <f t="shared" si="1"/>
        <v>201.93</v>
      </c>
    </row>
    <row r="19" spans="1:15" x14ac:dyDescent="0.25">
      <c r="A19" s="22" t="s">
        <v>81</v>
      </c>
      <c r="B19" t="s">
        <v>75</v>
      </c>
      <c r="C19">
        <v>320</v>
      </c>
      <c r="D19">
        <v>5.38</v>
      </c>
      <c r="E19">
        <v>0.68</v>
      </c>
      <c r="F19">
        <f t="shared" si="2"/>
        <v>4.7</v>
      </c>
      <c r="H19" t="s">
        <v>116</v>
      </c>
      <c r="I19">
        <v>65</v>
      </c>
      <c r="J19">
        <v>78</v>
      </c>
      <c r="K19">
        <v>80</v>
      </c>
      <c r="L19">
        <v>82</v>
      </c>
      <c r="M19">
        <v>70</v>
      </c>
      <c r="N19">
        <f t="shared" ref="N19:N35" si="3">AVERAGE(I19,J19,K19,L19,M19)</f>
        <v>75</v>
      </c>
      <c r="O19" s="20">
        <f t="shared" si="1"/>
        <v>190.5</v>
      </c>
    </row>
    <row r="20" spans="1:15" x14ac:dyDescent="0.25">
      <c r="A20" s="21" t="s">
        <v>82</v>
      </c>
      <c r="B20" t="s">
        <v>70</v>
      </c>
      <c r="C20">
        <v>97</v>
      </c>
      <c r="D20">
        <v>5.24</v>
      </c>
      <c r="E20">
        <v>0.68</v>
      </c>
      <c r="F20">
        <f t="shared" si="2"/>
        <v>4.5600000000000005</v>
      </c>
      <c r="H20" t="s">
        <v>117</v>
      </c>
      <c r="I20">
        <v>88</v>
      </c>
      <c r="J20">
        <v>90</v>
      </c>
      <c r="K20">
        <v>76</v>
      </c>
      <c r="L20">
        <v>78</v>
      </c>
      <c r="M20">
        <v>74</v>
      </c>
      <c r="N20">
        <f t="shared" si="3"/>
        <v>81.2</v>
      </c>
      <c r="O20" s="20">
        <f t="shared" si="1"/>
        <v>206.24800000000002</v>
      </c>
    </row>
    <row r="21" spans="1:15" x14ac:dyDescent="0.25">
      <c r="A21" s="21" t="s">
        <v>83</v>
      </c>
      <c r="B21" t="s">
        <v>152</v>
      </c>
      <c r="C21">
        <v>160</v>
      </c>
      <c r="D21">
        <v>6.76</v>
      </c>
      <c r="E21">
        <v>0.68</v>
      </c>
      <c r="F21">
        <f t="shared" si="2"/>
        <v>6.08</v>
      </c>
      <c r="H21" t="s">
        <v>118</v>
      </c>
      <c r="I21">
        <v>110</v>
      </c>
      <c r="J21">
        <v>108</v>
      </c>
      <c r="K21">
        <v>90</v>
      </c>
      <c r="L21">
        <v>93</v>
      </c>
      <c r="M21">
        <v>102</v>
      </c>
      <c r="N21">
        <f t="shared" si="3"/>
        <v>100.6</v>
      </c>
      <c r="O21" s="20">
        <f t="shared" si="1"/>
        <v>255.524</v>
      </c>
    </row>
    <row r="22" spans="1:15" x14ac:dyDescent="0.25">
      <c r="A22" s="21" t="s">
        <v>84</v>
      </c>
      <c r="B22" t="s">
        <v>68</v>
      </c>
      <c r="C22">
        <v>77</v>
      </c>
      <c r="D22">
        <v>4.72</v>
      </c>
      <c r="E22">
        <v>0.68</v>
      </c>
      <c r="F22">
        <f t="shared" si="2"/>
        <v>4.04</v>
      </c>
      <c r="H22" t="s">
        <v>119</v>
      </c>
      <c r="I22">
        <v>84</v>
      </c>
      <c r="J22">
        <v>90</v>
      </c>
      <c r="K22">
        <v>100</v>
      </c>
      <c r="L22">
        <v>97</v>
      </c>
      <c r="M22">
        <v>96</v>
      </c>
      <c r="N22">
        <f t="shared" si="3"/>
        <v>93.4</v>
      </c>
      <c r="O22" s="20">
        <f t="shared" si="1"/>
        <v>237.23600000000002</v>
      </c>
    </row>
    <row r="23" spans="1:15" x14ac:dyDescent="0.25">
      <c r="A23" s="21" t="s">
        <v>85</v>
      </c>
      <c r="B23" t="s">
        <v>151</v>
      </c>
      <c r="C23">
        <v>68</v>
      </c>
      <c r="D23">
        <v>6.18</v>
      </c>
      <c r="E23">
        <v>0.68</v>
      </c>
      <c r="F23">
        <f t="shared" si="2"/>
        <v>5.5</v>
      </c>
      <c r="H23" t="s">
        <v>120</v>
      </c>
      <c r="I23">
        <v>99</v>
      </c>
      <c r="J23">
        <v>95</v>
      </c>
      <c r="K23">
        <v>86</v>
      </c>
      <c r="L23">
        <v>83</v>
      </c>
      <c r="M23">
        <v>87</v>
      </c>
      <c r="N23">
        <f t="shared" si="3"/>
        <v>90</v>
      </c>
      <c r="O23" s="20">
        <f t="shared" si="1"/>
        <v>228.6</v>
      </c>
    </row>
    <row r="24" spans="1:15" x14ac:dyDescent="0.25">
      <c r="A24" s="21" t="s">
        <v>86</v>
      </c>
      <c r="B24" t="s">
        <v>65</v>
      </c>
      <c r="C24">
        <v>89</v>
      </c>
      <c r="D24">
        <v>2.97</v>
      </c>
      <c r="E24">
        <v>0.68</v>
      </c>
      <c r="F24">
        <f t="shared" si="2"/>
        <v>2.29</v>
      </c>
      <c r="H24" t="s">
        <v>121</v>
      </c>
      <c r="I24">
        <v>76</v>
      </c>
      <c r="J24">
        <v>75</v>
      </c>
      <c r="K24">
        <v>80</v>
      </c>
      <c r="L24">
        <v>85</v>
      </c>
      <c r="M24">
        <v>87</v>
      </c>
      <c r="N24">
        <f t="shared" si="3"/>
        <v>80.599999999999994</v>
      </c>
      <c r="O24" s="20">
        <f t="shared" si="1"/>
        <v>204.72399999999999</v>
      </c>
    </row>
    <row r="25" spans="1:15" x14ac:dyDescent="0.25">
      <c r="A25" s="21" t="s">
        <v>87</v>
      </c>
      <c r="B25" t="s">
        <v>172</v>
      </c>
      <c r="C25">
        <v>93</v>
      </c>
      <c r="D25">
        <v>4</v>
      </c>
      <c r="E25">
        <v>0.68</v>
      </c>
      <c r="F25">
        <f t="shared" si="2"/>
        <v>3.32</v>
      </c>
      <c r="H25" t="s">
        <v>122</v>
      </c>
      <c r="I25">
        <v>65</v>
      </c>
      <c r="J25">
        <v>80</v>
      </c>
      <c r="K25">
        <v>82</v>
      </c>
      <c r="L25">
        <v>62</v>
      </c>
      <c r="M25">
        <v>64</v>
      </c>
      <c r="N25">
        <f t="shared" si="3"/>
        <v>70.599999999999994</v>
      </c>
      <c r="O25" s="20">
        <f t="shared" si="1"/>
        <v>179.32399999999998</v>
      </c>
    </row>
    <row r="26" spans="1:15" x14ac:dyDescent="0.25">
      <c r="A26" s="21" t="s">
        <v>88</v>
      </c>
      <c r="B26" t="s">
        <v>153</v>
      </c>
      <c r="C26">
        <v>35</v>
      </c>
      <c r="D26">
        <v>2.74</v>
      </c>
      <c r="E26">
        <v>0.68</v>
      </c>
      <c r="F26">
        <f t="shared" si="2"/>
        <v>2.06</v>
      </c>
      <c r="H26" t="s">
        <v>123</v>
      </c>
      <c r="I26">
        <v>100</v>
      </c>
      <c r="J26">
        <v>76</v>
      </c>
      <c r="K26">
        <v>90</v>
      </c>
      <c r="L26">
        <v>92</v>
      </c>
      <c r="M26">
        <v>100</v>
      </c>
      <c r="N26">
        <f t="shared" si="3"/>
        <v>91.6</v>
      </c>
      <c r="O26" s="20">
        <f t="shared" si="1"/>
        <v>232.66399999999999</v>
      </c>
    </row>
    <row r="27" spans="1:15" x14ac:dyDescent="0.25">
      <c r="A27" s="21" t="s">
        <v>89</v>
      </c>
      <c r="B27" t="s">
        <v>173</v>
      </c>
      <c r="C27">
        <v>197</v>
      </c>
      <c r="D27">
        <v>4.76</v>
      </c>
      <c r="E27">
        <v>0.68</v>
      </c>
      <c r="F27">
        <f t="shared" si="2"/>
        <v>4.08</v>
      </c>
      <c r="H27" t="s">
        <v>124</v>
      </c>
      <c r="I27">
        <v>95</v>
      </c>
      <c r="J27">
        <v>90</v>
      </c>
      <c r="K27">
        <v>76</v>
      </c>
      <c r="L27">
        <v>80</v>
      </c>
      <c r="M27">
        <v>85</v>
      </c>
      <c r="N27">
        <f t="shared" si="3"/>
        <v>85.2</v>
      </c>
      <c r="O27" s="20">
        <f t="shared" si="1"/>
        <v>216.40800000000002</v>
      </c>
    </row>
    <row r="28" spans="1:15" x14ac:dyDescent="0.25">
      <c r="A28" s="21" t="s">
        <v>90</v>
      </c>
      <c r="B28" t="s">
        <v>171</v>
      </c>
      <c r="C28">
        <v>148</v>
      </c>
      <c r="D28">
        <v>3.62</v>
      </c>
      <c r="E28">
        <v>0.68</v>
      </c>
      <c r="F28">
        <f t="shared" si="2"/>
        <v>2.94</v>
      </c>
      <c r="H28" t="s">
        <v>125</v>
      </c>
      <c r="I28">
        <v>65</v>
      </c>
      <c r="J28">
        <v>64</v>
      </c>
      <c r="K28">
        <v>60</v>
      </c>
      <c r="L28">
        <v>68</v>
      </c>
      <c r="M28">
        <v>68</v>
      </c>
      <c r="N28">
        <f t="shared" si="3"/>
        <v>65</v>
      </c>
      <c r="O28" s="20">
        <f t="shared" si="1"/>
        <v>165.1</v>
      </c>
    </row>
    <row r="29" spans="1:15" x14ac:dyDescent="0.25">
      <c r="A29" s="21" t="s">
        <v>91</v>
      </c>
      <c r="B29" t="s">
        <v>168</v>
      </c>
      <c r="C29">
        <v>34</v>
      </c>
      <c r="D29">
        <v>3.78</v>
      </c>
      <c r="E29">
        <v>0.68</v>
      </c>
      <c r="F29">
        <f t="shared" si="2"/>
        <v>3.0999999999999996</v>
      </c>
      <c r="H29" t="s">
        <v>126</v>
      </c>
      <c r="I29">
        <v>115</v>
      </c>
      <c r="J29">
        <v>100</v>
      </c>
      <c r="K29">
        <v>90</v>
      </c>
      <c r="L29">
        <v>80</v>
      </c>
      <c r="M29">
        <v>116</v>
      </c>
      <c r="N29">
        <f t="shared" si="3"/>
        <v>100.2</v>
      </c>
      <c r="O29" s="20">
        <f t="shared" si="1"/>
        <v>254.50800000000001</v>
      </c>
    </row>
    <row r="30" spans="1:15" x14ac:dyDescent="0.25">
      <c r="A30" s="21" t="s">
        <v>92</v>
      </c>
      <c r="B30" t="s">
        <v>75</v>
      </c>
      <c r="C30">
        <v>108</v>
      </c>
      <c r="D30">
        <v>4.88</v>
      </c>
      <c r="E30">
        <v>0.68</v>
      </c>
      <c r="F30">
        <f t="shared" si="2"/>
        <v>4.2</v>
      </c>
      <c r="H30" t="s">
        <v>245</v>
      </c>
      <c r="I30">
        <v>85</v>
      </c>
      <c r="J30">
        <v>75</v>
      </c>
      <c r="K30">
        <v>76</v>
      </c>
      <c r="L30">
        <v>85</v>
      </c>
      <c r="M30">
        <v>82</v>
      </c>
      <c r="N30">
        <f t="shared" si="3"/>
        <v>80.599999999999994</v>
      </c>
      <c r="O30" s="20">
        <f t="shared" si="1"/>
        <v>204.72399999999999</v>
      </c>
    </row>
    <row r="31" spans="1:15" x14ac:dyDescent="0.25">
      <c r="A31" s="21" t="s">
        <v>93</v>
      </c>
      <c r="B31" t="s">
        <v>167</v>
      </c>
      <c r="C31">
        <v>131</v>
      </c>
      <c r="D31">
        <v>5.6</v>
      </c>
      <c r="E31">
        <v>0.68</v>
      </c>
      <c r="F31">
        <f t="shared" si="2"/>
        <v>4.92</v>
      </c>
      <c r="H31" t="s">
        <v>128</v>
      </c>
      <c r="I31">
        <v>67</v>
      </c>
      <c r="J31">
        <v>71</v>
      </c>
      <c r="K31">
        <v>52</v>
      </c>
      <c r="L31">
        <v>66</v>
      </c>
      <c r="M31">
        <v>62</v>
      </c>
      <c r="N31">
        <f t="shared" si="3"/>
        <v>63.6</v>
      </c>
      <c r="O31" s="20">
        <f t="shared" si="1"/>
        <v>161.54400000000001</v>
      </c>
    </row>
    <row r="32" spans="1:15" x14ac:dyDescent="0.25">
      <c r="A32" s="21" t="s">
        <v>94</v>
      </c>
      <c r="B32" t="s">
        <v>69</v>
      </c>
      <c r="C32">
        <v>59</v>
      </c>
      <c r="D32">
        <v>2.66</v>
      </c>
      <c r="E32">
        <v>0.68</v>
      </c>
      <c r="F32">
        <f t="shared" si="2"/>
        <v>1.98</v>
      </c>
      <c r="H32" t="s">
        <v>129</v>
      </c>
      <c r="I32">
        <v>70</v>
      </c>
      <c r="J32">
        <v>50</v>
      </c>
      <c r="K32">
        <v>60</v>
      </c>
      <c r="L32">
        <v>69</v>
      </c>
      <c r="M32">
        <v>68</v>
      </c>
      <c r="N32">
        <f t="shared" si="3"/>
        <v>63.4</v>
      </c>
      <c r="O32" s="20">
        <f t="shared" si="1"/>
        <v>161.036</v>
      </c>
    </row>
    <row r="33" spans="1:15" x14ac:dyDescent="0.25">
      <c r="A33" s="21" t="s">
        <v>95</v>
      </c>
      <c r="B33" t="s">
        <v>170</v>
      </c>
      <c r="C33">
        <v>85</v>
      </c>
      <c r="D33">
        <v>3.36</v>
      </c>
      <c r="E33">
        <v>0.68</v>
      </c>
      <c r="F33">
        <f t="shared" si="2"/>
        <v>2.6799999999999997</v>
      </c>
      <c r="H33" t="s">
        <v>130</v>
      </c>
      <c r="I33">
        <v>50</v>
      </c>
      <c r="J33">
        <v>57</v>
      </c>
      <c r="K33">
        <v>70</v>
      </c>
      <c r="L33">
        <v>71</v>
      </c>
      <c r="M33">
        <v>73</v>
      </c>
      <c r="N33">
        <f t="shared" si="3"/>
        <v>64.2</v>
      </c>
      <c r="O33" s="20">
        <f t="shared" si="1"/>
        <v>163.06800000000001</v>
      </c>
    </row>
    <row r="34" spans="1:15" x14ac:dyDescent="0.25">
      <c r="A34" s="21" t="s">
        <v>96</v>
      </c>
      <c r="B34" t="s">
        <v>154</v>
      </c>
      <c r="C34">
        <v>83</v>
      </c>
      <c r="D34">
        <v>4.58</v>
      </c>
      <c r="E34">
        <v>0.68</v>
      </c>
      <c r="F34">
        <f t="shared" si="2"/>
        <v>3.9</v>
      </c>
      <c r="H34" t="s">
        <v>131</v>
      </c>
      <c r="I34">
        <v>74</v>
      </c>
      <c r="J34">
        <v>55</v>
      </c>
      <c r="K34">
        <v>47</v>
      </c>
      <c r="L34">
        <v>59</v>
      </c>
      <c r="M34">
        <v>34</v>
      </c>
      <c r="N34">
        <f t="shared" si="3"/>
        <v>53.8</v>
      </c>
      <c r="O34" s="20">
        <f t="shared" ref="O34:O61" si="4">N34*2.54</f>
        <v>136.65199999999999</v>
      </c>
    </row>
    <row r="35" spans="1:15" x14ac:dyDescent="0.25">
      <c r="A35" s="21" t="s">
        <v>97</v>
      </c>
      <c r="B35" t="s">
        <v>252</v>
      </c>
      <c r="C35">
        <v>161</v>
      </c>
      <c r="D35">
        <v>2.58</v>
      </c>
      <c r="E35">
        <v>0.68</v>
      </c>
      <c r="F35">
        <f t="shared" si="2"/>
        <v>1.9</v>
      </c>
      <c r="H35" t="s">
        <v>132</v>
      </c>
      <c r="I35">
        <v>75</v>
      </c>
      <c r="J35">
        <v>65</v>
      </c>
      <c r="K35">
        <v>60</v>
      </c>
      <c r="L35">
        <v>62</v>
      </c>
      <c r="M35">
        <v>77</v>
      </c>
      <c r="N35">
        <f t="shared" si="3"/>
        <v>67.8</v>
      </c>
      <c r="O35" s="20">
        <f t="shared" si="4"/>
        <v>172.21199999999999</v>
      </c>
    </row>
    <row r="36" spans="1:15" x14ac:dyDescent="0.25">
      <c r="A36" s="21" t="s">
        <v>98</v>
      </c>
      <c r="B36" t="s">
        <v>169</v>
      </c>
      <c r="C36">
        <v>74</v>
      </c>
      <c r="D36">
        <v>3.06</v>
      </c>
      <c r="E36">
        <v>0.68</v>
      </c>
      <c r="F36">
        <f t="shared" si="2"/>
        <v>2.38</v>
      </c>
      <c r="H36" t="s">
        <v>133</v>
      </c>
      <c r="I36">
        <v>70</v>
      </c>
      <c r="J36">
        <v>68</v>
      </c>
      <c r="K36">
        <v>67</v>
      </c>
      <c r="L36">
        <v>70</v>
      </c>
      <c r="N36">
        <f>AVERAGE(I36,J36,K36,L36)</f>
        <v>68.75</v>
      </c>
      <c r="O36" s="20">
        <f t="shared" si="4"/>
        <v>174.625</v>
      </c>
    </row>
    <row r="37" spans="1:15" x14ac:dyDescent="0.25">
      <c r="A37" s="21" t="s">
        <v>99</v>
      </c>
      <c r="B37" t="s">
        <v>174</v>
      </c>
      <c r="C37">
        <v>110</v>
      </c>
      <c r="D37">
        <v>5.44</v>
      </c>
      <c r="E37">
        <v>0.68</v>
      </c>
      <c r="F37">
        <f t="shared" si="2"/>
        <v>4.7600000000000007</v>
      </c>
      <c r="H37" t="s">
        <v>134</v>
      </c>
      <c r="I37">
        <v>60</v>
      </c>
      <c r="J37">
        <v>52</v>
      </c>
      <c r="K37">
        <v>56</v>
      </c>
      <c r="L37">
        <v>51</v>
      </c>
      <c r="M37">
        <v>54</v>
      </c>
      <c r="N37">
        <f t="shared" ref="N37:N61" si="5">AVERAGE(I37,J37,K37,L37,M37)</f>
        <v>54.6</v>
      </c>
      <c r="O37" s="20">
        <f t="shared" si="4"/>
        <v>138.684</v>
      </c>
    </row>
    <row r="38" spans="1:15" x14ac:dyDescent="0.25">
      <c r="A38" s="28" t="s">
        <v>100</v>
      </c>
      <c r="B38" t="s">
        <v>173</v>
      </c>
      <c r="C38">
        <v>72</v>
      </c>
      <c r="D38">
        <v>1.04</v>
      </c>
      <c r="E38">
        <v>0.68</v>
      </c>
      <c r="F38">
        <f t="shared" si="2"/>
        <v>0.36</v>
      </c>
      <c r="H38" t="s">
        <v>31</v>
      </c>
      <c r="I38">
        <v>74</v>
      </c>
      <c r="J38">
        <v>81</v>
      </c>
      <c r="K38">
        <v>72</v>
      </c>
      <c r="L38">
        <v>86</v>
      </c>
      <c r="M38">
        <v>70</v>
      </c>
      <c r="N38">
        <f t="shared" si="5"/>
        <v>76.599999999999994</v>
      </c>
      <c r="O38" s="20">
        <f t="shared" si="4"/>
        <v>194.56399999999999</v>
      </c>
    </row>
    <row r="39" spans="1:15" x14ac:dyDescent="0.25">
      <c r="A39" s="28" t="s">
        <v>101</v>
      </c>
      <c r="B39" t="s">
        <v>69</v>
      </c>
      <c r="C39">
        <v>37</v>
      </c>
      <c r="D39">
        <v>2.2400000000000002</v>
      </c>
      <c r="E39">
        <v>0.68</v>
      </c>
      <c r="F39">
        <f t="shared" si="2"/>
        <v>1.56</v>
      </c>
      <c r="H39" t="s">
        <v>32</v>
      </c>
      <c r="I39">
        <v>101</v>
      </c>
      <c r="J39">
        <v>91</v>
      </c>
      <c r="K39">
        <v>92</v>
      </c>
      <c r="L39">
        <v>88</v>
      </c>
      <c r="M39">
        <v>93</v>
      </c>
      <c r="N39">
        <f t="shared" si="5"/>
        <v>93</v>
      </c>
      <c r="O39" s="20">
        <f t="shared" si="4"/>
        <v>236.22</v>
      </c>
    </row>
    <row r="40" spans="1:15" x14ac:dyDescent="0.25">
      <c r="A40" s="28" t="s">
        <v>102</v>
      </c>
      <c r="B40" t="s">
        <v>154</v>
      </c>
      <c r="C40">
        <v>96</v>
      </c>
      <c r="D40">
        <v>8.06</v>
      </c>
      <c r="E40">
        <v>0.68</v>
      </c>
      <c r="F40">
        <f t="shared" si="2"/>
        <v>7.3800000000000008</v>
      </c>
      <c r="H40" t="s">
        <v>33</v>
      </c>
      <c r="I40">
        <v>86</v>
      </c>
      <c r="J40">
        <v>96</v>
      </c>
      <c r="K40">
        <v>98</v>
      </c>
      <c r="L40">
        <v>95</v>
      </c>
      <c r="M40">
        <v>80</v>
      </c>
      <c r="N40">
        <f t="shared" si="5"/>
        <v>91</v>
      </c>
      <c r="O40" s="20">
        <f t="shared" si="4"/>
        <v>231.14000000000001</v>
      </c>
    </row>
    <row r="41" spans="1:15" x14ac:dyDescent="0.25">
      <c r="A41" s="28" t="s">
        <v>103</v>
      </c>
      <c r="B41" t="s">
        <v>152</v>
      </c>
      <c r="C41">
        <v>91</v>
      </c>
      <c r="D41">
        <v>7.78</v>
      </c>
      <c r="E41">
        <v>0.68</v>
      </c>
      <c r="F41">
        <f t="shared" si="2"/>
        <v>7.1000000000000005</v>
      </c>
      <c r="H41" t="s">
        <v>35</v>
      </c>
      <c r="I41">
        <v>75</v>
      </c>
      <c r="J41">
        <v>65</v>
      </c>
      <c r="K41">
        <v>62</v>
      </c>
      <c r="L41">
        <v>78</v>
      </c>
      <c r="M41">
        <v>71</v>
      </c>
      <c r="N41">
        <f t="shared" si="5"/>
        <v>70.2</v>
      </c>
      <c r="O41" s="20">
        <f t="shared" si="4"/>
        <v>178.30800000000002</v>
      </c>
    </row>
    <row r="42" spans="1:15" x14ac:dyDescent="0.25">
      <c r="A42" s="28" t="s">
        <v>104</v>
      </c>
      <c r="B42" t="s">
        <v>167</v>
      </c>
      <c r="C42">
        <v>83</v>
      </c>
      <c r="D42">
        <v>2.92</v>
      </c>
      <c r="E42">
        <v>0.68</v>
      </c>
      <c r="F42">
        <f t="shared" si="2"/>
        <v>2.2399999999999998</v>
      </c>
      <c r="H42" t="s">
        <v>36</v>
      </c>
      <c r="I42">
        <v>75</v>
      </c>
      <c r="J42">
        <v>70</v>
      </c>
      <c r="K42">
        <v>64</v>
      </c>
      <c r="L42">
        <v>68</v>
      </c>
      <c r="M42">
        <v>72</v>
      </c>
      <c r="N42">
        <f t="shared" si="5"/>
        <v>69.8</v>
      </c>
      <c r="O42" s="20">
        <f t="shared" si="4"/>
        <v>177.292</v>
      </c>
    </row>
    <row r="43" spans="1:15" x14ac:dyDescent="0.25">
      <c r="A43" s="28" t="s">
        <v>105</v>
      </c>
      <c r="B43" t="s">
        <v>168</v>
      </c>
      <c r="C43">
        <v>18</v>
      </c>
      <c r="D43">
        <v>1.58</v>
      </c>
      <c r="E43">
        <v>0.68</v>
      </c>
      <c r="F43">
        <f t="shared" si="2"/>
        <v>0.9</v>
      </c>
      <c r="H43" t="s">
        <v>37</v>
      </c>
      <c r="I43">
        <v>67</v>
      </c>
      <c r="J43">
        <v>68</v>
      </c>
      <c r="K43">
        <v>72</v>
      </c>
      <c r="L43">
        <v>66</v>
      </c>
      <c r="M43">
        <v>71</v>
      </c>
      <c r="N43">
        <f t="shared" si="5"/>
        <v>68.8</v>
      </c>
      <c r="O43" s="20">
        <f t="shared" si="4"/>
        <v>174.75199999999998</v>
      </c>
    </row>
    <row r="44" spans="1:15" x14ac:dyDescent="0.25">
      <c r="A44" s="28" t="s">
        <v>106</v>
      </c>
      <c r="B44" t="s">
        <v>65</v>
      </c>
      <c r="C44">
        <v>57</v>
      </c>
      <c r="D44">
        <v>2.48</v>
      </c>
      <c r="E44">
        <v>0.68</v>
      </c>
      <c r="F44">
        <f t="shared" si="2"/>
        <v>1.7999999999999998</v>
      </c>
      <c r="H44" t="s">
        <v>39</v>
      </c>
      <c r="I44">
        <v>72</v>
      </c>
      <c r="J44">
        <v>76</v>
      </c>
      <c r="K44">
        <v>68</v>
      </c>
      <c r="L44">
        <v>63</v>
      </c>
      <c r="M44">
        <v>64</v>
      </c>
      <c r="N44">
        <f t="shared" si="5"/>
        <v>68.599999999999994</v>
      </c>
      <c r="O44" s="20">
        <f t="shared" si="4"/>
        <v>174.244</v>
      </c>
    </row>
    <row r="45" spans="1:15" x14ac:dyDescent="0.25">
      <c r="A45" s="28" t="s">
        <v>107</v>
      </c>
      <c r="B45" t="s">
        <v>68</v>
      </c>
      <c r="C45">
        <v>61</v>
      </c>
      <c r="D45">
        <v>3.4</v>
      </c>
      <c r="E45">
        <v>0.68</v>
      </c>
      <c r="F45">
        <f t="shared" si="2"/>
        <v>2.7199999999999998</v>
      </c>
      <c r="H45" t="s">
        <v>40</v>
      </c>
      <c r="I45">
        <v>100</v>
      </c>
      <c r="J45">
        <v>90</v>
      </c>
      <c r="K45">
        <v>93</v>
      </c>
      <c r="L45">
        <v>100</v>
      </c>
      <c r="M45">
        <v>92</v>
      </c>
      <c r="N45">
        <f t="shared" si="5"/>
        <v>95</v>
      </c>
      <c r="O45" s="20">
        <f t="shared" si="4"/>
        <v>241.3</v>
      </c>
    </row>
    <row r="46" spans="1:15" x14ac:dyDescent="0.25">
      <c r="A46" s="28" t="s">
        <v>108</v>
      </c>
      <c r="B46" t="s">
        <v>153</v>
      </c>
      <c r="C46">
        <v>39</v>
      </c>
      <c r="D46">
        <v>2.12</v>
      </c>
      <c r="E46">
        <v>0.68</v>
      </c>
      <c r="F46">
        <f t="shared" si="2"/>
        <v>1.44</v>
      </c>
      <c r="H46" t="s">
        <v>41</v>
      </c>
      <c r="I46">
        <v>60</v>
      </c>
      <c r="J46">
        <v>79</v>
      </c>
      <c r="K46">
        <v>89</v>
      </c>
      <c r="L46">
        <v>75</v>
      </c>
      <c r="M46">
        <v>78</v>
      </c>
      <c r="N46">
        <f t="shared" si="5"/>
        <v>76.2</v>
      </c>
      <c r="O46" s="20">
        <f t="shared" si="4"/>
        <v>193.548</v>
      </c>
    </row>
    <row r="47" spans="1:15" x14ac:dyDescent="0.25">
      <c r="A47" s="28" t="s">
        <v>136</v>
      </c>
      <c r="B47" t="s">
        <v>169</v>
      </c>
      <c r="C47">
        <v>60</v>
      </c>
      <c r="D47">
        <v>6.14</v>
      </c>
      <c r="E47">
        <v>0.68</v>
      </c>
      <c r="F47">
        <f t="shared" si="2"/>
        <v>5.46</v>
      </c>
      <c r="H47" t="s">
        <v>43</v>
      </c>
      <c r="I47">
        <v>88</v>
      </c>
      <c r="J47">
        <v>90</v>
      </c>
      <c r="K47">
        <v>86</v>
      </c>
      <c r="L47">
        <v>77</v>
      </c>
      <c r="M47">
        <v>76</v>
      </c>
      <c r="N47">
        <f t="shared" si="5"/>
        <v>83.4</v>
      </c>
      <c r="O47" s="20">
        <f t="shared" si="4"/>
        <v>211.83600000000001</v>
      </c>
    </row>
    <row r="48" spans="1:15" x14ac:dyDescent="0.25">
      <c r="A48" s="28" t="s">
        <v>109</v>
      </c>
      <c r="B48" t="s">
        <v>75</v>
      </c>
      <c r="C48">
        <v>54</v>
      </c>
      <c r="D48">
        <v>4.46</v>
      </c>
      <c r="E48">
        <v>0.68</v>
      </c>
      <c r="F48">
        <f t="shared" si="2"/>
        <v>3.78</v>
      </c>
      <c r="H48" t="s">
        <v>44</v>
      </c>
      <c r="I48">
        <v>81</v>
      </c>
      <c r="J48">
        <v>80</v>
      </c>
      <c r="K48">
        <v>82</v>
      </c>
      <c r="L48">
        <v>90</v>
      </c>
      <c r="M48">
        <v>74</v>
      </c>
      <c r="N48">
        <f t="shared" si="5"/>
        <v>81.400000000000006</v>
      </c>
      <c r="O48" s="20">
        <f t="shared" si="4"/>
        <v>206.75600000000003</v>
      </c>
    </row>
    <row r="49" spans="1:15" x14ac:dyDescent="0.25">
      <c r="A49" s="28" t="s">
        <v>110</v>
      </c>
      <c r="B49" t="s">
        <v>253</v>
      </c>
      <c r="C49">
        <v>79</v>
      </c>
      <c r="D49">
        <v>4.62</v>
      </c>
      <c r="E49">
        <v>0.68</v>
      </c>
      <c r="F49">
        <f t="shared" si="2"/>
        <v>3.94</v>
      </c>
      <c r="H49" t="s">
        <v>45</v>
      </c>
      <c r="I49">
        <v>73</v>
      </c>
      <c r="J49">
        <v>66</v>
      </c>
      <c r="K49">
        <v>61</v>
      </c>
      <c r="L49">
        <v>74</v>
      </c>
      <c r="M49">
        <v>72</v>
      </c>
      <c r="N49">
        <f t="shared" si="5"/>
        <v>69.2</v>
      </c>
      <c r="O49" s="20">
        <f t="shared" si="4"/>
        <v>175.768</v>
      </c>
    </row>
    <row r="50" spans="1:15" x14ac:dyDescent="0.25">
      <c r="A50" s="28" t="s">
        <v>111</v>
      </c>
      <c r="B50" t="s">
        <v>252</v>
      </c>
      <c r="C50">
        <v>105</v>
      </c>
      <c r="D50">
        <v>4.0599999999999996</v>
      </c>
      <c r="E50">
        <v>0.68</v>
      </c>
      <c r="F50">
        <f t="shared" si="2"/>
        <v>3.3799999999999994</v>
      </c>
      <c r="H50" t="s">
        <v>135</v>
      </c>
      <c r="I50">
        <v>95</v>
      </c>
      <c r="J50">
        <v>90</v>
      </c>
      <c r="K50">
        <v>97</v>
      </c>
      <c r="L50">
        <v>92</v>
      </c>
      <c r="M50">
        <v>91</v>
      </c>
      <c r="N50">
        <f t="shared" si="5"/>
        <v>93</v>
      </c>
      <c r="O50" s="20">
        <f t="shared" si="4"/>
        <v>236.22</v>
      </c>
    </row>
    <row r="51" spans="1:15" x14ac:dyDescent="0.25">
      <c r="A51" s="28" t="s">
        <v>112</v>
      </c>
      <c r="B51" t="s">
        <v>171</v>
      </c>
      <c r="C51">
        <v>99</v>
      </c>
      <c r="D51">
        <v>3.02</v>
      </c>
      <c r="E51">
        <v>0.68</v>
      </c>
      <c r="F51">
        <f t="shared" si="2"/>
        <v>2.34</v>
      </c>
      <c r="H51" t="s">
        <v>47</v>
      </c>
      <c r="I51">
        <v>106</v>
      </c>
      <c r="J51">
        <v>91</v>
      </c>
      <c r="K51">
        <v>97</v>
      </c>
      <c r="L51">
        <v>95</v>
      </c>
      <c r="M51">
        <v>101</v>
      </c>
      <c r="N51">
        <f t="shared" si="5"/>
        <v>98</v>
      </c>
      <c r="O51" s="20">
        <f t="shared" si="4"/>
        <v>248.92000000000002</v>
      </c>
    </row>
    <row r="52" spans="1:15" x14ac:dyDescent="0.25">
      <c r="A52" s="28" t="s">
        <v>113</v>
      </c>
      <c r="B52" t="s">
        <v>151</v>
      </c>
      <c r="C52">
        <v>76</v>
      </c>
      <c r="D52">
        <v>6.97</v>
      </c>
      <c r="E52">
        <v>0.68</v>
      </c>
      <c r="F52">
        <f t="shared" si="2"/>
        <v>6.29</v>
      </c>
      <c r="H52" t="s">
        <v>48</v>
      </c>
      <c r="I52">
        <v>91</v>
      </c>
      <c r="J52">
        <v>96</v>
      </c>
      <c r="K52">
        <v>85</v>
      </c>
      <c r="L52">
        <v>82</v>
      </c>
      <c r="M52">
        <v>80</v>
      </c>
      <c r="N52">
        <f t="shared" si="5"/>
        <v>86.8</v>
      </c>
      <c r="O52" s="20">
        <f t="shared" si="4"/>
        <v>220.47200000000001</v>
      </c>
    </row>
    <row r="53" spans="1:15" x14ac:dyDescent="0.25">
      <c r="A53" s="28" t="s">
        <v>114</v>
      </c>
      <c r="B53" t="s">
        <v>70</v>
      </c>
      <c r="C53">
        <v>116</v>
      </c>
      <c r="D53">
        <v>4.12</v>
      </c>
      <c r="E53">
        <v>0.68</v>
      </c>
      <c r="F53">
        <f t="shared" si="2"/>
        <v>3.44</v>
      </c>
      <c r="H53" t="s">
        <v>50</v>
      </c>
      <c r="I53">
        <v>84</v>
      </c>
      <c r="J53">
        <v>87</v>
      </c>
      <c r="K53">
        <v>77</v>
      </c>
      <c r="L53">
        <v>80</v>
      </c>
      <c r="M53">
        <v>81</v>
      </c>
      <c r="N53">
        <f t="shared" si="5"/>
        <v>81.8</v>
      </c>
      <c r="O53" s="20">
        <f t="shared" si="4"/>
        <v>207.77199999999999</v>
      </c>
    </row>
    <row r="54" spans="1:15" x14ac:dyDescent="0.25">
      <c r="A54" s="28" t="s">
        <v>115</v>
      </c>
      <c r="B54" t="s">
        <v>170</v>
      </c>
      <c r="C54">
        <v>69</v>
      </c>
      <c r="D54">
        <v>3.44</v>
      </c>
      <c r="E54">
        <v>0.68</v>
      </c>
      <c r="F54">
        <f t="shared" si="2"/>
        <v>2.76</v>
      </c>
      <c r="H54" t="s">
        <v>51</v>
      </c>
      <c r="I54">
        <v>66</v>
      </c>
      <c r="J54">
        <v>85</v>
      </c>
      <c r="K54">
        <v>78</v>
      </c>
      <c r="L54">
        <v>76</v>
      </c>
      <c r="M54">
        <v>66</v>
      </c>
      <c r="N54">
        <f t="shared" si="5"/>
        <v>74.2</v>
      </c>
      <c r="O54" s="20">
        <f t="shared" si="4"/>
        <v>188.46800000000002</v>
      </c>
    </row>
    <row r="55" spans="1:15" x14ac:dyDescent="0.25">
      <c r="A55" s="28" t="s">
        <v>116</v>
      </c>
      <c r="B55" t="s">
        <v>172</v>
      </c>
      <c r="C55">
        <v>106</v>
      </c>
      <c r="D55">
        <v>4</v>
      </c>
      <c r="E55">
        <v>0.68</v>
      </c>
      <c r="F55">
        <f t="shared" si="2"/>
        <v>3.32</v>
      </c>
      <c r="H55" t="s">
        <v>52</v>
      </c>
      <c r="I55">
        <v>90</v>
      </c>
      <c r="J55">
        <v>92</v>
      </c>
      <c r="K55">
        <v>88</v>
      </c>
      <c r="L55">
        <v>81</v>
      </c>
      <c r="M55">
        <v>86</v>
      </c>
      <c r="N55">
        <f t="shared" si="5"/>
        <v>87.4</v>
      </c>
      <c r="O55" s="20">
        <f t="shared" si="4"/>
        <v>221.99600000000001</v>
      </c>
    </row>
    <row r="56" spans="1:15" x14ac:dyDescent="0.25">
      <c r="A56" s="23" t="s">
        <v>117</v>
      </c>
      <c r="B56" t="s">
        <v>75</v>
      </c>
      <c r="C56">
        <v>35</v>
      </c>
      <c r="D56">
        <v>5.3</v>
      </c>
      <c r="E56">
        <v>0.68</v>
      </c>
      <c r="F56">
        <f t="shared" si="2"/>
        <v>4.62</v>
      </c>
      <c r="H56" t="s">
        <v>54</v>
      </c>
      <c r="I56">
        <v>88</v>
      </c>
      <c r="J56">
        <v>86</v>
      </c>
      <c r="K56">
        <v>76</v>
      </c>
      <c r="L56">
        <v>72</v>
      </c>
      <c r="M56">
        <v>80</v>
      </c>
      <c r="N56">
        <f t="shared" si="5"/>
        <v>80.400000000000006</v>
      </c>
      <c r="O56" s="20">
        <f t="shared" si="4"/>
        <v>204.21600000000001</v>
      </c>
    </row>
    <row r="57" spans="1:15" x14ac:dyDescent="0.25">
      <c r="A57" s="23" t="s">
        <v>118</v>
      </c>
      <c r="B57" t="s">
        <v>169</v>
      </c>
      <c r="C57">
        <v>83</v>
      </c>
      <c r="D57">
        <v>5.7</v>
      </c>
      <c r="E57">
        <v>0.68</v>
      </c>
      <c r="F57">
        <f t="shared" si="2"/>
        <v>5.0200000000000005</v>
      </c>
      <c r="H57" t="s">
        <v>55</v>
      </c>
      <c r="I57">
        <v>78</v>
      </c>
      <c r="J57">
        <v>77</v>
      </c>
      <c r="K57">
        <v>65</v>
      </c>
      <c r="L57">
        <v>68</v>
      </c>
      <c r="M57">
        <v>70</v>
      </c>
      <c r="N57">
        <f t="shared" si="5"/>
        <v>71.599999999999994</v>
      </c>
      <c r="O57" s="20">
        <f t="shared" si="4"/>
        <v>181.86399999999998</v>
      </c>
    </row>
    <row r="58" spans="1:15" x14ac:dyDescent="0.25">
      <c r="A58" s="23" t="s">
        <v>119</v>
      </c>
      <c r="B58" t="s">
        <v>154</v>
      </c>
      <c r="C58">
        <v>67</v>
      </c>
      <c r="D58">
        <v>6.52</v>
      </c>
      <c r="E58">
        <v>0.68</v>
      </c>
      <c r="F58">
        <f t="shared" si="2"/>
        <v>5.84</v>
      </c>
      <c r="H58" t="s">
        <v>57</v>
      </c>
      <c r="I58">
        <v>70</v>
      </c>
      <c r="J58">
        <v>62</v>
      </c>
      <c r="K58">
        <v>63</v>
      </c>
      <c r="L58">
        <v>66</v>
      </c>
      <c r="M58">
        <v>68</v>
      </c>
      <c r="N58">
        <f t="shared" si="5"/>
        <v>65.8</v>
      </c>
      <c r="O58" s="20">
        <f t="shared" si="4"/>
        <v>167.13200000000001</v>
      </c>
    </row>
    <row r="59" spans="1:15" x14ac:dyDescent="0.25">
      <c r="A59" s="23" t="s">
        <v>120</v>
      </c>
      <c r="B59" t="s">
        <v>172</v>
      </c>
      <c r="C59">
        <v>64</v>
      </c>
      <c r="D59">
        <v>5.2</v>
      </c>
      <c r="E59">
        <v>0.68</v>
      </c>
      <c r="F59">
        <f t="shared" si="2"/>
        <v>4.5200000000000005</v>
      </c>
      <c r="H59" t="s">
        <v>58</v>
      </c>
      <c r="I59">
        <v>65</v>
      </c>
      <c r="J59">
        <v>66</v>
      </c>
      <c r="K59">
        <v>68</v>
      </c>
      <c r="L59">
        <v>57</v>
      </c>
      <c r="M59">
        <v>54</v>
      </c>
      <c r="N59">
        <f t="shared" si="5"/>
        <v>62</v>
      </c>
      <c r="O59" s="20">
        <f t="shared" si="4"/>
        <v>157.47999999999999</v>
      </c>
    </row>
    <row r="60" spans="1:15" x14ac:dyDescent="0.25">
      <c r="A60" s="23" t="s">
        <v>121</v>
      </c>
      <c r="B60" t="s">
        <v>174</v>
      </c>
      <c r="C60">
        <v>71</v>
      </c>
      <c r="D60">
        <v>3.5</v>
      </c>
      <c r="E60">
        <v>0.68</v>
      </c>
      <c r="F60">
        <f t="shared" si="2"/>
        <v>2.82</v>
      </c>
      <c r="H60" t="s">
        <v>59</v>
      </c>
      <c r="I60">
        <v>70</v>
      </c>
      <c r="J60">
        <v>75</v>
      </c>
      <c r="K60">
        <v>85</v>
      </c>
      <c r="L60">
        <v>75</v>
      </c>
      <c r="M60">
        <v>80</v>
      </c>
      <c r="N60">
        <f t="shared" si="5"/>
        <v>77</v>
      </c>
      <c r="O60" s="20">
        <f t="shared" si="4"/>
        <v>195.58</v>
      </c>
    </row>
    <row r="61" spans="1:15" x14ac:dyDescent="0.25">
      <c r="A61" s="23" t="s">
        <v>122</v>
      </c>
      <c r="B61" t="s">
        <v>170</v>
      </c>
      <c r="C61">
        <v>79</v>
      </c>
      <c r="D61">
        <v>3.18</v>
      </c>
      <c r="E61">
        <v>0.68</v>
      </c>
      <c r="F61">
        <f t="shared" si="2"/>
        <v>2.5</v>
      </c>
      <c r="H61" t="s">
        <v>61</v>
      </c>
      <c r="I61">
        <v>75</v>
      </c>
      <c r="J61">
        <v>70</v>
      </c>
      <c r="K61">
        <v>60</v>
      </c>
      <c r="L61">
        <v>72</v>
      </c>
      <c r="M61">
        <v>74</v>
      </c>
      <c r="N61">
        <f t="shared" si="5"/>
        <v>70.2</v>
      </c>
      <c r="O61" s="20">
        <f t="shared" si="4"/>
        <v>178.30800000000002</v>
      </c>
    </row>
    <row r="62" spans="1:15" x14ac:dyDescent="0.25">
      <c r="A62" s="23" t="s">
        <v>123</v>
      </c>
      <c r="B62" t="s">
        <v>152</v>
      </c>
      <c r="C62">
        <v>116</v>
      </c>
      <c r="D62">
        <v>4.4400000000000004</v>
      </c>
      <c r="E62">
        <v>0.68</v>
      </c>
      <c r="F62">
        <f t="shared" si="2"/>
        <v>3.7600000000000002</v>
      </c>
    </row>
    <row r="63" spans="1:15" x14ac:dyDescent="0.25">
      <c r="A63" s="23" t="s">
        <v>124</v>
      </c>
      <c r="B63" t="s">
        <v>153</v>
      </c>
      <c r="C63">
        <v>43</v>
      </c>
      <c r="D63">
        <v>3.72</v>
      </c>
      <c r="E63">
        <v>0.68</v>
      </c>
      <c r="F63">
        <f t="shared" si="2"/>
        <v>3.04</v>
      </c>
    </row>
    <row r="64" spans="1:15" x14ac:dyDescent="0.25">
      <c r="A64" s="23" t="s">
        <v>125</v>
      </c>
      <c r="B64" t="s">
        <v>252</v>
      </c>
      <c r="C64">
        <v>114</v>
      </c>
      <c r="D64">
        <v>4.18</v>
      </c>
      <c r="E64">
        <v>0.68</v>
      </c>
      <c r="F64">
        <f t="shared" si="2"/>
        <v>3.4999999999999996</v>
      </c>
    </row>
    <row r="65" spans="1:6" x14ac:dyDescent="0.25">
      <c r="A65" s="23" t="s">
        <v>126</v>
      </c>
      <c r="B65" t="s">
        <v>151</v>
      </c>
      <c r="C65">
        <v>35</v>
      </c>
      <c r="D65">
        <v>3.86</v>
      </c>
      <c r="E65">
        <v>0.68</v>
      </c>
      <c r="F65">
        <f t="shared" si="2"/>
        <v>3.1799999999999997</v>
      </c>
    </row>
    <row r="66" spans="1:6" x14ac:dyDescent="0.25">
      <c r="A66" s="23" t="s">
        <v>127</v>
      </c>
      <c r="B66" t="s">
        <v>171</v>
      </c>
      <c r="C66">
        <v>83</v>
      </c>
      <c r="D66">
        <v>3.54</v>
      </c>
      <c r="E66">
        <v>0.68</v>
      </c>
      <c r="F66">
        <f t="shared" si="2"/>
        <v>2.86</v>
      </c>
    </row>
    <row r="67" spans="1:6" x14ac:dyDescent="0.25">
      <c r="A67" s="23" t="s">
        <v>128</v>
      </c>
      <c r="B67" t="s">
        <v>167</v>
      </c>
      <c r="C67">
        <v>110</v>
      </c>
      <c r="D67">
        <v>5.76</v>
      </c>
      <c r="E67">
        <v>0.68</v>
      </c>
      <c r="F67">
        <f t="shared" ref="F67:F97" si="6">D67-E67</f>
        <v>5.08</v>
      </c>
    </row>
    <row r="68" spans="1:6" x14ac:dyDescent="0.25">
      <c r="A68" s="23" t="s">
        <v>129</v>
      </c>
      <c r="B68" t="s">
        <v>173</v>
      </c>
      <c r="C68">
        <v>58</v>
      </c>
      <c r="D68">
        <v>2.96</v>
      </c>
      <c r="E68">
        <v>0.68</v>
      </c>
      <c r="F68">
        <f t="shared" si="6"/>
        <v>2.2799999999999998</v>
      </c>
    </row>
    <row r="69" spans="1:6" x14ac:dyDescent="0.25">
      <c r="A69" s="23" t="s">
        <v>130</v>
      </c>
      <c r="B69" t="s">
        <v>69</v>
      </c>
      <c r="C69">
        <v>36</v>
      </c>
      <c r="D69">
        <v>1.36</v>
      </c>
      <c r="E69">
        <v>0.68</v>
      </c>
      <c r="F69">
        <f t="shared" si="6"/>
        <v>0.68</v>
      </c>
    </row>
    <row r="70" spans="1:6" x14ac:dyDescent="0.25">
      <c r="A70" s="23" t="s">
        <v>131</v>
      </c>
      <c r="B70" t="s">
        <v>65</v>
      </c>
      <c r="C70">
        <v>59</v>
      </c>
      <c r="D70">
        <v>2.08</v>
      </c>
      <c r="E70">
        <v>0.68</v>
      </c>
      <c r="F70">
        <f t="shared" si="6"/>
        <v>1.4</v>
      </c>
    </row>
    <row r="71" spans="1:6" x14ac:dyDescent="0.25">
      <c r="A71" s="23" t="s">
        <v>132</v>
      </c>
      <c r="B71" t="s">
        <v>68</v>
      </c>
      <c r="C71">
        <v>68</v>
      </c>
      <c r="D71">
        <v>3.6</v>
      </c>
      <c r="E71">
        <v>0.68</v>
      </c>
      <c r="F71">
        <f t="shared" si="6"/>
        <v>2.92</v>
      </c>
    </row>
    <row r="72" spans="1:6" x14ac:dyDescent="0.25">
      <c r="A72" s="23" t="s">
        <v>133</v>
      </c>
      <c r="B72" t="s">
        <v>70</v>
      </c>
      <c r="C72">
        <v>84</v>
      </c>
      <c r="D72">
        <v>2.58</v>
      </c>
      <c r="E72">
        <v>0.68</v>
      </c>
      <c r="F72">
        <f t="shared" si="6"/>
        <v>1.9</v>
      </c>
    </row>
    <row r="73" spans="1:6" x14ac:dyDescent="0.25">
      <c r="A73" s="23" t="s">
        <v>134</v>
      </c>
      <c r="B73" t="s">
        <v>168</v>
      </c>
      <c r="C73">
        <v>20</v>
      </c>
      <c r="D73">
        <v>1.78</v>
      </c>
      <c r="E73">
        <v>0.68</v>
      </c>
      <c r="F73">
        <f t="shared" si="6"/>
        <v>1.1000000000000001</v>
      </c>
    </row>
    <row r="74" spans="1:6" x14ac:dyDescent="0.25">
      <c r="A74" s="24" t="s">
        <v>31</v>
      </c>
      <c r="B74" t="s">
        <v>155</v>
      </c>
      <c r="C74">
        <v>78</v>
      </c>
      <c r="D74">
        <v>3.92</v>
      </c>
      <c r="E74">
        <v>0.68</v>
      </c>
      <c r="F74">
        <f t="shared" si="6"/>
        <v>3.2399999999999998</v>
      </c>
    </row>
    <row r="75" spans="1:6" x14ac:dyDescent="0.25">
      <c r="A75" s="24" t="s">
        <v>32</v>
      </c>
      <c r="B75" t="s">
        <v>156</v>
      </c>
      <c r="C75">
        <v>100</v>
      </c>
      <c r="D75">
        <v>3.96</v>
      </c>
      <c r="E75">
        <v>0.68</v>
      </c>
      <c r="F75">
        <f t="shared" si="6"/>
        <v>3.28</v>
      </c>
    </row>
    <row r="76" spans="1:6" x14ac:dyDescent="0.25">
      <c r="A76" s="24" t="s">
        <v>33</v>
      </c>
      <c r="B76" t="s">
        <v>157</v>
      </c>
      <c r="C76">
        <v>84</v>
      </c>
      <c r="D76">
        <v>4.24</v>
      </c>
      <c r="E76">
        <v>0.68</v>
      </c>
      <c r="F76">
        <f t="shared" si="6"/>
        <v>3.56</v>
      </c>
    </row>
    <row r="77" spans="1:6" x14ac:dyDescent="0.25">
      <c r="A77" s="24" t="s">
        <v>35</v>
      </c>
      <c r="B77" t="s">
        <v>159</v>
      </c>
      <c r="C77">
        <v>102</v>
      </c>
      <c r="D77">
        <v>3.44</v>
      </c>
      <c r="E77">
        <v>0.68</v>
      </c>
      <c r="F77">
        <f t="shared" si="6"/>
        <v>2.76</v>
      </c>
    </row>
    <row r="78" spans="1:6" x14ac:dyDescent="0.25">
      <c r="A78" s="24" t="s">
        <v>36</v>
      </c>
      <c r="B78" t="s">
        <v>160</v>
      </c>
      <c r="C78">
        <v>111</v>
      </c>
      <c r="D78">
        <v>3.02</v>
      </c>
      <c r="E78">
        <v>0.68</v>
      </c>
      <c r="F78">
        <f t="shared" si="6"/>
        <v>2.34</v>
      </c>
    </row>
    <row r="79" spans="1:6" x14ac:dyDescent="0.25">
      <c r="A79" s="24" t="s">
        <v>37</v>
      </c>
      <c r="B79" t="s">
        <v>161</v>
      </c>
      <c r="C79">
        <v>129</v>
      </c>
      <c r="D79">
        <v>3.28</v>
      </c>
      <c r="E79">
        <v>0.68</v>
      </c>
      <c r="F79">
        <f t="shared" si="6"/>
        <v>2.5999999999999996</v>
      </c>
    </row>
    <row r="80" spans="1:6" x14ac:dyDescent="0.25">
      <c r="A80" s="26" t="s">
        <v>39</v>
      </c>
      <c r="B80" t="s">
        <v>162</v>
      </c>
      <c r="C80">
        <v>123</v>
      </c>
      <c r="D80">
        <v>4.0599999999999996</v>
      </c>
      <c r="E80">
        <v>0.68</v>
      </c>
      <c r="F80">
        <f t="shared" si="6"/>
        <v>3.3799999999999994</v>
      </c>
    </row>
    <row r="81" spans="1:6" x14ac:dyDescent="0.25">
      <c r="A81" s="26" t="s">
        <v>40</v>
      </c>
      <c r="B81" t="s">
        <v>158</v>
      </c>
      <c r="C81">
        <v>112</v>
      </c>
      <c r="D81">
        <v>3.3</v>
      </c>
      <c r="E81">
        <v>0.68</v>
      </c>
      <c r="F81">
        <f t="shared" si="6"/>
        <v>2.6199999999999997</v>
      </c>
    </row>
    <row r="82" spans="1:6" x14ac:dyDescent="0.25">
      <c r="A82" s="26" t="s">
        <v>41</v>
      </c>
      <c r="B82" t="s">
        <v>155</v>
      </c>
      <c r="C82">
        <v>122</v>
      </c>
      <c r="D82">
        <v>3.46</v>
      </c>
      <c r="E82">
        <v>0.68</v>
      </c>
      <c r="F82">
        <f t="shared" si="6"/>
        <v>2.78</v>
      </c>
    </row>
    <row r="83" spans="1:6" x14ac:dyDescent="0.25">
      <c r="A83" s="26" t="s">
        <v>43</v>
      </c>
      <c r="B83" t="s">
        <v>156</v>
      </c>
      <c r="C83">
        <v>100</v>
      </c>
      <c r="D83">
        <v>4.38</v>
      </c>
      <c r="E83">
        <v>0.68</v>
      </c>
      <c r="F83">
        <f t="shared" si="6"/>
        <v>3.6999999999999997</v>
      </c>
    </row>
    <row r="84" spans="1:6" x14ac:dyDescent="0.25">
      <c r="A84" s="26" t="s">
        <v>44</v>
      </c>
      <c r="B84" t="s">
        <v>159</v>
      </c>
      <c r="C84">
        <v>96</v>
      </c>
      <c r="D84">
        <v>3.12</v>
      </c>
      <c r="E84">
        <v>0.68</v>
      </c>
      <c r="F84">
        <f t="shared" si="6"/>
        <v>2.44</v>
      </c>
    </row>
    <row r="85" spans="1:6" x14ac:dyDescent="0.25">
      <c r="A85" s="26" t="s">
        <v>45</v>
      </c>
      <c r="B85" t="s">
        <v>161</v>
      </c>
      <c r="C85">
        <v>142</v>
      </c>
      <c r="D85">
        <v>2.54</v>
      </c>
      <c r="E85">
        <v>0.68</v>
      </c>
      <c r="F85">
        <f t="shared" si="6"/>
        <v>1.8599999999999999</v>
      </c>
    </row>
    <row r="86" spans="1:6" x14ac:dyDescent="0.25">
      <c r="A86" s="31" t="s">
        <v>135</v>
      </c>
      <c r="B86" t="s">
        <v>157</v>
      </c>
      <c r="C86">
        <v>150</v>
      </c>
      <c r="D86">
        <v>4.76</v>
      </c>
      <c r="E86">
        <v>0.68</v>
      </c>
      <c r="F86">
        <f t="shared" si="6"/>
        <v>4.08</v>
      </c>
    </row>
    <row r="87" spans="1:6" x14ac:dyDescent="0.25">
      <c r="A87" s="31" t="s">
        <v>47</v>
      </c>
      <c r="B87" t="s">
        <v>158</v>
      </c>
      <c r="C87">
        <v>101</v>
      </c>
      <c r="D87">
        <v>5.58</v>
      </c>
      <c r="E87">
        <v>0.68</v>
      </c>
      <c r="F87">
        <f t="shared" si="6"/>
        <v>4.9000000000000004</v>
      </c>
    </row>
    <row r="88" spans="1:6" x14ac:dyDescent="0.25">
      <c r="A88" s="31" t="s">
        <v>48</v>
      </c>
      <c r="B88" t="s">
        <v>156</v>
      </c>
      <c r="C88">
        <v>104</v>
      </c>
      <c r="D88">
        <v>2.9</v>
      </c>
      <c r="E88">
        <v>0.68</v>
      </c>
      <c r="F88">
        <f t="shared" si="6"/>
        <v>2.2199999999999998</v>
      </c>
    </row>
    <row r="89" spans="1:6" x14ac:dyDescent="0.25">
      <c r="A89" s="31" t="s">
        <v>50</v>
      </c>
      <c r="B89" t="s">
        <v>161</v>
      </c>
      <c r="C89">
        <v>186</v>
      </c>
      <c r="D89">
        <v>4.46</v>
      </c>
      <c r="E89">
        <v>0.68</v>
      </c>
      <c r="F89">
        <f t="shared" si="6"/>
        <v>3.78</v>
      </c>
    </row>
    <row r="90" spans="1:6" x14ac:dyDescent="0.25">
      <c r="A90" s="31" t="s">
        <v>51</v>
      </c>
      <c r="B90" t="s">
        <v>162</v>
      </c>
      <c r="C90">
        <v>130</v>
      </c>
      <c r="D90">
        <v>3.84</v>
      </c>
      <c r="E90">
        <v>0.68</v>
      </c>
      <c r="F90">
        <f t="shared" si="6"/>
        <v>3.1599999999999997</v>
      </c>
    </row>
    <row r="91" spans="1:6" x14ac:dyDescent="0.25">
      <c r="A91" s="31" t="s">
        <v>52</v>
      </c>
      <c r="B91" t="s">
        <v>155</v>
      </c>
      <c r="C91">
        <v>130</v>
      </c>
      <c r="D91">
        <v>3.48</v>
      </c>
      <c r="E91">
        <v>0.68</v>
      </c>
      <c r="F91">
        <f t="shared" si="6"/>
        <v>2.8</v>
      </c>
    </row>
    <row r="92" spans="1:6" x14ac:dyDescent="0.25">
      <c r="A92" s="25" t="s">
        <v>54</v>
      </c>
      <c r="B92" t="s">
        <v>158</v>
      </c>
      <c r="C92">
        <v>130</v>
      </c>
      <c r="D92">
        <v>3</v>
      </c>
      <c r="E92">
        <v>0.68</v>
      </c>
      <c r="F92">
        <f t="shared" si="6"/>
        <v>2.3199999999999998</v>
      </c>
    </row>
    <row r="93" spans="1:6" x14ac:dyDescent="0.25">
      <c r="A93" s="25" t="s">
        <v>55</v>
      </c>
      <c r="B93" t="s">
        <v>161</v>
      </c>
      <c r="C93">
        <v>106</v>
      </c>
      <c r="D93">
        <v>4.1399999999999997</v>
      </c>
      <c r="E93">
        <v>0.68</v>
      </c>
      <c r="F93">
        <f t="shared" si="6"/>
        <v>3.4599999999999995</v>
      </c>
    </row>
    <row r="94" spans="1:6" x14ac:dyDescent="0.25">
      <c r="A94" s="25" t="s">
        <v>57</v>
      </c>
      <c r="B94" t="s">
        <v>156</v>
      </c>
      <c r="C94">
        <v>132</v>
      </c>
      <c r="D94">
        <v>2.68</v>
      </c>
      <c r="E94">
        <v>0.68</v>
      </c>
      <c r="F94">
        <f t="shared" si="6"/>
        <v>2</v>
      </c>
    </row>
    <row r="95" spans="1:6" x14ac:dyDescent="0.25">
      <c r="A95" s="25" t="s">
        <v>58</v>
      </c>
      <c r="B95" t="s">
        <v>160</v>
      </c>
      <c r="C95">
        <v>176</v>
      </c>
      <c r="D95">
        <v>3.38</v>
      </c>
      <c r="E95">
        <v>0.68</v>
      </c>
      <c r="F95">
        <f t="shared" si="6"/>
        <v>2.6999999999999997</v>
      </c>
    </row>
    <row r="96" spans="1:6" x14ac:dyDescent="0.25">
      <c r="A96" s="25" t="s">
        <v>59</v>
      </c>
      <c r="B96" t="s">
        <v>157</v>
      </c>
      <c r="C96">
        <v>99</v>
      </c>
      <c r="D96">
        <v>3.5</v>
      </c>
      <c r="E96">
        <v>0.68</v>
      </c>
      <c r="F96">
        <f t="shared" si="6"/>
        <v>2.82</v>
      </c>
    </row>
    <row r="97" spans="1:6" x14ac:dyDescent="0.25">
      <c r="A97" s="25" t="s">
        <v>60</v>
      </c>
      <c r="B97" t="s">
        <v>162</v>
      </c>
      <c r="C97">
        <v>162</v>
      </c>
      <c r="D97">
        <v>3.72</v>
      </c>
      <c r="E97">
        <v>0.68</v>
      </c>
      <c r="F97">
        <f t="shared" si="6"/>
        <v>3.04</v>
      </c>
    </row>
  </sheetData>
  <sortState xmlns:xlrd2="http://schemas.microsoft.com/office/spreadsheetml/2017/richdata2" ref="H2:O61">
    <sortCondition ref="H2:H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DF97-A188-4F90-A554-49C9EBD99581}">
  <dimension ref="A1:D96"/>
  <sheetViews>
    <sheetView workbookViewId="0">
      <selection activeCell="D2" sqref="D2:D10"/>
    </sheetView>
  </sheetViews>
  <sheetFormatPr defaultRowHeight="15" x14ac:dyDescent="0.25"/>
  <cols>
    <col min="1" max="1" width="14.140625" bestFit="1" customWidth="1"/>
    <col min="2" max="2" width="9.28515625" bestFit="1" customWidth="1"/>
    <col min="3" max="3" width="10.28515625" bestFit="1" customWidth="1"/>
    <col min="4" max="4" width="11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s="32" t="s">
        <v>150</v>
      </c>
    </row>
    <row r="2" spans="1:4" x14ac:dyDescent="0.25">
      <c r="A2" t="s">
        <v>18</v>
      </c>
      <c r="B2">
        <v>10</v>
      </c>
      <c r="C2">
        <v>71.36</v>
      </c>
      <c r="D2">
        <v>28.64</v>
      </c>
    </row>
    <row r="3" spans="1:4" x14ac:dyDescent="0.25">
      <c r="A3" t="s">
        <v>19</v>
      </c>
      <c r="B3">
        <v>11</v>
      </c>
      <c r="C3">
        <v>73.569999999999993</v>
      </c>
      <c r="D3">
        <v>26.43</v>
      </c>
    </row>
    <row r="4" spans="1:4" x14ac:dyDescent="0.25">
      <c r="A4" t="s">
        <v>20</v>
      </c>
      <c r="B4">
        <v>12</v>
      </c>
      <c r="C4">
        <v>70.83</v>
      </c>
      <c r="D4">
        <v>29.17</v>
      </c>
    </row>
    <row r="5" spans="1:4" x14ac:dyDescent="0.25">
      <c r="A5" t="s">
        <v>76</v>
      </c>
      <c r="B5">
        <v>13</v>
      </c>
      <c r="C5">
        <v>71.930000000000007</v>
      </c>
      <c r="D5">
        <v>28.07</v>
      </c>
    </row>
    <row r="6" spans="1:4" x14ac:dyDescent="0.25">
      <c r="A6" t="s">
        <v>77</v>
      </c>
      <c r="B6">
        <v>14</v>
      </c>
      <c r="C6">
        <v>71.81</v>
      </c>
      <c r="D6">
        <v>28.19</v>
      </c>
    </row>
    <row r="7" spans="1:4" x14ac:dyDescent="0.25">
      <c r="A7" t="s">
        <v>78</v>
      </c>
      <c r="B7">
        <v>15</v>
      </c>
      <c r="C7">
        <v>71.739999999999995</v>
      </c>
      <c r="D7">
        <v>28.26</v>
      </c>
    </row>
    <row r="8" spans="1:4" x14ac:dyDescent="0.25">
      <c r="A8" t="s">
        <v>79</v>
      </c>
      <c r="B8">
        <v>16</v>
      </c>
      <c r="C8">
        <v>68.739999999999995</v>
      </c>
      <c r="D8">
        <v>31.26</v>
      </c>
    </row>
    <row r="9" spans="1:4" x14ac:dyDescent="0.25">
      <c r="A9" t="s">
        <v>80</v>
      </c>
      <c r="B9">
        <v>17</v>
      </c>
      <c r="C9">
        <v>67.760000000000005</v>
      </c>
      <c r="D9">
        <v>32.24</v>
      </c>
    </row>
    <row r="10" spans="1:4" x14ac:dyDescent="0.25">
      <c r="A10" t="s">
        <v>81</v>
      </c>
      <c r="B10">
        <v>18</v>
      </c>
      <c r="C10">
        <v>62.63</v>
      </c>
      <c r="D10">
        <v>37.369999999999997</v>
      </c>
    </row>
    <row r="11" spans="1:4" x14ac:dyDescent="0.25">
      <c r="A11" t="s">
        <v>82</v>
      </c>
      <c r="B11">
        <v>6</v>
      </c>
      <c r="C11">
        <v>72.72</v>
      </c>
      <c r="D11">
        <v>27.28</v>
      </c>
    </row>
    <row r="12" spans="1:4" x14ac:dyDescent="0.25">
      <c r="A12" t="s">
        <v>83</v>
      </c>
      <c r="B12">
        <v>12</v>
      </c>
      <c r="C12">
        <v>73.760000000000005</v>
      </c>
      <c r="D12">
        <v>26.24</v>
      </c>
    </row>
    <row r="13" spans="1:4" x14ac:dyDescent="0.25">
      <c r="A13" t="s">
        <v>84</v>
      </c>
      <c r="B13">
        <v>4</v>
      </c>
      <c r="C13">
        <v>71.75</v>
      </c>
      <c r="D13">
        <v>28.25</v>
      </c>
    </row>
    <row r="14" spans="1:4" x14ac:dyDescent="0.25">
      <c r="A14" t="s">
        <v>85</v>
      </c>
      <c r="B14">
        <v>13</v>
      </c>
      <c r="C14">
        <v>71.63</v>
      </c>
      <c r="D14">
        <v>28.37</v>
      </c>
    </row>
    <row r="15" spans="1:4" x14ac:dyDescent="0.25">
      <c r="A15" t="s">
        <v>86</v>
      </c>
      <c r="B15">
        <v>1</v>
      </c>
      <c r="C15">
        <v>71</v>
      </c>
      <c r="D15">
        <v>29</v>
      </c>
    </row>
    <row r="16" spans="1:4" x14ac:dyDescent="0.25">
      <c r="A16" t="s">
        <v>87</v>
      </c>
      <c r="B16">
        <v>9</v>
      </c>
      <c r="C16">
        <v>73.319999999999993</v>
      </c>
      <c r="D16">
        <v>26.68</v>
      </c>
    </row>
    <row r="17" spans="1:4" x14ac:dyDescent="0.25">
      <c r="A17" t="s">
        <v>88</v>
      </c>
      <c r="B17">
        <v>16</v>
      </c>
      <c r="C17">
        <v>69.94</v>
      </c>
      <c r="D17">
        <v>30.06</v>
      </c>
    </row>
    <row r="18" spans="1:4" x14ac:dyDescent="0.25">
      <c r="A18" t="s">
        <v>89</v>
      </c>
      <c r="B18">
        <v>10</v>
      </c>
      <c r="C18">
        <v>67.67</v>
      </c>
      <c r="D18">
        <v>32.33</v>
      </c>
    </row>
    <row r="19" spans="1:4" x14ac:dyDescent="0.25">
      <c r="A19" t="s">
        <v>90</v>
      </c>
      <c r="B19">
        <v>8</v>
      </c>
      <c r="C19">
        <v>69.22</v>
      </c>
      <c r="D19">
        <v>30.78</v>
      </c>
    </row>
    <row r="20" spans="1:4" x14ac:dyDescent="0.25">
      <c r="A20" t="s">
        <v>91</v>
      </c>
      <c r="B20">
        <v>3</v>
      </c>
      <c r="C20">
        <v>70.69</v>
      </c>
      <c r="D20">
        <v>29.31</v>
      </c>
    </row>
    <row r="21" spans="1:4" x14ac:dyDescent="0.25">
      <c r="A21" t="s">
        <v>92</v>
      </c>
      <c r="B21">
        <v>18</v>
      </c>
      <c r="C21">
        <v>67.83</v>
      </c>
      <c r="D21">
        <v>32.17</v>
      </c>
    </row>
    <row r="22" spans="1:4" x14ac:dyDescent="0.25">
      <c r="A22" t="s">
        <v>94</v>
      </c>
      <c r="B22">
        <v>5</v>
      </c>
      <c r="C22">
        <v>72.31</v>
      </c>
      <c r="D22">
        <v>27.69</v>
      </c>
    </row>
    <row r="23" spans="1:4" x14ac:dyDescent="0.25">
      <c r="A23" t="s">
        <v>95</v>
      </c>
      <c r="B23">
        <v>7</v>
      </c>
      <c r="C23">
        <v>71.47</v>
      </c>
      <c r="D23">
        <v>28.53</v>
      </c>
    </row>
    <row r="24" spans="1:4" x14ac:dyDescent="0.25">
      <c r="A24" t="s">
        <v>96</v>
      </c>
      <c r="B24">
        <v>15</v>
      </c>
      <c r="C24">
        <v>72.69</v>
      </c>
      <c r="D24">
        <v>27.31</v>
      </c>
    </row>
    <row r="25" spans="1:4" x14ac:dyDescent="0.25">
      <c r="A25" t="s">
        <v>97</v>
      </c>
      <c r="B25">
        <v>17</v>
      </c>
      <c r="C25">
        <v>67.569999999999993</v>
      </c>
      <c r="D25">
        <v>32.43</v>
      </c>
    </row>
    <row r="26" spans="1:4" x14ac:dyDescent="0.25">
      <c r="A26" t="s">
        <v>98</v>
      </c>
      <c r="B26">
        <v>14</v>
      </c>
      <c r="C26">
        <v>69.84</v>
      </c>
      <c r="D26">
        <v>30.16</v>
      </c>
    </row>
    <row r="27" spans="1:4" x14ac:dyDescent="0.25">
      <c r="A27" t="s">
        <v>99</v>
      </c>
      <c r="B27">
        <v>11</v>
      </c>
      <c r="C27">
        <v>70.680000000000007</v>
      </c>
      <c r="D27">
        <v>29.32</v>
      </c>
    </row>
    <row r="28" spans="1:4" x14ac:dyDescent="0.25">
      <c r="A28" t="s">
        <v>176</v>
      </c>
      <c r="B28">
        <v>1</v>
      </c>
      <c r="C28">
        <v>67.33</v>
      </c>
      <c r="D28">
        <v>32.67</v>
      </c>
    </row>
    <row r="29" spans="1:4" x14ac:dyDescent="0.25">
      <c r="A29" t="s">
        <v>177</v>
      </c>
      <c r="B29">
        <v>2</v>
      </c>
      <c r="C29">
        <v>69.709999999999994</v>
      </c>
      <c r="D29">
        <v>30.29</v>
      </c>
    </row>
    <row r="30" spans="1:4" x14ac:dyDescent="0.25">
      <c r="A30" t="s">
        <v>178</v>
      </c>
      <c r="B30">
        <v>3</v>
      </c>
      <c r="C30">
        <v>71.510000000000005</v>
      </c>
      <c r="D30">
        <v>28.49</v>
      </c>
    </row>
    <row r="31" spans="1:4" x14ac:dyDescent="0.25">
      <c r="A31" t="s">
        <v>179</v>
      </c>
      <c r="B31">
        <v>4</v>
      </c>
      <c r="C31">
        <v>69.41</v>
      </c>
      <c r="D31">
        <v>30.59</v>
      </c>
    </row>
    <row r="32" spans="1:4" x14ac:dyDescent="0.25">
      <c r="A32" t="s">
        <v>180</v>
      </c>
      <c r="B32">
        <v>5</v>
      </c>
      <c r="C32">
        <v>68.599999999999994</v>
      </c>
      <c r="D32">
        <v>31.4</v>
      </c>
    </row>
    <row r="33" spans="1:4" x14ac:dyDescent="0.25">
      <c r="A33" t="s">
        <v>181</v>
      </c>
      <c r="B33">
        <v>6</v>
      </c>
      <c r="C33">
        <v>69.209999999999994</v>
      </c>
      <c r="D33">
        <v>30.79</v>
      </c>
    </row>
    <row r="34" spans="1:4" x14ac:dyDescent="0.25">
      <c r="A34" t="s">
        <v>182</v>
      </c>
      <c r="B34">
        <v>7</v>
      </c>
      <c r="C34">
        <v>69</v>
      </c>
      <c r="D34">
        <v>31</v>
      </c>
    </row>
    <row r="35" spans="1:4" x14ac:dyDescent="0.25">
      <c r="A35" t="s">
        <v>183</v>
      </c>
      <c r="B35">
        <v>8</v>
      </c>
      <c r="C35">
        <v>70.790000000000006</v>
      </c>
      <c r="D35">
        <v>29.21</v>
      </c>
    </row>
    <row r="36" spans="1:4" x14ac:dyDescent="0.25">
      <c r="A36" t="s">
        <v>184</v>
      </c>
      <c r="B36">
        <v>9</v>
      </c>
      <c r="C36">
        <v>69.900000000000006</v>
      </c>
      <c r="D36">
        <v>30.1</v>
      </c>
    </row>
    <row r="37" spans="1:4" x14ac:dyDescent="0.25">
      <c r="A37" t="s">
        <v>185</v>
      </c>
      <c r="B37">
        <v>10</v>
      </c>
      <c r="C37">
        <v>72.12</v>
      </c>
      <c r="D37">
        <v>27.88</v>
      </c>
    </row>
    <row r="38" spans="1:4" x14ac:dyDescent="0.25">
      <c r="A38" t="s">
        <v>186</v>
      </c>
      <c r="B38">
        <v>5</v>
      </c>
      <c r="C38">
        <v>73.58</v>
      </c>
      <c r="D38">
        <v>26.42</v>
      </c>
    </row>
    <row r="39" spans="1:4" x14ac:dyDescent="0.25">
      <c r="A39" t="s">
        <v>187</v>
      </c>
      <c r="B39">
        <v>15</v>
      </c>
      <c r="C39">
        <v>71.3</v>
      </c>
      <c r="D39">
        <v>28.7</v>
      </c>
    </row>
    <row r="40" spans="1:4" x14ac:dyDescent="0.25">
      <c r="A40" t="s">
        <v>188</v>
      </c>
      <c r="B40">
        <v>12</v>
      </c>
      <c r="C40">
        <v>68.77</v>
      </c>
      <c r="D40">
        <v>31.23</v>
      </c>
    </row>
    <row r="41" spans="1:4" x14ac:dyDescent="0.25">
      <c r="A41" t="s">
        <v>189</v>
      </c>
      <c r="B41">
        <v>2</v>
      </c>
      <c r="C41">
        <v>70.75</v>
      </c>
      <c r="D41">
        <v>29.25</v>
      </c>
    </row>
    <row r="42" spans="1:4" x14ac:dyDescent="0.25">
      <c r="A42" t="s">
        <v>190</v>
      </c>
      <c r="B42">
        <v>3</v>
      </c>
      <c r="C42">
        <v>71.33</v>
      </c>
      <c r="D42">
        <v>28.67</v>
      </c>
    </row>
    <row r="43" spans="1:4" x14ac:dyDescent="0.25">
      <c r="A43" t="s">
        <v>191</v>
      </c>
      <c r="B43">
        <v>1</v>
      </c>
      <c r="C43">
        <v>66.47</v>
      </c>
      <c r="D43">
        <v>33.53</v>
      </c>
    </row>
    <row r="44" spans="1:4" x14ac:dyDescent="0.25">
      <c r="A44" t="s">
        <v>192</v>
      </c>
      <c r="B44">
        <v>4</v>
      </c>
      <c r="C44">
        <v>66.06</v>
      </c>
      <c r="D44">
        <v>33.94</v>
      </c>
    </row>
    <row r="45" spans="1:4" x14ac:dyDescent="0.25">
      <c r="A45" t="s">
        <v>193</v>
      </c>
      <c r="B45">
        <v>16</v>
      </c>
      <c r="C45">
        <v>65.05</v>
      </c>
      <c r="D45">
        <v>34.950000000000003</v>
      </c>
    </row>
    <row r="46" spans="1:4" x14ac:dyDescent="0.25">
      <c r="A46" t="s">
        <v>194</v>
      </c>
      <c r="B46">
        <v>14</v>
      </c>
      <c r="C46">
        <v>75.25</v>
      </c>
      <c r="D46">
        <v>24.75</v>
      </c>
    </row>
    <row r="47" spans="1:4" x14ac:dyDescent="0.25">
      <c r="A47" t="s">
        <v>195</v>
      </c>
      <c r="B47">
        <v>18</v>
      </c>
      <c r="C47">
        <v>73.900000000000006</v>
      </c>
      <c r="D47">
        <v>26.1</v>
      </c>
    </row>
    <row r="48" spans="1:4" x14ac:dyDescent="0.25">
      <c r="A48" t="s">
        <v>196</v>
      </c>
      <c r="B48">
        <v>11</v>
      </c>
      <c r="C48">
        <v>71.19</v>
      </c>
      <c r="D48">
        <v>28.81</v>
      </c>
    </row>
    <row r="49" spans="1:4" x14ac:dyDescent="0.25">
      <c r="A49" t="s">
        <v>197</v>
      </c>
      <c r="B49">
        <v>17</v>
      </c>
      <c r="C49">
        <v>71.84</v>
      </c>
      <c r="D49">
        <v>28.16</v>
      </c>
    </row>
    <row r="50" spans="1:4" x14ac:dyDescent="0.25">
      <c r="A50" t="s">
        <v>198</v>
      </c>
      <c r="B50">
        <v>8</v>
      </c>
      <c r="C50">
        <v>70.819999999999993</v>
      </c>
      <c r="D50">
        <v>29.18</v>
      </c>
    </row>
    <row r="51" spans="1:4" x14ac:dyDescent="0.25">
      <c r="A51" t="s">
        <v>199</v>
      </c>
      <c r="B51">
        <v>13</v>
      </c>
      <c r="C51">
        <v>70.31</v>
      </c>
      <c r="D51">
        <v>29.69</v>
      </c>
    </row>
    <row r="52" spans="1:4" x14ac:dyDescent="0.25">
      <c r="A52" t="s">
        <v>200</v>
      </c>
      <c r="B52">
        <v>6</v>
      </c>
      <c r="C52">
        <v>70.41</v>
      </c>
      <c r="D52">
        <v>29.59</v>
      </c>
    </row>
    <row r="53" spans="1:4" x14ac:dyDescent="0.25">
      <c r="A53" t="s">
        <v>201</v>
      </c>
      <c r="B53">
        <v>7</v>
      </c>
      <c r="C53">
        <v>70.02</v>
      </c>
      <c r="D53">
        <v>29.98</v>
      </c>
    </row>
    <row r="54" spans="1:4" x14ac:dyDescent="0.25">
      <c r="A54" t="s">
        <v>202</v>
      </c>
      <c r="B54">
        <v>9</v>
      </c>
      <c r="C54">
        <v>69.52</v>
      </c>
      <c r="D54">
        <v>30.48</v>
      </c>
    </row>
    <row r="55" spans="1:4" x14ac:dyDescent="0.25">
      <c r="A55" t="s">
        <v>203</v>
      </c>
      <c r="B55">
        <v>18</v>
      </c>
      <c r="C55">
        <v>69.13</v>
      </c>
      <c r="D55">
        <v>30.87</v>
      </c>
    </row>
    <row r="56" spans="1:4" x14ac:dyDescent="0.25">
      <c r="A56" t="s">
        <v>204</v>
      </c>
      <c r="B56">
        <v>14</v>
      </c>
      <c r="C56">
        <v>74.11</v>
      </c>
      <c r="D56">
        <v>25.89</v>
      </c>
    </row>
    <row r="57" spans="1:4" x14ac:dyDescent="0.25">
      <c r="A57" t="s">
        <v>205</v>
      </c>
      <c r="B57">
        <v>15</v>
      </c>
      <c r="C57">
        <v>69.28</v>
      </c>
      <c r="D57">
        <v>30.72</v>
      </c>
    </row>
    <row r="58" spans="1:4" x14ac:dyDescent="0.25">
      <c r="A58" t="s">
        <v>206</v>
      </c>
      <c r="B58">
        <v>9</v>
      </c>
      <c r="C58">
        <v>72.959999999999994</v>
      </c>
      <c r="D58">
        <v>27.04</v>
      </c>
    </row>
    <row r="59" spans="1:4" x14ac:dyDescent="0.25">
      <c r="A59" t="s">
        <v>207</v>
      </c>
      <c r="B59">
        <v>11</v>
      </c>
      <c r="C59">
        <v>72.69</v>
      </c>
      <c r="D59">
        <v>27.31</v>
      </c>
    </row>
    <row r="60" spans="1:4" x14ac:dyDescent="0.25">
      <c r="A60" t="s">
        <v>208</v>
      </c>
      <c r="B60">
        <v>7</v>
      </c>
      <c r="C60">
        <v>71.08</v>
      </c>
      <c r="D60">
        <v>28.92</v>
      </c>
    </row>
    <row r="61" spans="1:4" x14ac:dyDescent="0.25">
      <c r="A61" t="s">
        <v>209</v>
      </c>
      <c r="B61">
        <v>12</v>
      </c>
      <c r="C61">
        <v>72.010000000000005</v>
      </c>
      <c r="D61">
        <v>27.99</v>
      </c>
    </row>
    <row r="62" spans="1:4" x14ac:dyDescent="0.25">
      <c r="A62" t="s">
        <v>210</v>
      </c>
      <c r="B62">
        <v>16</v>
      </c>
      <c r="C62">
        <v>66.98</v>
      </c>
      <c r="D62">
        <v>33.020000000000003</v>
      </c>
    </row>
    <row r="63" spans="1:4" x14ac:dyDescent="0.25">
      <c r="A63" t="s">
        <v>211</v>
      </c>
      <c r="B63">
        <v>17</v>
      </c>
      <c r="C63">
        <v>68.27</v>
      </c>
      <c r="D63">
        <v>31.73</v>
      </c>
    </row>
    <row r="64" spans="1:4" x14ac:dyDescent="0.25">
      <c r="A64" t="s">
        <v>212</v>
      </c>
      <c r="B64">
        <v>13</v>
      </c>
      <c r="C64">
        <v>68.72</v>
      </c>
      <c r="D64">
        <v>31.28</v>
      </c>
    </row>
    <row r="65" spans="1:4" x14ac:dyDescent="0.25">
      <c r="A65" t="s">
        <v>213</v>
      </c>
      <c r="B65">
        <v>8</v>
      </c>
      <c r="C65">
        <v>73.239999999999995</v>
      </c>
      <c r="D65">
        <v>26.76</v>
      </c>
    </row>
    <row r="66" spans="1:4" x14ac:dyDescent="0.25">
      <c r="A66" t="s">
        <v>214</v>
      </c>
      <c r="B66">
        <v>2</v>
      </c>
      <c r="C66">
        <v>64.790000000000006</v>
      </c>
      <c r="D66">
        <v>35.21</v>
      </c>
    </row>
    <row r="67" spans="1:4" x14ac:dyDescent="0.25">
      <c r="A67" t="s">
        <v>215</v>
      </c>
      <c r="B67">
        <v>10</v>
      </c>
      <c r="C67">
        <v>70.62</v>
      </c>
      <c r="D67">
        <v>29.38</v>
      </c>
    </row>
    <row r="68" spans="1:4" x14ac:dyDescent="0.25">
      <c r="A68" t="s">
        <v>216</v>
      </c>
      <c r="B68">
        <v>5</v>
      </c>
      <c r="C68">
        <v>67.819999999999993</v>
      </c>
      <c r="D68">
        <v>32.18</v>
      </c>
    </row>
    <row r="69" spans="1:4" x14ac:dyDescent="0.25">
      <c r="A69" t="s">
        <v>217</v>
      </c>
      <c r="B69">
        <v>1</v>
      </c>
      <c r="C69">
        <v>64.98</v>
      </c>
      <c r="D69">
        <v>35.020000000000003</v>
      </c>
    </row>
    <row r="70" spans="1:4" x14ac:dyDescent="0.25">
      <c r="A70" t="s">
        <v>218</v>
      </c>
      <c r="B70">
        <v>4</v>
      </c>
      <c r="C70">
        <v>66.78</v>
      </c>
      <c r="D70">
        <v>33.22</v>
      </c>
    </row>
    <row r="71" spans="1:4" x14ac:dyDescent="0.25">
      <c r="A71" t="s">
        <v>219</v>
      </c>
      <c r="B71">
        <v>6</v>
      </c>
      <c r="C71">
        <v>67.02</v>
      </c>
      <c r="D71">
        <v>32.979999999999997</v>
      </c>
    </row>
    <row r="72" spans="1:4" x14ac:dyDescent="0.25">
      <c r="A72" t="s">
        <v>220</v>
      </c>
      <c r="B72">
        <v>3</v>
      </c>
      <c r="C72">
        <v>70.680000000000007</v>
      </c>
      <c r="D72">
        <v>29.32</v>
      </c>
    </row>
    <row r="73" spans="1:4" x14ac:dyDescent="0.25">
      <c r="A73" t="s">
        <v>221</v>
      </c>
      <c r="B73">
        <v>1</v>
      </c>
      <c r="C73">
        <v>68.61</v>
      </c>
      <c r="D73">
        <v>31.39</v>
      </c>
    </row>
    <row r="74" spans="1:4" x14ac:dyDescent="0.25">
      <c r="A74" t="s">
        <v>222</v>
      </c>
      <c r="B74">
        <v>2</v>
      </c>
      <c r="C74">
        <v>72.7</v>
      </c>
      <c r="D74">
        <v>27.3</v>
      </c>
    </row>
    <row r="75" spans="1:4" x14ac:dyDescent="0.25">
      <c r="A75" t="s">
        <v>223</v>
      </c>
      <c r="B75">
        <v>3</v>
      </c>
      <c r="C75">
        <v>62.11</v>
      </c>
      <c r="D75">
        <v>37.89</v>
      </c>
    </row>
    <row r="76" spans="1:4" x14ac:dyDescent="0.25">
      <c r="A76" t="s">
        <v>224</v>
      </c>
      <c r="B76">
        <v>5</v>
      </c>
      <c r="C76">
        <v>66.94</v>
      </c>
      <c r="D76">
        <v>33.06</v>
      </c>
    </row>
    <row r="77" spans="1:4" x14ac:dyDescent="0.25">
      <c r="A77" t="s">
        <v>225</v>
      </c>
      <c r="B77">
        <v>6</v>
      </c>
      <c r="C77">
        <v>66.37</v>
      </c>
      <c r="D77">
        <v>33.630000000000003</v>
      </c>
    </row>
    <row r="78" spans="1:4" x14ac:dyDescent="0.25">
      <c r="A78" t="s">
        <v>226</v>
      </c>
      <c r="B78">
        <v>7</v>
      </c>
      <c r="C78">
        <v>67.56</v>
      </c>
      <c r="D78">
        <v>32.44</v>
      </c>
    </row>
    <row r="79" spans="1:4" x14ac:dyDescent="0.25">
      <c r="A79" t="s">
        <v>227</v>
      </c>
      <c r="B79">
        <v>8</v>
      </c>
      <c r="C79">
        <v>68.349999999999994</v>
      </c>
      <c r="D79">
        <v>31.65</v>
      </c>
    </row>
    <row r="80" spans="1:4" x14ac:dyDescent="0.25">
      <c r="A80" t="s">
        <v>228</v>
      </c>
      <c r="B80">
        <v>4</v>
      </c>
      <c r="C80">
        <v>64.53</v>
      </c>
      <c r="D80">
        <v>35.47</v>
      </c>
    </row>
    <row r="81" spans="1:4" x14ac:dyDescent="0.25">
      <c r="A81" t="s">
        <v>229</v>
      </c>
      <c r="B81">
        <v>1</v>
      </c>
      <c r="C81">
        <v>60.89</v>
      </c>
      <c r="D81">
        <v>39.11</v>
      </c>
    </row>
    <row r="82" spans="1:4" x14ac:dyDescent="0.25">
      <c r="A82" t="s">
        <v>230</v>
      </c>
      <c r="B82">
        <v>2</v>
      </c>
      <c r="C82">
        <v>69.709999999999994</v>
      </c>
      <c r="D82">
        <v>30.29</v>
      </c>
    </row>
    <row r="83" spans="1:4" x14ac:dyDescent="0.25">
      <c r="A83" t="s">
        <v>231</v>
      </c>
      <c r="B83">
        <v>5</v>
      </c>
      <c r="C83">
        <v>68.849999999999994</v>
      </c>
      <c r="D83">
        <v>31.15</v>
      </c>
    </row>
    <row r="84" spans="1:4" x14ac:dyDescent="0.25">
      <c r="A84" t="s">
        <v>232</v>
      </c>
      <c r="B84">
        <v>7</v>
      </c>
      <c r="C84">
        <v>67.180000000000007</v>
      </c>
      <c r="D84">
        <v>32.82</v>
      </c>
    </row>
    <row r="85" spans="1:4" x14ac:dyDescent="0.25">
      <c r="A85" t="s">
        <v>233</v>
      </c>
      <c r="B85">
        <v>3</v>
      </c>
      <c r="C85">
        <v>66.25</v>
      </c>
      <c r="D85">
        <v>33.75</v>
      </c>
    </row>
    <row r="86" spans="1:4" x14ac:dyDescent="0.25">
      <c r="A86" t="s">
        <v>234</v>
      </c>
      <c r="B86">
        <v>4</v>
      </c>
      <c r="C86">
        <v>64.09</v>
      </c>
      <c r="D86">
        <v>35.909999999999997</v>
      </c>
    </row>
    <row r="87" spans="1:4" x14ac:dyDescent="0.25">
      <c r="A87" t="s">
        <v>235</v>
      </c>
      <c r="B87">
        <v>2</v>
      </c>
      <c r="C87">
        <v>67.64</v>
      </c>
      <c r="D87">
        <v>32.36</v>
      </c>
    </row>
    <row r="88" spans="1:4" x14ac:dyDescent="0.25">
      <c r="A88" t="s">
        <v>236</v>
      </c>
      <c r="B88">
        <v>7</v>
      </c>
      <c r="C88">
        <v>68.52</v>
      </c>
      <c r="D88">
        <v>31.48</v>
      </c>
    </row>
    <row r="89" spans="1:4" x14ac:dyDescent="0.25">
      <c r="A89" t="s">
        <v>237</v>
      </c>
      <c r="B89">
        <v>8</v>
      </c>
      <c r="C89">
        <v>71.52</v>
      </c>
      <c r="D89">
        <v>28.48</v>
      </c>
    </row>
    <row r="90" spans="1:4" x14ac:dyDescent="0.25">
      <c r="A90" t="s">
        <v>238</v>
      </c>
      <c r="B90">
        <v>1</v>
      </c>
      <c r="C90">
        <v>67.739999999999995</v>
      </c>
      <c r="D90">
        <v>32.26</v>
      </c>
    </row>
    <row r="91" spans="1:4" x14ac:dyDescent="0.25">
      <c r="A91" t="s">
        <v>239</v>
      </c>
      <c r="B91">
        <v>4</v>
      </c>
      <c r="C91">
        <v>67.08</v>
      </c>
      <c r="D91">
        <v>32.92</v>
      </c>
    </row>
    <row r="92" spans="1:4" x14ac:dyDescent="0.25">
      <c r="A92" t="s">
        <v>240</v>
      </c>
      <c r="B92">
        <v>7</v>
      </c>
      <c r="C92">
        <v>67.37</v>
      </c>
      <c r="D92">
        <v>32.630000000000003</v>
      </c>
    </row>
    <row r="93" spans="1:4" x14ac:dyDescent="0.25">
      <c r="A93" t="s">
        <v>241</v>
      </c>
      <c r="B93">
        <v>2</v>
      </c>
      <c r="C93">
        <v>66.040000000000006</v>
      </c>
      <c r="D93">
        <v>33.96</v>
      </c>
    </row>
    <row r="94" spans="1:4" x14ac:dyDescent="0.25">
      <c r="A94" t="s">
        <v>242</v>
      </c>
      <c r="B94">
        <v>6</v>
      </c>
      <c r="C94">
        <v>66.680000000000007</v>
      </c>
      <c r="D94">
        <v>33.32</v>
      </c>
    </row>
    <row r="95" spans="1:4" x14ac:dyDescent="0.25">
      <c r="A95" t="s">
        <v>243</v>
      </c>
      <c r="B95">
        <v>3</v>
      </c>
      <c r="C95">
        <v>67.11</v>
      </c>
      <c r="D95">
        <v>32.89</v>
      </c>
    </row>
    <row r="96" spans="1:4" x14ac:dyDescent="0.25">
      <c r="A96" t="s">
        <v>244</v>
      </c>
      <c r="B96">
        <v>8</v>
      </c>
      <c r="C96">
        <v>67.73</v>
      </c>
      <c r="D96">
        <v>32.270000000000003</v>
      </c>
    </row>
  </sheetData>
  <sortState xmlns:xlrd2="http://schemas.microsoft.com/office/spreadsheetml/2017/richdata2" ref="A2:D96"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Buffalo County</vt:lpstr>
      <vt:lpstr>BC 14 day data and stem diam</vt:lpstr>
      <vt:lpstr>BC height, stem count, and WW</vt:lpstr>
      <vt:lpstr>BC moisture and dry matter</vt:lpstr>
      <vt:lpstr>'Buffalo County'!Print_Area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Duley</dc:creator>
  <cp:lastModifiedBy>Grint, Kolby - FPAC-NRCS, WI</cp:lastModifiedBy>
  <cp:lastPrinted>2022-06-15T20:16:59Z</cp:lastPrinted>
  <dcterms:created xsi:type="dcterms:W3CDTF">2022-05-13T19:31:08Z</dcterms:created>
  <dcterms:modified xsi:type="dcterms:W3CDTF">2023-04-07T14:01:24Z</dcterms:modified>
</cp:coreProperties>
</file>