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um/Downloads/Miller_Thesis/"/>
    </mc:Choice>
  </mc:AlternateContent>
  <xr:revisionPtr revIDLastSave="0" documentId="13_ncr:1_{28897C98-AC36-2D46-A8A7-4B13588074E2}" xr6:coauthVersionLast="36" xr6:coauthVersionMax="36" xr10:uidLastSave="{00000000-0000-0000-0000-000000000000}"/>
  <bookViews>
    <workbookView xWindow="260" yWindow="460" windowWidth="14160" windowHeight="15440" tabRatio="500" firstSheet="15" activeTab="18" xr2:uid="{00000000-000D-0000-FFFF-FFFF00000000}"/>
  </bookViews>
  <sheets>
    <sheet name="Main_Analysis" sheetId="17" r:id="rId1"/>
    <sheet name="Main Analysis GraphsTables--&gt;" sheetId="42" r:id="rId2"/>
    <sheet name="Comparison_WEPP_Empirical" sheetId="38" r:id="rId3"/>
    <sheet name="Percent_Reduct_sed_export_graph" sheetId="39" r:id="rId4"/>
    <sheet name="Comparison_means_graphs" sheetId="36" r:id="rId5"/>
    <sheet name="ManuscriptTables" sheetId="40" r:id="rId6"/>
    <sheet name="Sensitivity Analysis Runs--&gt;" sheetId="41" r:id="rId7"/>
    <sheet name="Face2Run" sheetId="18" r:id="rId8"/>
    <sheet name="Gully1Run" sheetId="19" r:id="rId9"/>
    <sheet name="Gully2Run" sheetId="20" r:id="rId10"/>
    <sheet name="BEINP12Run" sheetId="21" r:id="rId11"/>
    <sheet name="BEINP20Run" sheetId="22" r:id="rId12"/>
    <sheet name="FairKSRun" sheetId="23" r:id="rId13"/>
    <sheet name="FairNERun" sheetId="24" r:id="rId14"/>
    <sheet name="WrongCropRotRun" sheetId="26" r:id="rId15"/>
    <sheet name="50ptGranularityRunB4Only" sheetId="27" r:id="rId16"/>
    <sheet name="Pre-Calibration_Run" sheetId="37" r:id="rId17"/>
    <sheet name="SA Plant Choice" sheetId="33" r:id="rId18"/>
    <sheet name="SA Slope" sheetId="34" r:id="rId19"/>
    <sheet name="SA Biomass Value" sheetId="35" r:id="rId20"/>
    <sheet name="Proper vs Improper Rot" sheetId="32" r:id="rId21"/>
    <sheet name="SA BEINP Transect &amp; PlantChoice" sheetId="43" r:id="rId22"/>
    <sheet name="MoreDerivationsandTables--&gt;" sheetId="44" r:id="rId23"/>
    <sheet name="empirical_sed_runoff" sheetId="16" r:id="rId24"/>
    <sheet name="EmpiricalSedandRunoff_by_year" sheetId="28" r:id="rId25"/>
    <sheet name="DerivedEmpSedMultiYrAverages" sheetId="15" r:id="rId26"/>
    <sheet name="Int1PlantChoice_Simulations" sheetId="31" r:id="rId27"/>
  </sheets>
  <definedNames>
    <definedName name="_xlnm._FilterDatabase" localSheetId="23" hidden="1">empirical_sed_runoff!$B$1:$B$109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3" l="1"/>
  <c r="D8" i="43" s="1"/>
  <c r="B12" i="43" l="1"/>
  <c r="D11" i="43"/>
  <c r="D7" i="40"/>
  <c r="D8" i="40" s="1"/>
  <c r="A9" i="40" l="1"/>
  <c r="A4" i="40"/>
  <c r="B9" i="39"/>
  <c r="A9" i="39"/>
  <c r="B6" i="39"/>
  <c r="A6" i="39"/>
  <c r="I16" i="38"/>
  <c r="H16" i="38"/>
  <c r="H5" i="38"/>
  <c r="H6" i="38"/>
  <c r="H7" i="38"/>
  <c r="H8" i="38"/>
  <c r="H9" i="38"/>
  <c r="H10" i="38"/>
  <c r="H11" i="38"/>
  <c r="H12" i="38"/>
  <c r="H13" i="38"/>
  <c r="H14" i="38"/>
  <c r="H15" i="38"/>
  <c r="H4" i="38"/>
  <c r="M42" i="37" l="1"/>
  <c r="M35" i="37"/>
  <c r="M34" i="37"/>
  <c r="M33" i="37"/>
  <c r="M32" i="37"/>
  <c r="M31" i="37"/>
  <c r="F31" i="37"/>
  <c r="E31" i="37"/>
  <c r="D31" i="37"/>
  <c r="M30" i="37"/>
  <c r="F30" i="37"/>
  <c r="E30" i="37"/>
  <c r="D30" i="37"/>
  <c r="M29" i="37"/>
  <c r="F29" i="37"/>
  <c r="E29" i="37"/>
  <c r="D29" i="37"/>
  <c r="M28" i="37"/>
  <c r="F28" i="37"/>
  <c r="D28" i="37"/>
  <c r="M27" i="37"/>
  <c r="M26" i="37"/>
  <c r="M25" i="37"/>
  <c r="M24" i="37"/>
  <c r="F24" i="37"/>
  <c r="E24" i="37"/>
  <c r="C24" i="37"/>
  <c r="M23" i="37"/>
  <c r="M22" i="37"/>
  <c r="F22" i="37"/>
  <c r="E22" i="37"/>
  <c r="C22" i="37"/>
  <c r="M21" i="37"/>
  <c r="F21" i="37"/>
  <c r="E21" i="37"/>
  <c r="C21" i="37"/>
  <c r="M20" i="37"/>
  <c r="F20" i="37"/>
  <c r="E20" i="37"/>
  <c r="C20" i="37"/>
  <c r="M19" i="37"/>
  <c r="F19" i="37"/>
  <c r="E19" i="37"/>
  <c r="C19" i="37"/>
  <c r="M18" i="37"/>
  <c r="M17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E32" i="37" l="1"/>
  <c r="E33" i="37"/>
  <c r="E34" i="37" s="1"/>
  <c r="H20" i="37"/>
  <c r="D20" i="37"/>
  <c r="E31" i="17"/>
  <c r="E30" i="17"/>
  <c r="E29" i="17"/>
  <c r="E32" i="17"/>
  <c r="F31" i="17"/>
  <c r="F30" i="17"/>
  <c r="F29" i="17"/>
  <c r="F28" i="17"/>
  <c r="E33" i="17" l="1"/>
  <c r="E34" i="17" s="1"/>
  <c r="C21" i="26"/>
  <c r="C19" i="23" l="1"/>
  <c r="M44" i="27" l="1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E31" i="27"/>
  <c r="D31" i="27"/>
  <c r="M30" i="27"/>
  <c r="E30" i="27"/>
  <c r="D30" i="27"/>
  <c r="M29" i="27"/>
  <c r="E29" i="27"/>
  <c r="D29" i="27"/>
  <c r="M28" i="27"/>
  <c r="E28" i="27"/>
  <c r="D28" i="27"/>
  <c r="M27" i="27"/>
  <c r="M26" i="27"/>
  <c r="M25" i="27"/>
  <c r="M24" i="27"/>
  <c r="F24" i="27"/>
  <c r="E24" i="27"/>
  <c r="C24" i="27"/>
  <c r="M23" i="27"/>
  <c r="M22" i="27"/>
  <c r="F22" i="27"/>
  <c r="E22" i="27"/>
  <c r="C22" i="27"/>
  <c r="M21" i="27"/>
  <c r="F21" i="27"/>
  <c r="E21" i="27"/>
  <c r="C21" i="27"/>
  <c r="M20" i="27"/>
  <c r="F20" i="27"/>
  <c r="H20" i="27" s="1"/>
  <c r="E20" i="27"/>
  <c r="C20" i="27"/>
  <c r="M19" i="27"/>
  <c r="F19" i="27"/>
  <c r="E19" i="27"/>
  <c r="C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E31" i="26"/>
  <c r="D31" i="26"/>
  <c r="M30" i="26"/>
  <c r="E30" i="26"/>
  <c r="D30" i="26"/>
  <c r="M29" i="26"/>
  <c r="E29" i="26"/>
  <c r="D29" i="26"/>
  <c r="M28" i="26"/>
  <c r="E28" i="26"/>
  <c r="D28" i="26"/>
  <c r="M27" i="26"/>
  <c r="M26" i="26"/>
  <c r="M25" i="26"/>
  <c r="M24" i="26"/>
  <c r="F24" i="26"/>
  <c r="E24" i="26"/>
  <c r="C24" i="26"/>
  <c r="M23" i="26"/>
  <c r="M22" i="26"/>
  <c r="F22" i="26"/>
  <c r="E22" i="26"/>
  <c r="C22" i="26"/>
  <c r="M21" i="26"/>
  <c r="F21" i="26"/>
  <c r="E21" i="26"/>
  <c r="M20" i="26"/>
  <c r="F20" i="26"/>
  <c r="E20" i="26"/>
  <c r="C20" i="26"/>
  <c r="M19" i="26"/>
  <c r="F19" i="26"/>
  <c r="E19" i="26"/>
  <c r="C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E31" i="24"/>
  <c r="D31" i="24"/>
  <c r="M30" i="24"/>
  <c r="E30" i="24"/>
  <c r="D30" i="24"/>
  <c r="M29" i="24"/>
  <c r="E29" i="24"/>
  <c r="D29" i="24"/>
  <c r="M28" i="24"/>
  <c r="E28" i="24"/>
  <c r="D28" i="24"/>
  <c r="M27" i="24"/>
  <c r="M26" i="24"/>
  <c r="M25" i="24"/>
  <c r="M24" i="24"/>
  <c r="F24" i="24"/>
  <c r="E24" i="24"/>
  <c r="C24" i="24"/>
  <c r="M23" i="24"/>
  <c r="M22" i="24"/>
  <c r="F22" i="24"/>
  <c r="E22" i="24"/>
  <c r="C22" i="24"/>
  <c r="M21" i="24"/>
  <c r="F21" i="24"/>
  <c r="E21" i="24"/>
  <c r="C21" i="24"/>
  <c r="M20" i="24"/>
  <c r="F20" i="24"/>
  <c r="H20" i="24" s="1"/>
  <c r="E20" i="24"/>
  <c r="C20" i="24"/>
  <c r="M19" i="24"/>
  <c r="F19" i="24"/>
  <c r="E19" i="24"/>
  <c r="C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E31" i="23"/>
  <c r="D31" i="23"/>
  <c r="M30" i="23"/>
  <c r="E30" i="23"/>
  <c r="D30" i="23"/>
  <c r="M29" i="23"/>
  <c r="E29" i="23"/>
  <c r="D29" i="23"/>
  <c r="M28" i="23"/>
  <c r="E28" i="23"/>
  <c r="D28" i="23"/>
  <c r="M27" i="23"/>
  <c r="M26" i="23"/>
  <c r="M25" i="23"/>
  <c r="M24" i="23"/>
  <c r="F24" i="23"/>
  <c r="E24" i="23"/>
  <c r="C24" i="23"/>
  <c r="M23" i="23"/>
  <c r="M22" i="23"/>
  <c r="F22" i="23"/>
  <c r="E22" i="23"/>
  <c r="C22" i="23"/>
  <c r="M21" i="23"/>
  <c r="F21" i="23"/>
  <c r="E21" i="23"/>
  <c r="C21" i="23"/>
  <c r="M20" i="23"/>
  <c r="F20" i="23"/>
  <c r="E20" i="23"/>
  <c r="C20" i="23"/>
  <c r="M19" i="23"/>
  <c r="F19" i="23"/>
  <c r="E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44" i="22"/>
  <c r="M43" i="22"/>
  <c r="M42" i="22"/>
  <c r="M41" i="22"/>
  <c r="M40" i="22"/>
  <c r="M39" i="22"/>
  <c r="M38" i="22"/>
  <c r="M37" i="22"/>
  <c r="M36" i="22"/>
  <c r="M35" i="22"/>
  <c r="M34" i="22"/>
  <c r="M33" i="22"/>
  <c r="M32" i="22"/>
  <c r="M31" i="22"/>
  <c r="E31" i="22"/>
  <c r="D31" i="22"/>
  <c r="M30" i="22"/>
  <c r="E30" i="22"/>
  <c r="D30" i="22"/>
  <c r="M29" i="22"/>
  <c r="E29" i="22"/>
  <c r="D29" i="22"/>
  <c r="M28" i="22"/>
  <c r="E28" i="22"/>
  <c r="D28" i="22"/>
  <c r="M27" i="22"/>
  <c r="M26" i="22"/>
  <c r="M25" i="22"/>
  <c r="M24" i="22"/>
  <c r="F24" i="22"/>
  <c r="E24" i="22"/>
  <c r="C24" i="22"/>
  <c r="M23" i="22"/>
  <c r="M22" i="22"/>
  <c r="F22" i="22"/>
  <c r="E22" i="22"/>
  <c r="C22" i="22"/>
  <c r="M21" i="22"/>
  <c r="F21" i="22"/>
  <c r="E21" i="22"/>
  <c r="C21" i="22"/>
  <c r="M20" i="22"/>
  <c r="F20" i="22"/>
  <c r="E20" i="22"/>
  <c r="C20" i="22"/>
  <c r="M19" i="22"/>
  <c r="F19" i="22"/>
  <c r="E19" i="22"/>
  <c r="C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M31" i="21"/>
  <c r="E31" i="21"/>
  <c r="D31" i="21"/>
  <c r="M30" i="21"/>
  <c r="E30" i="21"/>
  <c r="D30" i="21"/>
  <c r="M29" i="21"/>
  <c r="E29" i="21"/>
  <c r="D29" i="21"/>
  <c r="M28" i="21"/>
  <c r="E28" i="21"/>
  <c r="D28" i="21"/>
  <c r="M27" i="21"/>
  <c r="M26" i="21"/>
  <c r="M25" i="21"/>
  <c r="M24" i="21"/>
  <c r="F24" i="21"/>
  <c r="E24" i="21"/>
  <c r="C24" i="21"/>
  <c r="M23" i="21"/>
  <c r="M22" i="21"/>
  <c r="F22" i="21"/>
  <c r="E22" i="21"/>
  <c r="C22" i="21"/>
  <c r="M21" i="21"/>
  <c r="F21" i="21"/>
  <c r="E21" i="21"/>
  <c r="C21" i="21"/>
  <c r="M20" i="21"/>
  <c r="H20" i="21"/>
  <c r="F20" i="21"/>
  <c r="E20" i="21"/>
  <c r="C20" i="21"/>
  <c r="M19" i="21"/>
  <c r="F19" i="21"/>
  <c r="E19" i="21"/>
  <c r="C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E31" i="20"/>
  <c r="D31" i="20"/>
  <c r="M30" i="20"/>
  <c r="E30" i="20"/>
  <c r="D30" i="20"/>
  <c r="M29" i="20"/>
  <c r="E29" i="20"/>
  <c r="D29" i="20"/>
  <c r="M28" i="20"/>
  <c r="E28" i="20"/>
  <c r="D28" i="20"/>
  <c r="M27" i="20"/>
  <c r="M26" i="20"/>
  <c r="M25" i="20"/>
  <c r="M24" i="20"/>
  <c r="F24" i="20"/>
  <c r="E24" i="20"/>
  <c r="C24" i="20"/>
  <c r="M23" i="20"/>
  <c r="M22" i="20"/>
  <c r="F22" i="20"/>
  <c r="E22" i="20"/>
  <c r="C22" i="20"/>
  <c r="M21" i="20"/>
  <c r="F21" i="20"/>
  <c r="E21" i="20"/>
  <c r="C21" i="20"/>
  <c r="M20" i="20"/>
  <c r="F20" i="20"/>
  <c r="E20" i="20"/>
  <c r="C20" i="20"/>
  <c r="M19" i="20"/>
  <c r="F19" i="20"/>
  <c r="E19" i="20"/>
  <c r="C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E31" i="19"/>
  <c r="D31" i="19"/>
  <c r="M30" i="19"/>
  <c r="E30" i="19"/>
  <c r="D30" i="19"/>
  <c r="M29" i="19"/>
  <c r="E29" i="19"/>
  <c r="D29" i="19"/>
  <c r="M28" i="19"/>
  <c r="E28" i="19"/>
  <c r="D28" i="19"/>
  <c r="M27" i="19"/>
  <c r="M26" i="19"/>
  <c r="M25" i="19"/>
  <c r="M24" i="19"/>
  <c r="F24" i="19"/>
  <c r="E24" i="19"/>
  <c r="C24" i="19"/>
  <c r="M23" i="19"/>
  <c r="M22" i="19"/>
  <c r="F22" i="19"/>
  <c r="E22" i="19"/>
  <c r="C22" i="19"/>
  <c r="M21" i="19"/>
  <c r="F21" i="19"/>
  <c r="E21" i="19"/>
  <c r="C21" i="19"/>
  <c r="M20" i="19"/>
  <c r="F20" i="19"/>
  <c r="E20" i="19"/>
  <c r="C20" i="19"/>
  <c r="M19" i="19"/>
  <c r="F19" i="19"/>
  <c r="E19" i="19"/>
  <c r="C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E31" i="18"/>
  <c r="D31" i="18"/>
  <c r="M30" i="18"/>
  <c r="E30" i="18"/>
  <c r="D30" i="18"/>
  <c r="M29" i="18"/>
  <c r="E29" i="18"/>
  <c r="D29" i="18"/>
  <c r="M28" i="18"/>
  <c r="E28" i="18"/>
  <c r="D28" i="18"/>
  <c r="M27" i="18"/>
  <c r="M26" i="18"/>
  <c r="M25" i="18"/>
  <c r="M24" i="18"/>
  <c r="F24" i="18"/>
  <c r="E24" i="18"/>
  <c r="C24" i="18"/>
  <c r="M23" i="18"/>
  <c r="M22" i="18"/>
  <c r="F22" i="18"/>
  <c r="E22" i="18"/>
  <c r="C22" i="18"/>
  <c r="M21" i="18"/>
  <c r="F21" i="18"/>
  <c r="E21" i="18"/>
  <c r="C21" i="18"/>
  <c r="M20" i="18"/>
  <c r="F20" i="18"/>
  <c r="H20" i="18" s="1"/>
  <c r="E20" i="18"/>
  <c r="C20" i="18"/>
  <c r="M19" i="18"/>
  <c r="F19" i="18"/>
  <c r="E19" i="18"/>
  <c r="C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R4" i="15"/>
  <c r="R5" i="15"/>
  <c r="R6" i="15"/>
  <c r="R7" i="15"/>
  <c r="R8" i="15"/>
  <c r="R9" i="15"/>
  <c r="R10" i="15"/>
  <c r="R11" i="15"/>
  <c r="R12" i="15"/>
  <c r="R13" i="15"/>
  <c r="R14" i="15"/>
  <c r="R3" i="15"/>
  <c r="G104" i="15"/>
  <c r="G95" i="15"/>
  <c r="G86" i="15"/>
  <c r="G77" i="15"/>
  <c r="G68" i="15"/>
  <c r="G59" i="15"/>
  <c r="G50" i="15"/>
  <c r="G41" i="15"/>
  <c r="G32" i="15"/>
  <c r="G23" i="15"/>
  <c r="G14" i="15"/>
  <c r="G5" i="15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F24" i="17"/>
  <c r="E24" i="17"/>
  <c r="M23" i="17"/>
  <c r="M22" i="17"/>
  <c r="F22" i="17"/>
  <c r="E22" i="17"/>
  <c r="M21" i="17"/>
  <c r="F21" i="17"/>
  <c r="M20" i="17"/>
  <c r="F20" i="17"/>
  <c r="E20" i="17"/>
  <c r="M19" i="17"/>
  <c r="F19" i="17"/>
  <c r="E19" i="17"/>
  <c r="M18" i="17"/>
  <c r="M17" i="17"/>
  <c r="M16" i="17"/>
  <c r="M15" i="17"/>
  <c r="M14" i="17"/>
  <c r="M13" i="17"/>
  <c r="M12" i="17"/>
  <c r="M11" i="17"/>
  <c r="M10" i="17"/>
  <c r="C20" i="17"/>
  <c r="M9" i="17"/>
  <c r="M8" i="17"/>
  <c r="M7" i="17"/>
  <c r="C21" i="17"/>
  <c r="E21" i="17"/>
  <c r="M6" i="17"/>
  <c r="M5" i="17"/>
  <c r="M4" i="17"/>
  <c r="H20" i="20" l="1"/>
  <c r="H20" i="22"/>
  <c r="H20" i="23"/>
  <c r="D20" i="27"/>
  <c r="H20" i="17"/>
  <c r="H20" i="26"/>
  <c r="D20" i="26"/>
  <c r="F29" i="19"/>
  <c r="D20" i="22"/>
  <c r="F29" i="22"/>
  <c r="F29" i="21"/>
  <c r="D20" i="21"/>
  <c r="F29" i="24"/>
  <c r="D20" i="24"/>
  <c r="F29" i="23"/>
  <c r="D20" i="23"/>
  <c r="F29" i="26"/>
  <c r="F29" i="27"/>
  <c r="F29" i="20"/>
  <c r="D20" i="20"/>
  <c r="H20" i="19"/>
  <c r="D20" i="19"/>
  <c r="D20" i="18"/>
  <c r="F29" i="18"/>
  <c r="C22" i="17"/>
  <c r="D30" i="17"/>
  <c r="D31" i="17"/>
  <c r="C24" i="17"/>
  <c r="C19" i="17"/>
  <c r="D28" i="17"/>
  <c r="D29" i="17"/>
  <c r="H101" i="16"/>
  <c r="H92" i="16"/>
  <c r="H83" i="16"/>
  <c r="H74" i="16"/>
  <c r="H65" i="16"/>
  <c r="H56" i="16"/>
  <c r="H47" i="16"/>
  <c r="H38" i="16"/>
  <c r="H29" i="16"/>
  <c r="H20" i="16"/>
  <c r="H11" i="16"/>
  <c r="H2" i="16"/>
  <c r="G101" i="16"/>
  <c r="G92" i="16"/>
  <c r="G83" i="16"/>
  <c r="G74" i="16"/>
  <c r="G65" i="16"/>
  <c r="G56" i="16"/>
  <c r="G47" i="16"/>
  <c r="G38" i="16"/>
  <c r="G29" i="16"/>
  <c r="G20" i="16"/>
  <c r="G11" i="16"/>
  <c r="G2" i="16"/>
  <c r="E101" i="16"/>
  <c r="E92" i="16"/>
  <c r="E83" i="16"/>
  <c r="E74" i="16"/>
  <c r="E65" i="16"/>
  <c r="E56" i="16"/>
  <c r="E47" i="16"/>
  <c r="E38" i="16"/>
  <c r="E29" i="16"/>
  <c r="E20" i="16"/>
  <c r="E11" i="16"/>
  <c r="E2" i="16"/>
  <c r="F101" i="16"/>
  <c r="F92" i="16"/>
  <c r="F83" i="16"/>
  <c r="F74" i="16"/>
  <c r="F65" i="16"/>
  <c r="F56" i="16"/>
  <c r="F47" i="16"/>
  <c r="F38" i="16"/>
  <c r="F2" i="16"/>
  <c r="F29" i="16"/>
  <c r="F20" i="16"/>
  <c r="F11" i="16"/>
  <c r="E6" i="15"/>
  <c r="E102" i="15"/>
  <c r="D6" i="15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5" i="15"/>
  <c r="E5" i="15" s="1"/>
  <c r="L5" i="15"/>
  <c r="L6" i="15"/>
  <c r="L7" i="15"/>
  <c r="L8" i="15"/>
  <c r="L9" i="15"/>
  <c r="L10" i="15"/>
  <c r="L11" i="15"/>
  <c r="L12" i="15"/>
  <c r="L13" i="15"/>
  <c r="L14" i="15"/>
  <c r="L15" i="15"/>
  <c r="L16" i="15"/>
  <c r="H104" i="15"/>
  <c r="H95" i="15"/>
  <c r="H86" i="15"/>
  <c r="H77" i="15"/>
  <c r="H68" i="15"/>
  <c r="H59" i="15"/>
  <c r="H50" i="15"/>
  <c r="H41" i="15"/>
  <c r="H32" i="15"/>
  <c r="H23" i="15"/>
  <c r="H14" i="15"/>
  <c r="H5" i="15"/>
  <c r="D20" i="17" l="1"/>
</calcChain>
</file>

<file path=xl/sharedStrings.xml><?xml version="1.0" encoding="utf-8"?>
<sst xmlns="http://schemas.openxmlformats.org/spreadsheetml/2006/main" count="2206" uniqueCount="310">
  <si>
    <t>Site</t>
  </si>
  <si>
    <t>Basswood1</t>
  </si>
  <si>
    <t>Basswood2</t>
  </si>
  <si>
    <t>Basswood3</t>
  </si>
  <si>
    <t>Basswood4</t>
  </si>
  <si>
    <t>Basswood5</t>
  </si>
  <si>
    <t>Basswood6</t>
  </si>
  <si>
    <t>Interim1</t>
  </si>
  <si>
    <t>Interim2</t>
  </si>
  <si>
    <t>Interim3</t>
  </si>
  <si>
    <t>Orbweaver1</t>
  </si>
  <si>
    <t>Orbweaver2</t>
  </si>
  <si>
    <t>Orbweaver3</t>
  </si>
  <si>
    <t>Location and % Prairie</t>
  </si>
  <si>
    <t xml:space="preserve">10% at footslope </t>
  </si>
  <si>
    <t>5% at footslope and 5% at upslope</t>
  </si>
  <si>
    <t>10% at footslope and 10% at upslope</t>
  </si>
  <si>
    <t>All rowcrops</t>
  </si>
  <si>
    <t>3.3% at footslope, 3.3% at sideslope, and 3.3% at upslope</t>
  </si>
  <si>
    <t>10% at footslope</t>
  </si>
  <si>
    <t>6.7% at footslope, 6.7% at sideslope, and 6.7% at upslope</t>
  </si>
  <si>
    <t xml:space="preserve">10% prairie at footslope </t>
  </si>
  <si>
    <t>All rowcrop</t>
  </si>
  <si>
    <t>10% prairie at footslope and in contour strips</t>
  </si>
  <si>
    <t>20% prairie at footslope and in contour strips</t>
  </si>
  <si>
    <t>Mean Measured Sediment Yield (Mg/ha)</t>
  </si>
  <si>
    <t>fixed interim 1 slope from ad hoc to mod, unnormalized version</t>
  </si>
  <si>
    <t>WEPP Estimate (Biomass)</t>
  </si>
  <si>
    <t>Description</t>
  </si>
  <si>
    <t>Face Slope 1</t>
  </si>
  <si>
    <t>5m</t>
  </si>
  <si>
    <t>Slope Profile</t>
  </si>
  <si>
    <t>Granularity</t>
  </si>
  <si>
    <t>DW Prairie</t>
  </si>
  <si>
    <t>Cold Weather</t>
  </si>
  <si>
    <t>BEINP</t>
  </si>
  <si>
    <t>Years of Sim</t>
  </si>
  <si>
    <t>Plant Spacing</t>
  </si>
  <si>
    <t>Normal</t>
  </si>
  <si>
    <t>Gulley Slope 1</t>
  </si>
  <si>
    <t>WEPP</t>
  </si>
  <si>
    <t>EMPIRICAL</t>
  </si>
  <si>
    <t>DISPLACEMENT</t>
  </si>
  <si>
    <t>CONTRAST</t>
  </si>
  <si>
    <t>WEPP to Empirical (Strips)</t>
  </si>
  <si>
    <t>WEPP to Empirical (No Strips)</t>
  </si>
  <si>
    <t>LS-Means by Watershed</t>
  </si>
  <si>
    <t>B1</t>
  </si>
  <si>
    <t>B2</t>
  </si>
  <si>
    <t>B3</t>
  </si>
  <si>
    <t>B4</t>
  </si>
  <si>
    <t>B5</t>
  </si>
  <si>
    <t>B6</t>
  </si>
  <si>
    <t>I1</t>
  </si>
  <si>
    <t>I2</t>
  </si>
  <si>
    <t>I3</t>
  </si>
  <si>
    <t>O1</t>
  </si>
  <si>
    <t>O2</t>
  </si>
  <si>
    <t>O3</t>
  </si>
  <si>
    <t>etc</t>
  </si>
  <si>
    <t>LS-Means Overall</t>
  </si>
  <si>
    <t>All years</t>
  </si>
  <si>
    <t>*view in r</t>
  </si>
  <si>
    <t>*write script to extract</t>
  </si>
  <si>
    <t>*construct linear model with model as variable, covariates strips (then %category then watershed), year (fixed then random)</t>
  </si>
  <si>
    <t>*construct contrasts</t>
  </si>
  <si>
    <t>Crop Rotation</t>
  </si>
  <si>
    <t>Correct</t>
  </si>
  <si>
    <t>Incorrect</t>
  </si>
  <si>
    <t>RUNOFF in mm</t>
  </si>
  <si>
    <t>DISPLACEMENT in kg/m2</t>
  </si>
  <si>
    <t>SEDIMENT in t/ha</t>
  </si>
  <si>
    <t>w/ I1</t>
  </si>
  <si>
    <t>overpredicts trt effect, but on right order</t>
  </si>
  <si>
    <t>adjust biomass more</t>
  </si>
  <si>
    <t>Basswood 1</t>
  </si>
  <si>
    <t>Total Sediment load (lb/acre)</t>
  </si>
  <si>
    <t>Watershed</t>
  </si>
  <si>
    <t>Year</t>
  </si>
  <si>
    <t>Basswood 2</t>
  </si>
  <si>
    <t>Basswood 3</t>
  </si>
  <si>
    <t>Basswood 4</t>
  </si>
  <si>
    <t>Basswood 5</t>
  </si>
  <si>
    <t>Basswood 6</t>
  </si>
  <si>
    <t>Interim 1</t>
  </si>
  <si>
    <t>Interim 2</t>
  </si>
  <si>
    <t>Interim 3</t>
  </si>
  <si>
    <t>Orbweaver 1</t>
  </si>
  <si>
    <t>Orbweaver 2</t>
  </si>
  <si>
    <t>Orbweaver 3</t>
  </si>
  <si>
    <t>Empirical Data for each watershed from Witte</t>
  </si>
  <si>
    <t>y=x</t>
  </si>
  <si>
    <t>kg/ha</t>
  </si>
  <si>
    <t>watershed</t>
  </si>
  <si>
    <t>year</t>
  </si>
  <si>
    <t>stdev_runoff</t>
  </si>
  <si>
    <t>stdev_sed</t>
  </si>
  <si>
    <t>RUNOFF_mm 2007-2014(jarad)</t>
  </si>
  <si>
    <t>2007-2014</t>
  </si>
  <si>
    <t xml:space="preserve">WEPP to Empirical </t>
  </si>
  <si>
    <t>avg 8-yr</t>
  </si>
  <si>
    <t>Avg Precip: 966.07 mm</t>
  </si>
  <si>
    <t>SEDIMENT in t/ha (2007-2014)</t>
  </si>
  <si>
    <t>run180613_01</t>
  </si>
  <si>
    <t>run180613_02</t>
  </si>
  <si>
    <t>Plant Choice</t>
  </si>
  <si>
    <t>Good Kansas</t>
  </si>
  <si>
    <t>Face Slope 2</t>
  </si>
  <si>
    <t>Gulley Slope 2</t>
  </si>
  <si>
    <t>Fair Kansas</t>
  </si>
  <si>
    <t>Fair Nebraska</t>
  </si>
  <si>
    <t>50 pt</t>
  </si>
  <si>
    <t>Empirical Annual Sediment Delivery and Runoff by Watershed</t>
  </si>
  <si>
    <t>Default Values for All Four Parameters</t>
  </si>
  <si>
    <t>Base Daily Air Temperature</t>
  </si>
  <si>
    <t>Final Calibration</t>
  </si>
  <si>
    <t>Biomass Energy Ratio (BEINP)</t>
  </si>
  <si>
    <t>Runoff</t>
  </si>
  <si>
    <t>Soil Loss</t>
  </si>
  <si>
    <t>Sediment Yield</t>
  </si>
  <si>
    <t>Interim 1 Prairie Plant Choice Simulations (2007-2010)</t>
  </si>
  <si>
    <t>FairKS</t>
  </si>
  <si>
    <t>FairNE</t>
  </si>
  <si>
    <t>GoodKS</t>
  </si>
  <si>
    <t>PoorKS</t>
  </si>
  <si>
    <t>PoorNE</t>
  </si>
  <si>
    <t>Proper Crop Rotation</t>
  </si>
  <si>
    <t>Improper Crop Rotation</t>
  </si>
  <si>
    <t>Sensitivity Analysis: Plant Choice</t>
  </si>
  <si>
    <t>Sensitivity Analysis: Prairie Plant Database Choice on WEPP Outputs for Prairie-Rowcrop Sites</t>
  </si>
  <si>
    <t>Good Kansas (used in main analysis)</t>
  </si>
  <si>
    <t>BEINP 20</t>
  </si>
  <si>
    <t>BEINP 12</t>
  </si>
  <si>
    <t>Gulley Transect 2</t>
  </si>
  <si>
    <t>Gulley Transect 1</t>
  </si>
  <si>
    <t>Slope Face Transect 2</t>
  </si>
  <si>
    <t>Slope Face Transect 1</t>
  </si>
  <si>
    <t>Runoff in mm</t>
  </si>
  <si>
    <t>Displacement in kg/m2</t>
  </si>
  <si>
    <t>Sediment in t/ha</t>
  </si>
  <si>
    <t>BEINP 16</t>
  </si>
  <si>
    <t>*construct linear model with model as variable, covariates strips (then %category then watershed)</t>
  </si>
  <si>
    <t>prairie_type</t>
  </si>
  <si>
    <t>count</t>
  </si>
  <si>
    <t>wepp_sediment_mean</t>
  </si>
  <si>
    <t>se_wepp_sediment_mean</t>
  </si>
  <si>
    <t>emp_sediment_mean</t>
  </si>
  <si>
    <t>se_emp_sediment_mean</t>
  </si>
  <si>
    <t>wepp_runoff_mean</t>
  </si>
  <si>
    <t>se_wepp_runoff_mean</t>
  </si>
  <si>
    <t>emp_runoff_mean</t>
  </si>
  <si>
    <t>se_emp_runoff_mean</t>
  </si>
  <si>
    <t>10_percent_contour_footslope</t>
  </si>
  <si>
    <t>10_percent_footslope</t>
  </si>
  <si>
    <t>100_percent_rowcrop</t>
  </si>
  <si>
    <t>20_percent_contour_footslope</t>
  </si>
  <si>
    <t>WEPP Mean Sediment</t>
  </si>
  <si>
    <t>0.330 + 0.056</t>
  </si>
  <si>
    <t>0.329 + 0.015</t>
  </si>
  <si>
    <t>11.329 + 1.306</t>
  </si>
  <si>
    <t>0.315 + 0.055</t>
  </si>
  <si>
    <t>Empirical Mean Sediment</t>
  </si>
  <si>
    <t>0.251 + 0.060</t>
  </si>
  <si>
    <t>0.201 + 0.081</t>
  </si>
  <si>
    <t>5.362 + 1.588</t>
  </si>
  <si>
    <t>0.300 + 0.162</t>
  </si>
  <si>
    <t>87.267 + 14.082</t>
  </si>
  <si>
    <t>97.487 + 10.530</t>
  </si>
  <si>
    <t>90.667 + 1.688</t>
  </si>
  <si>
    <t>108.388 + 24.871</t>
  </si>
  <si>
    <t>66.160 + 7.501</t>
  </si>
  <si>
    <t>114.753 + 40.965</t>
  </si>
  <si>
    <t>169.325 + 41.827</t>
  </si>
  <si>
    <t>123.563 + 6.253</t>
  </si>
  <si>
    <t>f_mean</t>
  </si>
  <si>
    <t>wepp_displacement_mean</t>
  </si>
  <si>
    <t>se_wepp_displacement_mean</t>
  </si>
  <si>
    <t>0.531 + 0.077</t>
  </si>
  <si>
    <t>0.421 + 0.099</t>
  </si>
  <si>
    <t>0.373 + 0.141</t>
  </si>
  <si>
    <t>WEPP Mean Displacement</t>
  </si>
  <si>
    <t>sd_wepp_displacement_mean</t>
  </si>
  <si>
    <t>3.327 + 0.486</t>
  </si>
  <si>
    <t>3.100 + 0.395</t>
  </si>
  <si>
    <t>2.853 + 0.648</t>
  </si>
  <si>
    <t>92.247 + 13.349</t>
  </si>
  <si>
    <t>101.507 + 9.073</t>
  </si>
  <si>
    <t>96.18333 + 1.325</t>
  </si>
  <si>
    <t>0.632 + 0.168</t>
  </si>
  <si>
    <t>0.558 + 0.185</t>
  </si>
  <si>
    <t>1.133 + 0.226</t>
  </si>
  <si>
    <t>0.385 + 0.224</t>
  </si>
  <si>
    <t>WEPP Mean Runoff (mm)</t>
  </si>
  <si>
    <t>Empirical Mean Runoff (mm)</t>
  </si>
  <si>
    <r>
      <t xml:space="preserve">Sediment in </t>
    </r>
    <r>
      <rPr>
        <sz val="12"/>
        <color rgb="FFBFBFBF"/>
        <rFont val="Times"/>
        <family val="1"/>
      </rPr>
      <t>Mg</t>
    </r>
    <r>
      <rPr>
        <sz val="12"/>
        <color rgb="FF000000"/>
        <rFont val="Times"/>
        <family val="1"/>
      </rPr>
      <t>/ha</t>
    </r>
  </si>
  <si>
    <r>
      <t>Sediment in Mg</t>
    </r>
    <r>
      <rPr>
        <sz val="12"/>
        <color rgb="FF000000"/>
        <rFont val="Times"/>
        <family val="1"/>
      </rPr>
      <t>/ha</t>
    </r>
  </si>
  <si>
    <t>in mm</t>
  </si>
  <si>
    <t xml:space="preserve">Estimated Percent Reduction of Sediment Export due to Prairie Strip Treatment </t>
  </si>
  <si>
    <t>WEPP Data</t>
  </si>
  <si>
    <t>H-Flume Data</t>
  </si>
  <si>
    <t>The lines show the lower and upper bound of the 95% confidence interval</t>
  </si>
  <si>
    <t>lower bound</t>
  </si>
  <si>
    <t>upper bound</t>
  </si>
  <si>
    <t>10% Contour + Footslope</t>
  </si>
  <si>
    <t>10% Footslope</t>
  </si>
  <si>
    <t>100% Rowcrop</t>
  </si>
  <si>
    <t>20% Contour + Footslope</t>
  </si>
  <si>
    <t>Mg/ha</t>
  </si>
  <si>
    <t>Sediment Delivery in Mg/ha (Chris Witte and Matt Helmers, unpublished data)</t>
  </si>
  <si>
    <t>Runoff in mm (GitHub, Chris Witte and Matt Helmers)</t>
  </si>
  <si>
    <t>Sediment Delivery (Mg/ha)</t>
  </si>
  <si>
    <t>Runoff (mm)</t>
  </si>
  <si>
    <r>
      <t>Displacement (kg/m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</si>
  <si>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Soil Displacement (kg/m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</si>
  <si>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t>Sediment Yield (Mg/ha)</t>
  </si>
  <si>
    <t xml:space="preserve">BEINP 16 </t>
  </si>
  <si>
    <t>(used in main analysis)</t>
  </si>
  <si>
    <r>
      <t>Displace-ment in kg/m</t>
    </r>
    <r>
      <rPr>
        <vertAlign val="superscript"/>
        <sz val="9"/>
        <color rgb="FF000000"/>
        <rFont val="Times New Roman"/>
        <family val="1"/>
      </rPr>
      <t>2</t>
    </r>
  </si>
  <si>
    <t>Sediment in Mg/ha</t>
  </si>
  <si>
    <r>
      <t>Displacement in kg/m</t>
    </r>
    <r>
      <rPr>
        <vertAlign val="superscript"/>
        <sz val="10"/>
        <color rgb="FF000000"/>
        <rFont val="Times New Roman"/>
        <family val="1"/>
      </rPr>
      <t>2</t>
    </r>
  </si>
  <si>
    <r>
      <t>Displace-ment in kg/m</t>
    </r>
    <r>
      <rPr>
        <vertAlign val="superscript"/>
        <sz val="10"/>
        <color rgb="FF000000"/>
        <rFont val="Times New Roman"/>
        <family val="1"/>
      </rPr>
      <t>2</t>
    </r>
  </si>
  <si>
    <t>0.32 ± 0.06</t>
  </si>
  <si>
    <t>0.33 ± 0.06</t>
  </si>
  <si>
    <t>0.33 ± 0.02</t>
  </si>
  <si>
    <t>11.33 ± 1.31</t>
  </si>
  <si>
    <t>0.30 ± 0.16</t>
  </si>
  <si>
    <t>0.25 ± 0.06</t>
  </si>
  <si>
    <t>0.20 ± 0.08</t>
  </si>
  <si>
    <t>5.36 ± 1.59</t>
  </si>
  <si>
    <t>123.6 ± 6.3</t>
  </si>
  <si>
    <t>97.5 ± 10.5</t>
  </si>
  <si>
    <t>87.3 ± 14.1</t>
  </si>
  <si>
    <t>90.7 ± 1.7</t>
  </si>
  <si>
    <t>114.8 ± 41.0</t>
  </si>
  <si>
    <t>108.4 ± 24.9</t>
  </si>
  <si>
    <t>66.2 ± 7.5</t>
  </si>
  <si>
    <t>169.3 ± 41.8</t>
  </si>
  <si>
    <t>0.37 ± 0.14</t>
  </si>
  <si>
    <t>0.53 ± 0.08</t>
  </si>
  <si>
    <t xml:space="preserve">0.42 ± 0.10 </t>
  </si>
  <si>
    <t>1.13 ± 0.13</t>
  </si>
  <si>
    <r>
      <t>Displacement in kg/m</t>
    </r>
    <r>
      <rPr>
        <vertAlign val="superscript"/>
        <sz val="12"/>
        <color rgb="FF000000"/>
        <rFont val="Times New Roman"/>
        <family val="1"/>
      </rPr>
      <t>2</t>
    </r>
  </si>
  <si>
    <t>3.10 ± 0.40</t>
  </si>
  <si>
    <t>3.33 ± 0.49</t>
  </si>
  <si>
    <t>2.85 ± 0.65</t>
  </si>
  <si>
    <t>96.12 ± 1.3</t>
  </si>
  <si>
    <t>92.2 ± 13.3</t>
  </si>
  <si>
    <t>101.5 ± 9.1</t>
  </si>
  <si>
    <t>0.39 ± 0.22</t>
  </si>
  <si>
    <t>0.63 ± 0.17</t>
  </si>
  <si>
    <t>0.56 ± 0.19</t>
  </si>
  <si>
    <t>&lt;0.0001</t>
  </si>
  <si>
    <t>Runoff_mm</t>
  </si>
  <si>
    <t>Sediment Delivery_kgha (Chris Witte and Matt Helmers, unpublished data)</t>
  </si>
  <si>
    <t>avg_annual_runoff_by_watershed</t>
  </si>
  <si>
    <t>avg_annual_sed</t>
  </si>
  <si>
    <t>runoff_mm_from_github</t>
  </si>
  <si>
    <t>sed_kgha_from_witte</t>
  </si>
  <si>
    <t>Same Chart Without 100% RowCrop</t>
  </si>
  <si>
    <t>Percent_Difference</t>
  </si>
  <si>
    <t>Rewritten in Different Order</t>
  </si>
  <si>
    <t>Log Scale for Graph Purposes</t>
  </si>
  <si>
    <t>Averages by Category</t>
  </si>
  <si>
    <t>Simulation Results B4</t>
  </si>
  <si>
    <t>Gully Transect 1</t>
  </si>
  <si>
    <t>Gully Transect 2</t>
  </si>
  <si>
    <t>Slope Face Transect 1 (used in main analysis)</t>
  </si>
  <si>
    <t>Good Kansas (Used in Main analysis)</t>
  </si>
  <si>
    <t>Initial WEPP Simulations compared to Empirical</t>
  </si>
  <si>
    <t>Mean Sediment (Mg/ha)</t>
  </si>
  <si>
    <t>Empirical</t>
  </si>
  <si>
    <t>Mean Runoff (mm)</t>
  </si>
  <si>
    <r>
      <t>WEPP Mean Displacement (kg/m</t>
    </r>
    <r>
      <rPr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</si>
  <si>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t>Mean Sediment and Runoff by Treatment for Calibrated Model</t>
  </si>
  <si>
    <t xml:space="preserve">Table 5: Significance of Random Effects in Exploratory Model. </t>
  </si>
  <si>
    <t>Table 4: Results of Fixed Effects in the Exploratory Model</t>
  </si>
  <si>
    <t>Table 2: Estimate of Treatment Effect with lmer1 and lm1 Model.</t>
  </si>
  <si>
    <t>Table 8: Comparison of Simulated and Empirical Averages of Sediment, Runoff, and Displacement</t>
  </si>
  <si>
    <t>Table 14: Rough Prairie Plant Choice Simulations on Watershed I1 (2007-2010) -- small calibration dataset</t>
  </si>
  <si>
    <t>Table 15: Impact of Crop Rotation Phase on WEPP Outputs for B4 (2007-2014)</t>
  </si>
  <si>
    <t>Table 17: Sediment Delivery on I1, 2007-2010 (small calibration dataset) With Various Plant Parameter Adjustments</t>
  </si>
  <si>
    <t>Table 18: Empirical Annual Sediment Delivery and Runoff by Watershed</t>
  </si>
  <si>
    <t>Empirical Sediment Delivery on I1 by year</t>
  </si>
  <si>
    <t>Average Sediment Delivery on I1 (2007-2010)</t>
  </si>
  <si>
    <t xml:space="preserve">Simulation Adjustment </t>
  </si>
  <si>
    <t>Parameter Details</t>
  </si>
  <si>
    <r>
      <t>Decreased from 10</t>
    </r>
    <r>
      <rPr>
        <sz val="12"/>
        <color rgb="FF000000"/>
        <rFont val="Symbol"/>
        <charset val="2"/>
      </rPr>
      <t>°</t>
    </r>
    <r>
      <rPr>
        <sz val="12"/>
        <color rgb="FF000000"/>
        <rFont val="Times New Roman"/>
        <family val="1"/>
      </rPr>
      <t>F to 4.4</t>
    </r>
    <r>
      <rPr>
        <sz val="12"/>
        <color rgb="FF000000"/>
        <rFont val="Symbol"/>
        <charset val="2"/>
      </rPr>
      <t>°</t>
    </r>
    <r>
      <rPr>
        <sz val="12"/>
        <color rgb="FF000000"/>
        <rFont val="Times New Roman"/>
        <family val="1"/>
      </rPr>
      <t>F. (Others = default)</t>
    </r>
  </si>
  <si>
    <t>Decreased from 0.6 cm to 0.25 cm. (Others = default)</t>
  </si>
  <si>
    <r>
      <t>Darcy</t>
    </r>
    <r>
      <rPr>
        <sz val="12"/>
        <color theme="1"/>
        <rFont val="Times New Roman"/>
        <family val="1"/>
      </rPr>
      <t>–</t>
    </r>
    <r>
      <rPr>
        <sz val="12"/>
        <color rgb="FF000000"/>
        <rFont val="Times New Roman"/>
        <family val="1"/>
      </rPr>
      <t>Weisbach Maximum Friction Factor (FLIVMX)</t>
    </r>
  </si>
  <si>
    <t>Increased from 12 to 136. (Others = default)</t>
  </si>
  <si>
    <t>Decreased from 25 kg/MJ to 16 kg/MJ. (Others = default)</t>
  </si>
  <si>
    <r>
      <t>Base Daily Air Temperature = 4.4</t>
    </r>
    <r>
      <rPr>
        <sz val="12"/>
        <color rgb="FF000000"/>
        <rFont val="Symbol"/>
        <charset val="2"/>
      </rPr>
      <t>°</t>
    </r>
    <r>
      <rPr>
        <sz val="12"/>
        <color rgb="FF000000"/>
        <rFont val="Times New Roman"/>
        <family val="1"/>
      </rPr>
      <t>F, Plant Spacing = 0.5 cm, FLIVMX = 136, BEINP = 16 kg/MJ</t>
    </r>
  </si>
  <si>
    <r>
      <t>Base Daily Air Temperature = 10</t>
    </r>
    <r>
      <rPr>
        <sz val="12"/>
        <color rgb="FF000000"/>
        <rFont val="Symbol"/>
        <charset val="2"/>
      </rPr>
      <t>°</t>
    </r>
    <r>
      <rPr>
        <sz val="12"/>
        <color rgb="FF000000"/>
        <rFont val="Times New Roman"/>
        <family val="1"/>
      </rPr>
      <t>F, Plant Spacing = 0.6 cm, FLIVMX = 12, BEINP = 25 kg/MJ</t>
    </r>
  </si>
  <si>
    <t>Percent Error</t>
  </si>
  <si>
    <t>Simulated Sed Delivery on I1 with Darcy Weisbach adjustment</t>
  </si>
  <si>
    <t>Simulated Sed Delivery on I1 with Default Parameters</t>
  </si>
  <si>
    <t>avg 8-yr lb/ac</t>
  </si>
  <si>
    <t>avg lb/ac 2007-2012</t>
  </si>
  <si>
    <t>2007-2012 lb/ac</t>
  </si>
  <si>
    <t>conversion</t>
  </si>
  <si>
    <t>Mg/ha (proper sig figs)</t>
  </si>
  <si>
    <t>run180613_03</t>
  </si>
  <si>
    <t>run180613_04</t>
  </si>
  <si>
    <t>run180624_05</t>
  </si>
  <si>
    <t>run180624_04</t>
  </si>
  <si>
    <t>run180624_02</t>
  </si>
  <si>
    <t>run180624_03</t>
  </si>
  <si>
    <t>run180623</t>
  </si>
  <si>
    <t>run180620</t>
  </si>
  <si>
    <t>run180702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</si>
</sst>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1"/>
      <name val="Times Roman"/>
    </font>
    <font>
      <sz val="12"/>
      <color rgb="FF000000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  <font>
      <sz val="11"/>
      <color rgb="FF000000"/>
      <name val="Lucida Sans"/>
      <family val="2"/>
    </font>
    <font>
      <sz val="12"/>
      <color theme="1"/>
      <name val="Cambria"/>
      <family val="1"/>
    </font>
    <font>
      <sz val="12"/>
      <color rgb="FF000000"/>
      <name val="Times"/>
      <family val="1"/>
    </font>
    <font>
      <sz val="12"/>
      <color rgb="FFBFBFBF"/>
      <name val="Times"/>
      <family val="1"/>
    </font>
    <font>
      <sz val="12"/>
      <color rgb="FF000000"/>
      <name val="Times Roman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12"/>
      <color rgb="FF000000"/>
      <name val="Symbol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Fill="1"/>
    <xf numFmtId="164" fontId="0" fillId="5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3" borderId="0" xfId="0" applyFont="1" applyFill="1"/>
    <xf numFmtId="2" fontId="5" fillId="0" borderId="0" xfId="0" applyNumberFormat="1" applyFont="1"/>
    <xf numFmtId="0" fontId="6" fillId="0" borderId="0" xfId="0" applyFont="1"/>
    <xf numFmtId="164" fontId="0" fillId="3" borderId="0" xfId="0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0" fontId="0" fillId="0" borderId="0" xfId="0" applyFont="1" applyFill="1"/>
    <xf numFmtId="164" fontId="0" fillId="0" borderId="0" xfId="0" applyNumberFormat="1" applyFont="1" applyFill="1"/>
    <xf numFmtId="0" fontId="6" fillId="0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64" fontId="7" fillId="0" borderId="0" xfId="0" applyNumberFormat="1" applyFont="1"/>
    <xf numFmtId="0" fontId="0" fillId="2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0" borderId="2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5" xfId="0" applyFill="1" applyBorder="1"/>
    <xf numFmtId="0" fontId="0" fillId="2" borderId="0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5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6" xfId="0" applyFont="1" applyFill="1" applyBorder="1"/>
    <xf numFmtId="0" fontId="8" fillId="0" borderId="8" xfId="0" applyFont="1" applyFill="1" applyBorder="1"/>
    <xf numFmtId="0" fontId="8" fillId="0" borderId="7" xfId="0" applyFont="1" applyFill="1" applyBorder="1"/>
    <xf numFmtId="0" fontId="8" fillId="0" borderId="9" xfId="0" applyFont="1" applyBorder="1"/>
    <xf numFmtId="0" fontId="8" fillId="0" borderId="14" xfId="0" applyFont="1" applyBorder="1" applyAlignment="1">
      <alignment wrapText="1"/>
    </xf>
    <xf numFmtId="0" fontId="8" fillId="0" borderId="14" xfId="0" applyFont="1" applyFill="1" applyBorder="1"/>
    <xf numFmtId="0" fontId="8" fillId="0" borderId="13" xfId="0" applyFont="1" applyFill="1" applyBorder="1"/>
    <xf numFmtId="0" fontId="0" fillId="0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0" fillId="0" borderId="9" xfId="0" applyFill="1" applyBorder="1"/>
    <xf numFmtId="0" fontId="0" fillId="0" borderId="15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0" fillId="0" borderId="4" xfId="0" applyFill="1" applyBorder="1"/>
    <xf numFmtId="0" fontId="0" fillId="0" borderId="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0" xfId="0" applyFill="1" applyBorder="1"/>
    <xf numFmtId="0" fontId="0" fillId="0" borderId="4" xfId="0" applyFill="1" applyBorder="1" applyAlignment="1">
      <alignment wrapText="1"/>
    </xf>
    <xf numFmtId="2" fontId="0" fillId="3" borderId="0" xfId="0" applyNumberFormat="1" applyFon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0" fontId="13" fillId="0" borderId="22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1" xfId="0" applyFont="1" applyBorder="1" applyAlignment="1">
      <alignment horizontal="right" vertical="center"/>
    </xf>
    <xf numFmtId="0" fontId="15" fillId="0" borderId="24" xfId="0" applyFont="1" applyBorder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6" fillId="0" borderId="24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8" xfId="0" applyFont="1" applyBorder="1" applyAlignment="1">
      <alignment vertical="center" wrapText="1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2" fontId="16" fillId="0" borderId="21" xfId="0" applyNumberFormat="1" applyFont="1" applyBorder="1" applyAlignment="1">
      <alignment horizontal="right" vertical="center"/>
    </xf>
    <xf numFmtId="165" fontId="16" fillId="0" borderId="21" xfId="0" applyNumberFormat="1" applyFont="1" applyBorder="1" applyAlignment="1">
      <alignment horizontal="right" vertical="center"/>
    </xf>
    <xf numFmtId="0" fontId="16" fillId="0" borderId="24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2" fontId="16" fillId="0" borderId="20" xfId="0" applyNumberFormat="1" applyFont="1" applyBorder="1" applyAlignment="1">
      <alignment vertical="center"/>
    </xf>
    <xf numFmtId="165" fontId="16" fillId="0" borderId="21" xfId="0" applyNumberFormat="1" applyFont="1" applyBorder="1" applyAlignment="1">
      <alignment vertical="center" wrapText="1"/>
    </xf>
    <xf numFmtId="2" fontId="16" fillId="0" borderId="21" xfId="0" applyNumberFormat="1" applyFont="1" applyBorder="1" applyAlignment="1">
      <alignment vertical="center" wrapText="1"/>
    </xf>
    <xf numFmtId="165" fontId="16" fillId="0" borderId="20" xfId="0" applyNumberFormat="1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2" fontId="16" fillId="0" borderId="21" xfId="0" applyNumberFormat="1" applyFont="1" applyBorder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19" fillId="8" borderId="29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vertical="center" wrapText="1"/>
    </xf>
    <xf numFmtId="0" fontId="19" fillId="0" borderId="31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8" fillId="0" borderId="26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2" fontId="18" fillId="9" borderId="22" xfId="0" applyNumberFormat="1" applyFont="1" applyFill="1" applyBorder="1" applyAlignment="1">
      <alignment vertical="center" wrapText="1"/>
    </xf>
    <xf numFmtId="2" fontId="18" fillId="9" borderId="21" xfId="0" applyNumberFormat="1" applyFont="1" applyFill="1" applyBorder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8" fillId="0" borderId="29" xfId="0" applyNumberFormat="1" applyFont="1" applyBorder="1" applyAlignment="1">
      <alignment vertical="center" wrapText="1"/>
    </xf>
    <xf numFmtId="2" fontId="18" fillId="8" borderId="0" xfId="0" applyNumberFormat="1" applyFont="1" applyFill="1" applyAlignment="1">
      <alignment vertical="center" wrapText="1"/>
    </xf>
    <xf numFmtId="2" fontId="18" fillId="8" borderId="29" xfId="0" applyNumberFormat="1" applyFont="1" applyFill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8" borderId="19" xfId="0" applyFont="1" applyFill="1" applyBorder="1" applyAlignment="1">
      <alignment vertical="center" wrapText="1"/>
    </xf>
    <xf numFmtId="0" fontId="18" fillId="9" borderId="18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22" xfId="0" applyFont="1" applyBorder="1" applyAlignment="1">
      <alignment vertical="center" wrapText="1"/>
    </xf>
    <xf numFmtId="0" fontId="18" fillId="0" borderId="20" xfId="0" applyFont="1" applyBorder="1" applyAlignment="1">
      <alignment vertical="center"/>
    </xf>
    <xf numFmtId="0" fontId="18" fillId="0" borderId="21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23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8" fillId="0" borderId="21" xfId="0" applyFont="1" applyBorder="1" applyAlignment="1">
      <alignment vertical="center"/>
    </xf>
    <xf numFmtId="165" fontId="18" fillId="0" borderId="0" xfId="0" applyNumberFormat="1" applyFont="1" applyAlignment="1">
      <alignment vertical="center"/>
    </xf>
    <xf numFmtId="165" fontId="18" fillId="0" borderId="29" xfId="0" applyNumberFormat="1" applyFont="1" applyBorder="1" applyAlignment="1">
      <alignment vertical="center"/>
    </xf>
    <xf numFmtId="2" fontId="18" fillId="0" borderId="2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2" fontId="18" fillId="0" borderId="29" xfId="0" applyNumberFormat="1" applyFont="1" applyBorder="1" applyAlignment="1">
      <alignment vertical="center"/>
    </xf>
    <xf numFmtId="2" fontId="18" fillId="0" borderId="21" xfId="0" applyNumberFormat="1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22" fillId="0" borderId="18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16" fillId="0" borderId="34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2" fontId="16" fillId="0" borderId="20" xfId="0" applyNumberFormat="1" applyFont="1" applyBorder="1" applyAlignment="1">
      <alignment horizontal="right" vertical="center"/>
    </xf>
    <xf numFmtId="0" fontId="22" fillId="0" borderId="2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 wrapText="1"/>
    </xf>
    <xf numFmtId="2" fontId="16" fillId="0" borderId="24" xfId="0" applyNumberFormat="1" applyFont="1" applyBorder="1" applyAlignment="1">
      <alignment vertical="center" wrapText="1"/>
    </xf>
    <xf numFmtId="2" fontId="16" fillId="0" borderId="18" xfId="0" applyNumberFormat="1" applyFont="1" applyBorder="1" applyAlignment="1">
      <alignment vertical="center" wrapText="1"/>
    </xf>
    <xf numFmtId="2" fontId="16" fillId="0" borderId="20" xfId="0" applyNumberFormat="1" applyFont="1" applyBorder="1" applyAlignment="1">
      <alignment vertical="center" wrapText="1"/>
    </xf>
    <xf numFmtId="166" fontId="16" fillId="0" borderId="18" xfId="0" applyNumberFormat="1" applyFont="1" applyBorder="1" applyAlignment="1">
      <alignment vertical="center" wrapText="1"/>
    </xf>
    <xf numFmtId="166" fontId="16" fillId="0" borderId="21" xfId="0" applyNumberFormat="1" applyFont="1" applyBorder="1" applyAlignment="1">
      <alignment vertical="center" wrapText="1"/>
    </xf>
    <xf numFmtId="11" fontId="16" fillId="0" borderId="18" xfId="0" applyNumberFormat="1" applyFont="1" applyBorder="1" applyAlignment="1">
      <alignment vertical="center" wrapText="1"/>
    </xf>
    <xf numFmtId="0" fontId="18" fillId="0" borderId="23" xfId="0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16" fillId="0" borderId="0" xfId="0" applyFont="1"/>
    <xf numFmtId="0" fontId="0" fillId="0" borderId="0" xfId="0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165" fontId="16" fillId="0" borderId="0" xfId="0" applyNumberFormat="1" applyFont="1" applyBorder="1" applyAlignment="1">
      <alignment horizontal="right" vertical="center"/>
    </xf>
    <xf numFmtId="0" fontId="16" fillId="0" borderId="22" xfId="0" applyFont="1" applyBorder="1" applyAlignment="1">
      <alignment vertical="center"/>
    </xf>
    <xf numFmtId="0" fontId="16" fillId="0" borderId="19" xfId="0" applyFont="1" applyBorder="1" applyAlignment="1">
      <alignment vertical="center" wrapText="1"/>
    </xf>
    <xf numFmtId="165" fontId="16" fillId="0" borderId="29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2" fillId="0" borderId="17" xfId="0" applyFont="1" applyBorder="1"/>
    <xf numFmtId="0" fontId="12" fillId="0" borderId="18" xfId="0" applyFont="1" applyBorder="1"/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29" xfId="0" applyBorder="1" applyAlignment="1">
      <alignment horizontal="center" wrapText="1"/>
    </xf>
    <xf numFmtId="0" fontId="16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18" fillId="0" borderId="23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16" fillId="0" borderId="23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8" fillId="0" borderId="33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2" fillId="0" borderId="22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18" fillId="0" borderId="25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32" xfId="0" applyFont="1" applyBorder="1" applyAlignment="1">
      <alignment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32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A2D2C9"/>
      <color rgb="FF4BBBA7"/>
      <color rgb="FF54BB91"/>
      <color rgb="FFB1C38F"/>
      <color rgb="FF4892C6"/>
      <color rgb="FF9B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(Main_Analysis!$G$10,Main_Analysis!$G$13,Main_Analysis!$G$16)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(Main_Analysis!$E$10,Main_Analysis!$E$13,Main_Analysis!$E$16)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524E-9486-7B9E3E74C60F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xVal>
            <c:numRef>
              <c:f>(Main_Analysis!$G$5,Main_Analysis!$G$12,Main_Analysis!$G$14)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(Main_Analysis!$E$5,Main_Analysis!$E$12,Main_Analysis!$E$14)</c:f>
              <c:numCache>
                <c:formatCode>General</c:formatCode>
                <c:ptCount val="3"/>
                <c:pt idx="0">
                  <c:v>0.35799999999999998</c:v>
                </c:pt>
                <c:pt idx="1">
                  <c:v>0.317</c:v>
                </c:pt>
                <c:pt idx="2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2-524E-9486-7B9E3E74C60F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BBBA7"/>
              </a:solidFill>
              <a:ln w="22225">
                <a:solidFill>
                  <a:srgbClr val="4BBBA7"/>
                </a:solidFill>
              </a:ln>
              <a:effectLst/>
            </c:spPr>
          </c:marker>
          <c:xVal>
            <c:numRef>
              <c:f>(Main_Analysis!$G$6,Main_Analysis!$G$9,Main_Analysis!$G$11)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(Main_Analysis!$E$6,Main_Analysis!$E$9,Main_Analysis!$E$11)</c:f>
              <c:numCache>
                <c:formatCode>General</c:formatCode>
                <c:ptCount val="3"/>
                <c:pt idx="0">
                  <c:v>0.307</c:v>
                </c:pt>
                <c:pt idx="1">
                  <c:v>0.246</c:v>
                </c:pt>
                <c:pt idx="2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02-524E-9486-7B9E3E74C60F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892C6"/>
              </a:solidFill>
              <a:ln w="22225">
                <a:solidFill>
                  <a:srgbClr val="4892C6"/>
                </a:solidFill>
              </a:ln>
              <a:effectLst/>
            </c:spPr>
          </c:marker>
          <c:xVal>
            <c:numRef>
              <c:f>(Main_Analysis!$G$7,Main_Analysis!$G$8,Main_Analysis!$G$15)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(Main_Analysis!$E$7,Main_Analysis!$E$8,Main_Analysis!$E$15)</c:f>
              <c:numCache>
                <c:formatCode>General</c:formatCode>
                <c:ptCount val="3"/>
                <c:pt idx="0">
                  <c:v>0.373</c:v>
                </c:pt>
                <c:pt idx="1">
                  <c:v>0.36799999999999999</c:v>
                </c:pt>
                <c:pt idx="2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02-524E-9486-7B9E3E74C60F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Main_Analysis!$M$4:$M$44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Main_Analysis!$M$4:$M$44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02-524E-9486-7B9E3E74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(Gully1Run!$G$10,Gully1Run!$G$13,Gully1Run!$G$16)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(Gully1Run!$E$10,Gully1Run!$E$13,Gully1Run!$E$16)</c:f>
              <c:numCache>
                <c:formatCode>General</c:formatCode>
                <c:ptCount val="3"/>
                <c:pt idx="0">
                  <c:v>10.166</c:v>
                </c:pt>
                <c:pt idx="1">
                  <c:v>6.9909999999999997</c:v>
                </c:pt>
                <c:pt idx="2">
                  <c:v>17.686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5140-A716-404BB3F1FDD1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(Gully1Run!$G$5,Gully1Run!$G$12,Gully1Run!$G$14)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(Gully1Run!$E$5,Gully1Run!$E$12,Gully1Run!$E$14)</c:f>
              <c:numCache>
                <c:formatCode>General</c:formatCode>
                <c:ptCount val="3"/>
                <c:pt idx="0">
                  <c:v>0.33900000000000002</c:v>
                </c:pt>
                <c:pt idx="1">
                  <c:v>0.307</c:v>
                </c:pt>
                <c:pt idx="2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5140-A716-404BB3F1FDD1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(Gully1Run!$G$6,Gully1Run!$G$9,Gully1Run!$G$11)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(Gully1Run!$E$6,Gully1Run!$E$9,Gully1Run!$E$11)</c:f>
              <c:numCache>
                <c:formatCode>General</c:formatCode>
                <c:ptCount val="3"/>
                <c:pt idx="0">
                  <c:v>0.308</c:v>
                </c:pt>
                <c:pt idx="1">
                  <c:v>0.21199999999999999</c:v>
                </c:pt>
                <c:pt idx="2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5-5140-A716-404BB3F1FDD1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(Gully1Run!$G$7,Gully1Run!$G$8,Gully1Run!$G$15)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(Gully1Run!$E$7,Gully1Run!$E$8,Gully1Run!$E$15)</c:f>
              <c:numCache>
                <c:formatCode>General</c:formatCode>
                <c:ptCount val="3"/>
                <c:pt idx="0">
                  <c:v>0.35599999999999998</c:v>
                </c:pt>
                <c:pt idx="1">
                  <c:v>0.377</c:v>
                </c:pt>
                <c:pt idx="2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5-5140-A716-404BB3F1FDD1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Gully1Run!$M$4:$M$44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Gully1Run!$M$4:$M$44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C5-5140-A716-404BB3F1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(Gully1Run!$F$10,Gully1Run!$F$13,Gully1Run!$F$16)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(Gully1Run!$C$10,Gully1Run!$C$13,Gully1Run!$C$16)</c:f>
              <c:numCache>
                <c:formatCode>General</c:formatCode>
                <c:ptCount val="3"/>
                <c:pt idx="0">
                  <c:v>109.59</c:v>
                </c:pt>
                <c:pt idx="1">
                  <c:v>126.64</c:v>
                </c:pt>
                <c:pt idx="2">
                  <c:v>132.32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C-5F44-9B99-96FC268CE70B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(Gully1Run!$F$5,Gully1Run!$F$12,Gully1Run!$F$14)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(Gully1Run!$C$5,Gully1Run!$C$12,Gully1Run!$C$14)</c:f>
              <c:numCache>
                <c:formatCode>General</c:formatCode>
                <c:ptCount val="3"/>
                <c:pt idx="0">
                  <c:v>100.55</c:v>
                </c:pt>
                <c:pt idx="1">
                  <c:v>113.06</c:v>
                </c:pt>
                <c:pt idx="2">
                  <c:v>77.34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C-5F44-9B99-96FC268CE70B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(Gully1Run!$F$6,Gully1Run!$F$9,Gully1Run!$F$11)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(Gully1Run!$C$6,Gully1Run!$C$9,Gully1Run!$C$11)</c:f>
              <c:numCache>
                <c:formatCode>General</c:formatCode>
                <c:ptCount val="3"/>
                <c:pt idx="0">
                  <c:v>87.14</c:v>
                </c:pt>
                <c:pt idx="1">
                  <c:v>62.2</c:v>
                </c:pt>
                <c:pt idx="2">
                  <c:v>110.8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C-5F44-9B99-96FC268CE70B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(Gully1Run!$F$7,Gully1Run!$F$8,Gully1Run!$F$15)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(Gully1Run!$C$7,Gully1Run!$C$8,Gully1Run!$C$15)</c:f>
              <c:numCache>
                <c:formatCode>General</c:formatCode>
                <c:ptCount val="3"/>
                <c:pt idx="0">
                  <c:v>91.43</c:v>
                </c:pt>
                <c:pt idx="1">
                  <c:v>87.84</c:v>
                </c:pt>
                <c:pt idx="2">
                  <c:v>92.87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C-5F44-9B99-96FC268C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(Gully2Run!$G$10,Gully2Run!$G$13,Gully2Run!$G$16)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(Gully2Run!$E$10,Gully2Run!$E$13,Gully2Run!$E$16)</c:f>
              <c:numCache>
                <c:formatCode>General</c:formatCode>
                <c:ptCount val="3"/>
                <c:pt idx="0">
                  <c:v>12.57</c:v>
                </c:pt>
                <c:pt idx="1">
                  <c:v>6.6</c:v>
                </c:pt>
                <c:pt idx="2">
                  <c:v>11.686999999999999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0A43-90A3-F6FB5C189A4A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(Gully2Run!$G$5,Gully2Run!$G$12,Gully2Run!$G$14)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(Gully2Run!$E$5,Gully2Run!$E$12,Gully2Run!$E$14)</c:f>
              <c:numCache>
                <c:formatCode>General</c:formatCode>
                <c:ptCount val="3"/>
                <c:pt idx="0">
                  <c:v>0.315</c:v>
                </c:pt>
                <c:pt idx="1">
                  <c:v>0.25800000000000001</c:v>
                </c:pt>
                <c:pt idx="2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0A43-90A3-F6FB5C189A4A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(Gully2Run!$G$6,Gully2Run!$G$9,Gully2Run!$G$11)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(Gully2Run!$E$6,Gully2Run!$E$9,Gully2Run!$E$11)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0.26400000000000001</c:v>
                </c:pt>
                <c:pt idx="2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0A43-90A3-F6FB5C189A4A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(Gully2Run!$G$7,Gully2Run!$G$8,Gully2Run!$G$15)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(Gully2Run!$E$7,Gully2Run!$E$8,Gully2Run!$E$15)</c:f>
              <c:numCache>
                <c:formatCode>General</c:formatCode>
                <c:ptCount val="3"/>
                <c:pt idx="0">
                  <c:v>0.32400000000000001</c:v>
                </c:pt>
                <c:pt idx="1">
                  <c:v>0.38500000000000001</c:v>
                </c:pt>
                <c:pt idx="2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6-0A43-90A3-F6FB5C189A4A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Gully2Run!$M$4:$M$44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Gully2Run!$M$4:$M$44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6-0A43-90A3-F6FB5C18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(Gully2Run!$F$10,Gully2Run!$F$13,Gully2Run!$F$16)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(Gully2Run!$C$10,Gully2Run!$C$13,Gully2Run!$C$16)</c:f>
              <c:numCache>
                <c:formatCode>General</c:formatCode>
                <c:ptCount val="3"/>
                <c:pt idx="0">
                  <c:v>109.1</c:v>
                </c:pt>
                <c:pt idx="1">
                  <c:v>129.12</c:v>
                </c:pt>
                <c:pt idx="2">
                  <c:v>134.72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3-C549-956F-418A081894F7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(Gully2Run!$F$5,Gully2Run!$F$12,Gully2Run!$F$14)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(Gully2Run!$C$5,Gully2Run!$C$12,Gully2Run!$C$14)</c:f>
              <c:numCache>
                <c:formatCode>General</c:formatCode>
                <c:ptCount val="3"/>
                <c:pt idx="0">
                  <c:v>100.08</c:v>
                </c:pt>
                <c:pt idx="1">
                  <c:v>113.07</c:v>
                </c:pt>
                <c:pt idx="2">
                  <c:v>77.88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3-C549-956F-418A081894F7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(Gully2Run!$F$6,Gully2Run!$F$9,Gully2Run!$F$11)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(Gully2Run!$C$6,Gully2Run!$C$9,Gully2Run!$C$11)</c:f>
              <c:numCache>
                <c:formatCode>General</c:formatCode>
                <c:ptCount val="3"/>
                <c:pt idx="0">
                  <c:v>86.57</c:v>
                </c:pt>
                <c:pt idx="1">
                  <c:v>63.15</c:v>
                </c:pt>
                <c:pt idx="2">
                  <c:v>110.73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3-C549-956F-418A081894F7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(Gully2Run!$F$7,Gully2Run!$F$8,Gully2Run!$F$15)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(Gully2Run!$C$7,Gully2Run!$C$8,Gully2Run!$C$15)</c:f>
              <c:numCache>
                <c:formatCode>General</c:formatCode>
                <c:ptCount val="3"/>
                <c:pt idx="0">
                  <c:v>88.58</c:v>
                </c:pt>
                <c:pt idx="1">
                  <c:v>88.41</c:v>
                </c:pt>
                <c:pt idx="2">
                  <c:v>92.93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3-C549-956F-418A0818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(BEINP12Run!$G$10,BEINP12Run!$G$13,BEINP12Run!$G$16)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(BEINP12Run!$E$10,BEINP12Run!$E$13,BEINP12Run!$E$16)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1-7041-8BA5-61B4D69FA822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(BEINP12Run!$G$5,BEINP12Run!$G$12,BEINP12Run!$G$14)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(BEINP12Run!$E$5,BEINP12Run!$E$12,BEINP12Run!$E$14)</c:f>
              <c:numCache>
                <c:formatCode>General</c:formatCode>
                <c:ptCount val="3"/>
                <c:pt idx="0">
                  <c:v>0.40699999999999997</c:v>
                </c:pt>
                <c:pt idx="1">
                  <c:v>0.34499999999999997</c:v>
                </c:pt>
                <c:pt idx="2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1-7041-8BA5-61B4D69FA822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(BEINP12Run!$G$6,BEINP12Run!$G$9,BEINP12Run!$G$11)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(BEINP12Run!$E$6,BEINP12Run!$E$9,BEINP12Run!$E$11)</c:f>
              <c:numCache>
                <c:formatCode>General</c:formatCode>
                <c:ptCount val="3"/>
                <c:pt idx="0">
                  <c:v>0.35</c:v>
                </c:pt>
                <c:pt idx="1">
                  <c:v>0.28999999999999998</c:v>
                </c:pt>
                <c:pt idx="2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1-7041-8BA5-61B4D69FA822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(BEINP12Run!$G$7,BEINP12Run!$G$8,BEINP12Run!$G$15)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(BEINP12Run!$E$7,BEINP12Run!$E$8,BEINP12Run!$E$15)</c:f>
              <c:numCache>
                <c:formatCode>General</c:formatCode>
                <c:ptCount val="3"/>
                <c:pt idx="0">
                  <c:v>0.439</c:v>
                </c:pt>
                <c:pt idx="1">
                  <c:v>0.46899999999999997</c:v>
                </c:pt>
                <c:pt idx="2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1-7041-8BA5-61B4D69FA822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BEINP12Run!$M$4:$M$44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BEINP12Run!$M$4:$M$44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1-7041-8BA5-61B4D69F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(BEINP12Run!$F$10,BEINP12Run!$F$13,BEINP12Run!$F$16)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(BEINP12Run!$C$10,BEINP12Run!$C$13,BEINP12Run!$C$16)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0541-89DE-71A79F5737C1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(BEINP12Run!$F$5,BEINP12Run!$F$12,BEINP12Run!$F$14)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(BEINP12Run!$C$5,BEINP12Run!$C$12,BEINP12Run!$C$14)</c:f>
              <c:numCache>
                <c:formatCode>General</c:formatCode>
                <c:ptCount val="3"/>
                <c:pt idx="0">
                  <c:v>102.36</c:v>
                </c:pt>
                <c:pt idx="1">
                  <c:v>113.92</c:v>
                </c:pt>
                <c:pt idx="2">
                  <c:v>78.48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C-0541-89DE-71A79F5737C1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(BEINP12Run!$F$6,BEINP12Run!$F$9,BEINP12Run!$F$11)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(BEINP12Run!$C$6,BEINP12Run!$C$9,BEINP12Run!$C$11)</c:f>
              <c:numCache>
                <c:formatCode>General</c:formatCode>
                <c:ptCount val="3"/>
                <c:pt idx="0">
                  <c:v>89.9</c:v>
                </c:pt>
                <c:pt idx="1">
                  <c:v>63.68</c:v>
                </c:pt>
                <c:pt idx="2">
                  <c:v>112.2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C-0541-89DE-71A79F5737C1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(BEINP12Run!$F$7,BEINP12Run!$F$8,BEINP12Run!$F$15)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(BEINP12Run!$C$7,BEINP12Run!$C$8,BEINP12Run!$C$15)</c:f>
              <c:numCache>
                <c:formatCode>General</c:formatCode>
                <c:ptCount val="3"/>
                <c:pt idx="0">
                  <c:v>93.79</c:v>
                </c:pt>
                <c:pt idx="1">
                  <c:v>88.9</c:v>
                </c:pt>
                <c:pt idx="2">
                  <c:v>93.62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C-0541-89DE-71A79F57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(BEINP20Run!$G$10,BEINP20Run!$G$13,BEINP20Run!$G$16)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(BEINP20Run!$E$10,BEINP20Run!$E$13,BEINP20Run!$E$16)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2E45-93A0-EEE4D69E592A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(BEINP20Run!$G$5,BEINP20Run!$G$12,BEINP20Run!$G$14)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(BEINP20Run!$E$5,BEINP20Run!$E$12,BEINP20Run!$E$14)</c:f>
              <c:numCache>
                <c:formatCode>General</c:formatCode>
                <c:ptCount val="3"/>
                <c:pt idx="0">
                  <c:v>0.35899999999999999</c:v>
                </c:pt>
                <c:pt idx="1">
                  <c:v>0.28699999999999998</c:v>
                </c:pt>
                <c:pt idx="2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2E45-93A0-EEE4D69E592A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(BEINP20Run!$G$6,BEINP20Run!$G$9,BEINP20Run!$G$11)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(BEINP20Run!$E$6,BEINP20Run!$E$9,BEINP20Run!$E$11)</c:f>
              <c:numCache>
                <c:formatCode>General</c:formatCode>
                <c:ptCount val="3"/>
                <c:pt idx="0">
                  <c:v>0.28299999999999997</c:v>
                </c:pt>
                <c:pt idx="1">
                  <c:v>0.22900000000000001</c:v>
                </c:pt>
                <c:pt idx="2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2E45-93A0-EEE4D69E592A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(BEINP20Run!$G$7,BEINP20Run!$G$8,BEINP20Run!$G$15)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(BEINP20Run!$E$7,BEINP20Run!$E$8,BEINP20Run!$E$15)</c:f>
              <c:numCache>
                <c:formatCode>General</c:formatCode>
                <c:ptCount val="3"/>
                <c:pt idx="0">
                  <c:v>0.35899999999999999</c:v>
                </c:pt>
                <c:pt idx="1">
                  <c:v>0.34499999999999997</c:v>
                </c:pt>
                <c:pt idx="2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2E45-93A0-EEE4D69E592A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BEINP20Run!$M$4:$M$44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BEINP20Run!$M$4:$M$44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2E45-93A0-EEE4D69E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(BEINP20Run!$F$10,BEINP20Run!$F$13,BEINP20Run!$F$16)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(BEINP20Run!$C$10,BEINP20Run!$C$13,BEINP20Run!$C$16)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4-5D41-94B3-22AD00AB62FC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(BEINP20Run!$F$5,BEINP20Run!$F$12,BEINP20Run!$F$14)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(BEINP20Run!$C$5,BEINP20Run!$C$12,BEINP20Run!$C$14)</c:f>
              <c:numCache>
                <c:formatCode>General</c:formatCode>
                <c:ptCount val="3"/>
                <c:pt idx="0">
                  <c:v>100.86</c:v>
                </c:pt>
                <c:pt idx="1">
                  <c:v>113.52</c:v>
                </c:pt>
                <c:pt idx="2">
                  <c:v>77.680000000000007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4-5D41-94B3-22AD00AB62FC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(BEINP20Run!$F$6,BEINP20Run!$F$9,BEINP20Run!$F$11)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(BEINP20Run!$C$6,BEINP20Run!$C$9,BEINP20Run!$C$11)</c:f>
              <c:numCache>
                <c:formatCode>General</c:formatCode>
                <c:ptCount val="3"/>
                <c:pt idx="0">
                  <c:v>87.79</c:v>
                </c:pt>
                <c:pt idx="1">
                  <c:v>62.63</c:v>
                </c:pt>
                <c:pt idx="2">
                  <c:v>110.93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4-5D41-94B3-22AD00AB62FC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(BEINP20Run!$F$7,BEINP20Run!$F$8,BEINP20Run!$F$15)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(BEINP20Run!$C$7,BEINP20Run!$C$8,BEINP20Run!$C$15)</c:f>
              <c:numCache>
                <c:formatCode>General</c:formatCode>
                <c:ptCount val="3"/>
                <c:pt idx="0">
                  <c:v>91.93</c:v>
                </c:pt>
                <c:pt idx="1">
                  <c:v>86.92</c:v>
                </c:pt>
                <c:pt idx="2">
                  <c:v>92.92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4-5D41-94B3-22AD00AB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(FairKSRun!$G$10,FairKSRun!$G$13,FairKSRun!$G$16)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(FairKSRun!$E$10,FairKSRun!$E$13,FairKSRun!$E$16)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C64B-AE39-5B6C60CFCE9F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(FairKSRun!$G$5,FairKSRun!$G$12,FairKSRun!$G$14)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(FairKSRun!$E$5,FairKSRun!$E$12,FairKSRun!$E$14)</c:f>
              <c:numCache>
                <c:formatCode>General</c:formatCode>
                <c:ptCount val="3"/>
                <c:pt idx="0">
                  <c:v>0.35799999999999998</c:v>
                </c:pt>
                <c:pt idx="1">
                  <c:v>0.317</c:v>
                </c:pt>
                <c:pt idx="2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6-C64B-AE39-5B6C60CFCE9F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(FairKSRun!$G$6,FairKSRun!$G$9,FairKSRun!$G$11)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(FairKSRun!$E$6,FairKSRun!$E$9,FairKSRun!$E$11)</c:f>
              <c:numCache>
                <c:formatCode>General</c:formatCode>
                <c:ptCount val="3"/>
                <c:pt idx="0">
                  <c:v>0.307</c:v>
                </c:pt>
                <c:pt idx="1">
                  <c:v>0.247</c:v>
                </c:pt>
                <c:pt idx="2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6-C64B-AE39-5B6C60CFCE9F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(FairKSRun!$G$7,FairKSRun!$G$8,FairKSRun!$G$15)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(FairKSRun!$E$7,FairKSRun!$E$8,FairKSRun!$E$15)</c:f>
              <c:numCache>
                <c:formatCode>General</c:formatCode>
                <c:ptCount val="3"/>
                <c:pt idx="0">
                  <c:v>0.373</c:v>
                </c:pt>
                <c:pt idx="1">
                  <c:v>0.36799999999999999</c:v>
                </c:pt>
                <c:pt idx="2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F6-C64B-AE39-5B6C60CFCE9F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FairKSRun!$M$4:$M$44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FairKSRun!$M$4:$M$44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F6-C64B-AE39-5B6C60CF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(FairKSRun!$F$10,FairKSRun!$F$13,FairKSRun!$F$16)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(FairKSRun!$C$10,FairKSRun!$C$13,FairKSRun!$C$16)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1-D74A-A064-E63B295AF0CB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(FairKSRun!$F$5,FairKSRun!$F$12,FairKSRun!$F$14)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(FairKSRun!$C$5,FairKSRun!$C$12,FairKSRun!$C$14)</c:f>
              <c:numCache>
                <c:formatCode>General</c:formatCode>
                <c:ptCount val="3"/>
                <c:pt idx="0">
                  <c:v>101.39</c:v>
                </c:pt>
                <c:pt idx="1">
                  <c:v>113.43</c:v>
                </c:pt>
                <c:pt idx="2">
                  <c:v>77.680000000000007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1-D74A-A064-E63B295AF0CB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(FairKSRun!$F$6,FairKSRun!$F$9,FairKSRun!$F$11)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(FairKSRun!$C$6,FairKSRun!$C$9,FairKSRun!$C$11)</c:f>
              <c:numCache>
                <c:formatCode>General</c:formatCode>
                <c:ptCount val="3"/>
                <c:pt idx="0">
                  <c:v>87.84</c:v>
                </c:pt>
                <c:pt idx="1">
                  <c:v>62.61</c:v>
                </c:pt>
                <c:pt idx="2">
                  <c:v>111.33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1-D74A-A064-E63B295AF0CB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(FairKSRun!$F$7,FairKSRun!$F$8,FairKSRun!$F$15)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(FairKSRun!$C$7,FairKSRun!$C$8,FairKSRun!$C$15)</c:f>
              <c:numCache>
                <c:formatCode>General</c:formatCode>
                <c:ptCount val="3"/>
                <c:pt idx="0">
                  <c:v>91.93</c:v>
                </c:pt>
                <c:pt idx="1">
                  <c:v>87.35</c:v>
                </c:pt>
                <c:pt idx="2">
                  <c:v>92.98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1-D74A-A064-E63B295A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 2007-2014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(Main_Analysis!$F$10,Main_Analysis!$F$13,Main_Analysis!$F$16)</c:f>
              <c:numCache>
                <c:formatCode>0.00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(Main_Analysis!$C$10,Main_Analysis!$C$13,Main_Analysis!$C$16)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A-614B-AE45-4434B2FA3A13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xVal>
            <c:numRef>
              <c:f>(Main_Analysis!$F$5,Main_Analysis!$F$12,Main_Analysis!$F$14)</c:f>
              <c:numCache>
                <c:formatCode>0.00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(Main_Analysis!$C$5,Main_Analysis!$C$12,Main_Analysis!$C$14)</c:f>
              <c:numCache>
                <c:formatCode>General</c:formatCode>
                <c:ptCount val="3"/>
                <c:pt idx="0">
                  <c:v>101.37</c:v>
                </c:pt>
                <c:pt idx="1">
                  <c:v>113.47</c:v>
                </c:pt>
                <c:pt idx="2">
                  <c:v>77.62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A-614B-AE45-4434B2FA3A13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BBBA7"/>
              </a:solidFill>
              <a:ln w="22225">
                <a:solidFill>
                  <a:srgbClr val="4BBBA7"/>
                </a:solidFill>
              </a:ln>
              <a:effectLst/>
            </c:spPr>
          </c:marker>
          <c:xVal>
            <c:numRef>
              <c:f>(Main_Analysis!$F$6,Main_Analysis!$F$9,Main_Analysis!$F$11)</c:f>
              <c:numCache>
                <c:formatCode>0.00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(Main_Analysis!$C$6,Main_Analysis!$C$9,Main_Analysis!$C$11)</c:f>
              <c:numCache>
                <c:formatCode>General</c:formatCode>
                <c:ptCount val="3"/>
                <c:pt idx="0">
                  <c:v>87.87</c:v>
                </c:pt>
                <c:pt idx="1">
                  <c:v>62.58</c:v>
                </c:pt>
                <c:pt idx="2">
                  <c:v>111.35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A-614B-AE45-4434B2FA3A13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892C6"/>
              </a:solidFill>
              <a:ln w="22225">
                <a:solidFill>
                  <a:srgbClr val="4892C6"/>
                </a:solidFill>
              </a:ln>
              <a:effectLst/>
            </c:spPr>
          </c:marker>
          <c:xVal>
            <c:numRef>
              <c:f>(Main_Analysis!$F$7,Main_Analysis!$F$8,Main_Analysis!$F$15)</c:f>
              <c:numCache>
                <c:formatCode>0.00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(Main_Analysis!$C$7,Main_Analysis!$C$8,Main_Analysis!$C$15)</c:f>
              <c:numCache>
                <c:formatCode>General</c:formatCode>
                <c:ptCount val="3"/>
                <c:pt idx="0">
                  <c:v>91.89</c:v>
                </c:pt>
                <c:pt idx="1">
                  <c:v>87.33</c:v>
                </c:pt>
                <c:pt idx="2">
                  <c:v>92.78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A-614B-AE45-4434B2FA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93349054718412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(kg/m2)</a:t>
                </a:r>
              </a:p>
            </c:rich>
          </c:tx>
          <c:layout>
            <c:manualLayout>
              <c:xMode val="edge"/>
              <c:yMode val="edge"/>
              <c:x val="8.3263120028778132E-3"/>
              <c:y val="0.3275648717644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(FairNERun!$G$10,FairNERun!$G$13,FairNERun!$G$16)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(FairNERun!$E$10,FairNERun!$E$13,FairNERun!$E$16)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2-8F46-8AAC-D68A458B4BE1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(FairNERun!$G$5,FairNERun!$G$12,FairNERun!$G$14)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(FairNERun!$E$5,FairNERun!$E$12,FairNERun!$E$14)</c:f>
              <c:numCache>
                <c:formatCode>General</c:formatCode>
                <c:ptCount val="3"/>
                <c:pt idx="0">
                  <c:v>0.35699999999999998</c:v>
                </c:pt>
                <c:pt idx="1">
                  <c:v>0.317</c:v>
                </c:pt>
                <c:pt idx="2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2-8F46-8AAC-D68A458B4BE1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(FairNERun!$G$6,FairNERun!$G$9,FairNERun!$G$11)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(FairNERun!$E$6,FairNERun!$E$9,FairNERun!$E$11)</c:f>
              <c:numCache>
                <c:formatCode>General</c:formatCode>
                <c:ptCount val="3"/>
                <c:pt idx="0">
                  <c:v>0.307</c:v>
                </c:pt>
                <c:pt idx="1">
                  <c:v>0.247</c:v>
                </c:pt>
                <c:pt idx="2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2-8F46-8AAC-D68A458B4BE1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(FairNERun!$G$7,FairNERun!$G$8,FairNERun!$G$15)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(FairNERun!$E$7,FairNERun!$E$8,FairNERun!$E$15)</c:f>
              <c:numCache>
                <c:formatCode>General</c:formatCode>
                <c:ptCount val="3"/>
                <c:pt idx="0">
                  <c:v>0.373</c:v>
                </c:pt>
                <c:pt idx="1">
                  <c:v>0.36799999999999999</c:v>
                </c:pt>
                <c:pt idx="2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2-8F46-8AAC-D68A458B4BE1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FairNERun!$M$4:$M$44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FairNERun!$M$4:$M$44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2-8F46-8AAC-D68A458B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(FairNERun!$F$10,FairNERun!$F$13,FairNERun!$F$16)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(FairNERun!$C$10,FairNERun!$C$13,FairNERun!$C$16)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6-224D-A188-631B61FCF4B0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(FairNERun!$F$5,FairNERun!$F$12,FairNERun!$F$14)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(FairNERun!$C$5,FairNERun!$C$12,FairNERun!$C$14)</c:f>
              <c:numCache>
                <c:formatCode>General</c:formatCode>
                <c:ptCount val="3"/>
                <c:pt idx="0">
                  <c:v>101.31</c:v>
                </c:pt>
                <c:pt idx="1">
                  <c:v>113.59</c:v>
                </c:pt>
                <c:pt idx="2">
                  <c:v>77.58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224D-A188-631B61FCF4B0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(FairNERun!$F$6,FairNERun!$F$9,FairNERun!$F$11)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(FairNERun!$C$6,FairNERun!$C$9,FairNERun!$C$11)</c:f>
              <c:numCache>
                <c:formatCode>General</c:formatCode>
                <c:ptCount val="3"/>
                <c:pt idx="0">
                  <c:v>87.84</c:v>
                </c:pt>
                <c:pt idx="1">
                  <c:v>62.55</c:v>
                </c:pt>
                <c:pt idx="2">
                  <c:v>111.28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6-224D-A188-631B61FCF4B0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(FairNERun!$F$7,FairNERun!$F$8,FairNERun!$F$15)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(FairNERun!$C$7,FairNERun!$C$8,FairNERun!$C$15)</c:f>
              <c:numCache>
                <c:formatCode>General</c:formatCode>
                <c:ptCount val="3"/>
                <c:pt idx="0">
                  <c:v>91.86</c:v>
                </c:pt>
                <c:pt idx="1">
                  <c:v>87.29</c:v>
                </c:pt>
                <c:pt idx="2">
                  <c:v>92.92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6-224D-A188-631B61FC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(WrongCropRotRun!$G$10,WrongCropRotRun!$G$13,WrongCropRotRun!$G$16)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(WrongCropRotRun!$E$10,WrongCropRotRun!$E$13,WrongCropRotRun!$E$16)</c:f>
              <c:numCache>
                <c:formatCode>General</c:formatCode>
                <c:ptCount val="3"/>
                <c:pt idx="0">
                  <c:v>7.3959999999999999</c:v>
                </c:pt>
                <c:pt idx="1">
                  <c:v>5.077</c:v>
                </c:pt>
                <c:pt idx="2">
                  <c:v>6.6459999999999999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9-2745-9AA0-F27D5C9F994F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(WrongCropRotRun!$G$5,WrongCropRotRun!$G$12,WrongCropRotRun!$G$14)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(WrongCropRotRun!$E$5,WrongCropRotRun!$E$12,WrongCropRotRun!$E$14)</c:f>
              <c:numCache>
                <c:formatCode>General</c:formatCode>
                <c:ptCount val="3"/>
                <c:pt idx="0">
                  <c:v>0.35399999999999998</c:v>
                </c:pt>
                <c:pt idx="1">
                  <c:v>0.35099999999999998</c:v>
                </c:pt>
                <c:pt idx="2">
                  <c:v>0.309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9-2745-9AA0-F27D5C9F994F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(WrongCropRotRun!$G$6,WrongCropRotRun!$G$9,WrongCropRotRun!$G$11)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(WrongCropRotRun!$E$6,WrongCropRotRun!$E$9,WrongCropRotRun!$E$11)</c:f>
              <c:numCache>
                <c:formatCode>General</c:formatCode>
                <c:ptCount val="3"/>
                <c:pt idx="0">
                  <c:v>0.315</c:v>
                </c:pt>
                <c:pt idx="1">
                  <c:v>0.318</c:v>
                </c:pt>
                <c:pt idx="2">
                  <c:v>0.46300000000000002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9-2745-9AA0-F27D5C9F994F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(WrongCropRotRun!$G$7,WrongCropRotRun!$G$8,WrongCropRotRun!$G$15)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(WrongCropRotRun!$E$7,WrongCropRotRun!$E$8,WrongCropRotRun!$E$15)</c:f>
              <c:numCache>
                <c:formatCode>General</c:formatCode>
                <c:ptCount val="3"/>
                <c:pt idx="0">
                  <c:v>0.40699999999999997</c:v>
                </c:pt>
                <c:pt idx="1">
                  <c:v>0.72</c:v>
                </c:pt>
                <c:pt idx="2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9-2745-9AA0-F27D5C9F994F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WrongCropRotRun!$M$4:$M$44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WrongCropRotRun!$M$4:$M$44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9-2745-9AA0-F27D5C9F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(WrongCropRotRun!$F$10,WrongCropRotRun!$F$13,WrongCropRotRun!$F$16)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(WrongCropRotRun!$C$10,WrongCropRotRun!$C$13,WrongCropRotRun!$C$16)</c:f>
              <c:numCache>
                <c:formatCode>General</c:formatCode>
                <c:ptCount val="3"/>
                <c:pt idx="0">
                  <c:v>111.05</c:v>
                </c:pt>
                <c:pt idx="1">
                  <c:v>117.44</c:v>
                </c:pt>
                <c:pt idx="2">
                  <c:v>135.96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2244-AD71-A43200A45F89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(WrongCropRotRun!$F$5,WrongCropRotRun!$F$12,WrongCropRotRun!$F$14)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(WrongCropRotRun!$C$5,WrongCropRotRun!$C$12,WrongCropRotRun!$C$14)</c:f>
              <c:numCache>
                <c:formatCode>General</c:formatCode>
                <c:ptCount val="3"/>
                <c:pt idx="0">
                  <c:v>103.05</c:v>
                </c:pt>
                <c:pt idx="1">
                  <c:v>115.52</c:v>
                </c:pt>
                <c:pt idx="2">
                  <c:v>77.319999999999993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7-2244-AD71-A43200A45F89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(WrongCropRotRun!$F$6,WrongCropRotRun!$F$9,WrongCropRotRun!$F$11)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(WrongCropRotRun!$C$6,WrongCropRotRun!$C$9,WrongCropRotRun!$C$11)</c:f>
              <c:numCache>
                <c:formatCode>General</c:formatCode>
                <c:ptCount val="3"/>
                <c:pt idx="0">
                  <c:v>89.38</c:v>
                </c:pt>
                <c:pt idx="1">
                  <c:v>64.41</c:v>
                </c:pt>
                <c:pt idx="2">
                  <c:v>114.43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7-2244-AD71-A43200A45F89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(WrongCropRotRun!$F$7,WrongCropRotRun!$F$8,WrongCropRotRun!$F$15)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(WrongCropRotRun!$C$7,WrongCropRotRun!$C$8,WrongCropRotRun!$C$15)</c:f>
              <c:numCache>
                <c:formatCode>General</c:formatCode>
                <c:ptCount val="3"/>
                <c:pt idx="0">
                  <c:v>93.15</c:v>
                </c:pt>
                <c:pt idx="1">
                  <c:v>88.77</c:v>
                </c:pt>
                <c:pt idx="2">
                  <c:v>95.92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7-2244-AD71-A43200A4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('50ptGranularityRunB4Only'!$G$10,'50ptGranularityRunB4Only'!$G$13,'50ptGranularityRunB4Only'!$G$16)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('50ptGranularityRunB4Only'!$E$10,'50ptGranularityRunB4Only'!$E$13,'50ptGranularityRunB4Only'!$E$16)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E-8A46-9C6A-56D76075EC31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('50ptGranularityRunB4Only'!$G$5,'50ptGranularityRunB4Only'!$G$12,'50ptGranularityRunB4Only'!$G$14)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('50ptGranularityRunB4Only'!$E$5,'50ptGranularityRunB4Only'!$E$12,'50ptGranularityRunB4Only'!$E$14)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E-8A46-9C6A-56D76075EC31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('50ptGranularityRunB4Only'!$G$6,'50ptGranularityRunB4Only'!$G$9,'50ptGranularityRunB4Only'!$G$11)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('50ptGranularityRunB4Only'!$E$6,'50ptGranularityRunB4Only'!$E$9,'50ptGranularityRunB4Only'!$E$11)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E-8A46-9C6A-56D76075EC31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('50ptGranularityRunB4Only'!$G$7,'50ptGranularityRunB4Only'!$G$8,'50ptGranularityRunB4Only'!$G$15)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('50ptGranularityRunB4Only'!$E$7,'50ptGranularityRunB4Only'!$E$8,'50ptGranularityRunB4Only'!$E$15)</c:f>
              <c:numCache>
                <c:formatCode>General</c:formatCode>
                <c:ptCount val="3"/>
                <c:pt idx="0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E-8A46-9C6A-56D76075EC31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'50ptGranularityRunB4Only'!$M$4:$M$44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'50ptGranularityRunB4Only'!$M$4:$M$44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AE-8A46-9C6A-56D76075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('50ptGranularityRunB4Only'!$F$10,'50ptGranularityRunB4Only'!$F$13,'50ptGranularityRunB4Only'!$F$16)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('50ptGranularityRunB4Only'!$C$10,'50ptGranularityRunB4Only'!$C$13,'50ptGranularityRunB4Only'!$C$16)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4-554B-9EA5-43B561F35FB8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('50ptGranularityRunB4Only'!$F$5,'50ptGranularityRunB4Only'!$F$12,'50ptGranularityRunB4Only'!$F$14)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('50ptGranularityRunB4Only'!$C$5,'50ptGranularityRunB4Only'!$C$12,'50ptGranularityRunB4Only'!$C$14)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554B-9EA5-43B561F35FB8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('50ptGranularityRunB4Only'!$F$6,'50ptGranularityRunB4Only'!$F$9,'50ptGranularityRunB4Only'!$F$11)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('50ptGranularityRunB4Only'!$C$6,'50ptGranularityRunB4Only'!$C$9,'50ptGranularityRunB4Only'!$C$11)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4-554B-9EA5-43B561F35FB8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('50ptGranularityRunB4Only'!$F$7,'50ptGranularityRunB4Only'!$F$8,'50ptGranularityRunB4Only'!$F$15)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('50ptGranularityRunB4Only'!$C$7,'50ptGranularityRunB4Only'!$C$8,'50ptGranularityRunB4Only'!$C$15)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4-554B-9EA5-43B561F3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('Pre-Calibration_Run'!$G$10,'Pre-Calibration_Run'!$G$13,'Pre-Calibration_Run'!$G$16)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('Pre-Calibration_Run'!$E$10,'Pre-Calibration_Run'!$E$13,'Pre-Calibration_Run'!$E$16)</c:f>
              <c:numCache>
                <c:formatCode>General</c:formatCode>
                <c:ptCount val="3"/>
                <c:pt idx="0">
                  <c:v>11.923999999999999</c:v>
                </c:pt>
                <c:pt idx="1">
                  <c:v>8.8290000000000006</c:v>
                </c:pt>
                <c:pt idx="2">
                  <c:v>13.234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5-5544-AB7B-48151C37DA6E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('Pre-Calibration_Run'!$G$5,'Pre-Calibration_Run'!$G$12,'Pre-Calibration_Run'!$G$14)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('Pre-Calibration_Run'!$E$5,'Pre-Calibration_Run'!$E$12,'Pre-Calibration_Run'!$E$14)</c:f>
              <c:numCache>
                <c:formatCode>General</c:formatCode>
                <c:ptCount val="3"/>
                <c:pt idx="0">
                  <c:v>3.2160000000000002</c:v>
                </c:pt>
                <c:pt idx="1">
                  <c:v>2.3660000000000001</c:v>
                </c:pt>
                <c:pt idx="2">
                  <c:v>3.7189999999999999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5-5544-AB7B-48151C37DA6E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('Pre-Calibration_Run'!$G$6,'Pre-Calibration_Run'!$G$9,'Pre-Calibration_Run'!$G$11)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('Pre-Calibration_Run'!$E$6,'Pre-Calibration_Run'!$E$9,'Pre-Calibration_Run'!$E$11)</c:f>
              <c:numCache>
                <c:formatCode>General</c:formatCode>
                <c:ptCount val="3"/>
                <c:pt idx="0">
                  <c:v>2.5219999999999998</c:v>
                </c:pt>
                <c:pt idx="1">
                  <c:v>3.258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5-5544-AB7B-48151C37DA6E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('Pre-Calibration_Run'!$G$7,'Pre-Calibration_Run'!$G$8,'Pre-Calibration_Run'!$G$15)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('Pre-Calibration_Run'!$E$7,'Pre-Calibration_Run'!$E$8,'Pre-Calibration_Run'!$E$15)</c:f>
              <c:numCache>
                <c:formatCode>General</c:formatCode>
                <c:ptCount val="3"/>
                <c:pt idx="0">
                  <c:v>2.7309999999999999</c:v>
                </c:pt>
                <c:pt idx="1">
                  <c:v>4.032</c:v>
                </c:pt>
                <c:pt idx="2">
                  <c:v>1.796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5-5544-AB7B-48151C37DA6E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'Pre-Calibration_Run'!$M$4:$M$42</c:f>
              <c:numCache>
                <c:formatCode>General</c:formatCode>
                <c:ptCount val="39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4">
                  <c:v>9.7245970000000001E-2</c:v>
                </c:pt>
                <c:pt idx="35">
                  <c:v>0.10673383</c:v>
                </c:pt>
                <c:pt idx="36">
                  <c:v>0.13043560000000001</c:v>
                </c:pt>
                <c:pt idx="37">
                  <c:v>0.12922504000000001</c:v>
                </c:pt>
                <c:pt idx="38">
                  <c:v>63.095734448019329</c:v>
                </c:pt>
              </c:numCache>
            </c:numRef>
          </c:xVal>
          <c:yVal>
            <c:numRef>
              <c:f>'Pre-Calibration_Run'!$M$4:$M$42</c:f>
              <c:numCache>
                <c:formatCode>General</c:formatCode>
                <c:ptCount val="39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4">
                  <c:v>9.7245970000000001E-2</c:v>
                </c:pt>
                <c:pt idx="35">
                  <c:v>0.10673383</c:v>
                </c:pt>
                <c:pt idx="36">
                  <c:v>0.13043560000000001</c:v>
                </c:pt>
                <c:pt idx="37">
                  <c:v>0.12922504000000001</c:v>
                </c:pt>
                <c:pt idx="38">
                  <c:v>63.095734448019329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5-5544-AB7B-48151C37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 2007-2014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('Pre-Calibration_Run'!$F$10,'Pre-Calibration_Run'!$F$13,'Pre-Calibration_Run'!$F$16)</c:f>
              <c:numCache>
                <c:formatCode>0.00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('Pre-Calibration_Run'!$C$10,'Pre-Calibration_Run'!$C$13,'Pre-Calibration_Run'!$C$16)</c:f>
              <c:numCache>
                <c:formatCode>General</c:formatCode>
                <c:ptCount val="3"/>
                <c:pt idx="0">
                  <c:v>113.45</c:v>
                </c:pt>
                <c:pt idx="1">
                  <c:v>122.25</c:v>
                </c:pt>
                <c:pt idx="2">
                  <c:v>134.99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E-0243-804E-145AECE977CA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('Pre-Calibration_Run'!$F$5,'Pre-Calibration_Run'!$F$12,'Pre-Calibration_Run'!$F$14)</c:f>
              <c:numCache>
                <c:formatCode>0.00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('Pre-Calibration_Run'!$C$5,'Pre-Calibration_Run'!$C$12,'Pre-Calibration_Run'!$C$14)</c:f>
              <c:numCache>
                <c:formatCode>General</c:formatCode>
                <c:ptCount val="3"/>
                <c:pt idx="0">
                  <c:v>105.61</c:v>
                </c:pt>
                <c:pt idx="1">
                  <c:v>116.36</c:v>
                </c:pt>
                <c:pt idx="2">
                  <c:v>82.55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E-0243-804E-145AECE977CA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('Pre-Calibration_Run'!$F$6,'Pre-Calibration_Run'!$F$9,'Pre-Calibration_Run'!$F$11)</c:f>
              <c:numCache>
                <c:formatCode>0.00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('Pre-Calibration_Run'!$C$6,'Pre-Calibration_Run'!$C$9,'Pre-Calibration_Run'!$C$11)</c:f>
              <c:numCache>
                <c:formatCode>General</c:formatCode>
                <c:ptCount val="3"/>
                <c:pt idx="0">
                  <c:v>92.56</c:v>
                </c:pt>
                <c:pt idx="1">
                  <c:v>68.97</c:v>
                </c:pt>
                <c:pt idx="2">
                  <c:v>115.21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E-0243-804E-145AECE977CA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('Pre-Calibration_Run'!$F$7,'Pre-Calibration_Run'!$F$8,'Pre-Calibration_Run'!$F$15)</c:f>
              <c:numCache>
                <c:formatCode>0.00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('Pre-Calibration_Run'!$C$7,'Pre-Calibration_Run'!$C$8,'Pre-Calibration_Run'!$C$15)</c:f>
              <c:numCache>
                <c:formatCode>General</c:formatCode>
                <c:ptCount val="3"/>
                <c:pt idx="0">
                  <c:v>95.43</c:v>
                </c:pt>
                <c:pt idx="1">
                  <c:v>94.36</c:v>
                </c:pt>
                <c:pt idx="2">
                  <c:v>98.76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E-0243-804E-145AECE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93349054718412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(kg/m2)</a:t>
                </a:r>
              </a:p>
            </c:rich>
          </c:tx>
          <c:layout>
            <c:manualLayout>
              <c:xMode val="edge"/>
              <c:yMode val="edge"/>
              <c:x val="8.3263120028778132E-3"/>
              <c:y val="0.3275648717644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Estimated Percent Reduction of Sediment Export due to Prairie Strip Treatment</a:t>
            </a:r>
            <a:endParaRPr lang="en-US" sz="1800">
              <a:effectLst/>
            </a:endParaRPr>
          </a:p>
        </c:rich>
      </c:tx>
      <c:layout>
        <c:manualLayout>
          <c:xMode val="edge"/>
          <c:yMode val="edge"/>
          <c:x val="0.12498051789918015"/>
          <c:y val="1.990049751243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2D2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Percent_Reduct_sed_export_graph!$A$9:$B$9</c:f>
                <c:numCache>
                  <c:formatCode>General</c:formatCode>
                  <c:ptCount val="2"/>
                  <c:pt idx="0">
                    <c:v>0.81000000000000227</c:v>
                  </c:pt>
                  <c:pt idx="1">
                    <c:v>2.7000000000000028</c:v>
                  </c:pt>
                </c:numCache>
              </c:numRef>
            </c:plus>
            <c:minus>
              <c:numRef>
                <c:f>Percent_Reduct_sed_export_graph!$A$6:$B$6</c:f>
                <c:numCache>
                  <c:formatCode>General</c:formatCode>
                  <c:ptCount val="2"/>
                  <c:pt idx="0">
                    <c:v>1.1400000000000006</c:v>
                  </c:pt>
                  <c:pt idx="1">
                    <c:v>6.9699999999999989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Percent_Reduct_sed_export_graph!$A$2:$B$2</c:f>
              <c:strCache>
                <c:ptCount val="2"/>
                <c:pt idx="0">
                  <c:v>WEPP Data</c:v>
                </c:pt>
                <c:pt idx="1">
                  <c:v>H-Flume Data</c:v>
                </c:pt>
              </c:strCache>
            </c:strRef>
          </c:cat>
          <c:val>
            <c:numRef>
              <c:f>Percent_Reduct_sed_export_graph!$A$3:$B$3</c:f>
              <c:numCache>
                <c:formatCode>General</c:formatCode>
                <c:ptCount val="2"/>
                <c:pt idx="0">
                  <c:v>97.16</c:v>
                </c:pt>
                <c:pt idx="1">
                  <c:v>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6444-AC4D-6217F3FD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174208"/>
        <c:axId val="888564480"/>
      </c:barChart>
      <c:catAx>
        <c:axId val="8891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64480"/>
        <c:crosses val="autoZero"/>
        <c:auto val="1"/>
        <c:lblAlgn val="ctr"/>
        <c:lblOffset val="100"/>
        <c:noMultiLvlLbl val="0"/>
      </c:catAx>
      <c:valAx>
        <c:axId val="888564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42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Mean Average Annual Sediment Delivery</a:t>
            </a:r>
          </a:p>
          <a:p>
            <a:pPr>
              <a:defRPr sz="1600"/>
            </a:pPr>
            <a:r>
              <a:rPr lang="en-US" sz="1600"/>
              <a:t>on Sites</a:t>
            </a:r>
            <a:r>
              <a:rPr lang="en-US" sz="1600" baseline="0"/>
              <a:t> with Prairie Strips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4908618074117"/>
          <c:y val="0.14558139534883721"/>
          <c:w val="0.86131734450624864"/>
          <c:h val="0.75237270983721904"/>
        </c:manualLayout>
      </c:layout>
      <c:barChart>
        <c:barDir val="col"/>
        <c:grouping val="clustered"/>
        <c:varyColors val="0"/>
        <c:ser>
          <c:idx val="0"/>
          <c:order val="0"/>
          <c:tx>
            <c:v>WEPP Mean Sediment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Comparison_means_graphs!$E$10:$E$12</c:f>
                <c:numCache>
                  <c:formatCode>General</c:formatCode>
                  <c:ptCount val="3"/>
                  <c:pt idx="0">
                    <c:v>5.632347E-2</c:v>
                  </c:pt>
                  <c:pt idx="1">
                    <c:v>1.457166E-2</c:v>
                  </c:pt>
                  <c:pt idx="2">
                    <c:v>5.518555E-2</c:v>
                  </c:pt>
                </c:numCache>
              </c:numRef>
            </c:plus>
            <c:minus>
              <c:numRef>
                <c:f>Comparison_means_graphs!$E$10:$E$12</c:f>
                <c:numCache>
                  <c:formatCode>General</c:formatCode>
                  <c:ptCount val="3"/>
                  <c:pt idx="0">
                    <c:v>5.632347E-2</c:v>
                  </c:pt>
                  <c:pt idx="1">
                    <c:v>1.457166E-2</c:v>
                  </c:pt>
                  <c:pt idx="2">
                    <c:v>5.518555E-2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Comparison_means_graphs!$B$10:$B$12</c:f>
              <c:strCache>
                <c:ptCount val="3"/>
                <c:pt idx="0">
                  <c:v>10% Contour + Footslope</c:v>
                </c:pt>
                <c:pt idx="1">
                  <c:v>10% Footslope</c:v>
                </c:pt>
                <c:pt idx="2">
                  <c:v>20% Contour + Footslope</c:v>
                </c:pt>
              </c:strCache>
            </c:strRef>
          </c:cat>
          <c:val>
            <c:numRef>
              <c:f>Comparison_means_graphs!$D$10:$D$12</c:f>
              <c:numCache>
                <c:formatCode>0.000</c:formatCode>
                <c:ptCount val="3"/>
                <c:pt idx="0">
                  <c:v>0.33</c:v>
                </c:pt>
                <c:pt idx="1">
                  <c:v>0.32900000000000001</c:v>
                </c:pt>
                <c:pt idx="2">
                  <c:v>0.31533329999999998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9-3246-8D68-616FF78FC19C}"/>
            </c:ext>
          </c:extLst>
        </c:ser>
        <c:ser>
          <c:idx val="1"/>
          <c:order val="1"/>
          <c:tx>
            <c:v>Empirical Mean Sediment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Comparison_means_graphs!$G$10:$G$12</c:f>
                <c:numCache>
                  <c:formatCode>General</c:formatCode>
                  <c:ptCount val="3"/>
                  <c:pt idx="0">
                    <c:v>6.01533E-2</c:v>
                  </c:pt>
                  <c:pt idx="1">
                    <c:v>8.0726500000000007E-2</c:v>
                  </c:pt>
                  <c:pt idx="2">
                    <c:v>0.16194549999999999</c:v>
                  </c:pt>
                </c:numCache>
              </c:numRef>
            </c:plus>
            <c:minus>
              <c:numRef>
                <c:f>Comparison_means_graphs!$G$10:$G$12</c:f>
                <c:numCache>
                  <c:formatCode>General</c:formatCode>
                  <c:ptCount val="3"/>
                  <c:pt idx="0">
                    <c:v>6.01533E-2</c:v>
                  </c:pt>
                  <c:pt idx="1">
                    <c:v>8.0726500000000007E-2</c:v>
                  </c:pt>
                  <c:pt idx="2">
                    <c:v>0.16194549999999999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Comparison_means_graphs!$B$10:$B$12</c:f>
              <c:strCache>
                <c:ptCount val="3"/>
                <c:pt idx="0">
                  <c:v>10% Contour + Footslope</c:v>
                </c:pt>
                <c:pt idx="1">
                  <c:v>10% Footslope</c:v>
                </c:pt>
                <c:pt idx="2">
                  <c:v>20% Contour + Footslope</c:v>
                </c:pt>
              </c:strCache>
            </c:strRef>
          </c:cat>
          <c:val>
            <c:numRef>
              <c:f>Comparison_means_graphs!$F$10:$F$12</c:f>
              <c:numCache>
                <c:formatCode>0.000</c:formatCode>
                <c:ptCount val="3"/>
                <c:pt idx="0">
                  <c:v>0.25097540000000002</c:v>
                </c:pt>
                <c:pt idx="1">
                  <c:v>0.201295</c:v>
                </c:pt>
                <c:pt idx="2">
                  <c:v>0.29955870000000001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9-3246-8D68-616FF78F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1210970272"/>
        <c:axId val="1170499056"/>
      </c:barChart>
      <c:catAx>
        <c:axId val="1210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auto val="1"/>
        <c:lblAlgn val="ctr"/>
        <c:lblOffset val="100"/>
        <c:noMultiLvlLbl val="0"/>
      </c:catAx>
      <c:valAx>
        <c:axId val="117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6803438561006"/>
          <c:y val="0.23061035669194963"/>
          <c:w val="0.3646673408943148"/>
          <c:h val="0.118226852610375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Comparison of Mean Average Annual Runoff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4730085726347"/>
          <c:y val="9.0795593635250915E-2"/>
          <c:w val="0.87451919018440616"/>
          <c:h val="0.83313736639713176"/>
        </c:manualLayout>
      </c:layout>
      <c:barChart>
        <c:barDir val="col"/>
        <c:grouping val="clustered"/>
        <c:varyColors val="0"/>
        <c:ser>
          <c:idx val="0"/>
          <c:order val="0"/>
          <c:tx>
            <c:v>WEPP Mean Runoff</c:v>
          </c:tx>
          <c:spPr>
            <a:solidFill>
              <a:srgbClr val="B1C3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Comparison_means_graphs!$I$10:$I$13</c:f>
                <c:numCache>
                  <c:formatCode>General</c:formatCode>
                  <c:ptCount val="4"/>
                  <c:pt idx="0">
                    <c:v>14.08192</c:v>
                  </c:pt>
                  <c:pt idx="1">
                    <c:v>10.52957</c:v>
                  </c:pt>
                  <c:pt idx="2">
                    <c:v>1.6879999999999999</c:v>
                  </c:pt>
                  <c:pt idx="3">
                    <c:v>6.2526400000000004</c:v>
                  </c:pt>
                </c:numCache>
              </c:numRef>
            </c:plus>
            <c:minus>
              <c:numRef>
                <c:f>Comparison_means_graphs!$I$10:$I$13</c:f>
                <c:numCache>
                  <c:formatCode>General</c:formatCode>
                  <c:ptCount val="4"/>
                  <c:pt idx="0">
                    <c:v>14.08192</c:v>
                  </c:pt>
                  <c:pt idx="1">
                    <c:v>10.52957</c:v>
                  </c:pt>
                  <c:pt idx="2">
                    <c:v>1.6879999999999999</c:v>
                  </c:pt>
                  <c:pt idx="3">
                    <c:v>6.2526400000000004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Comparison_means_graphs!$B$10:$B$13</c:f>
              <c:strCache>
                <c:ptCount val="4"/>
                <c:pt idx="0">
                  <c:v>10% Contour + Footslope</c:v>
                </c:pt>
                <c:pt idx="1">
                  <c:v>10% Footslope</c:v>
                </c:pt>
                <c:pt idx="2">
                  <c:v>20% Contour + Footslope</c:v>
                </c:pt>
                <c:pt idx="3">
                  <c:v>100% Rowcrop</c:v>
                </c:pt>
              </c:strCache>
            </c:strRef>
          </c:cat>
          <c:val>
            <c:numRef>
              <c:f>Comparison_means_graphs!$H$10:$H$13</c:f>
              <c:numCache>
                <c:formatCode>0.000</c:formatCode>
                <c:ptCount val="4"/>
                <c:pt idx="0">
                  <c:v>87.266670000000005</c:v>
                </c:pt>
                <c:pt idx="1">
                  <c:v>97.486670000000004</c:v>
                </c:pt>
                <c:pt idx="2">
                  <c:v>90.666669999999996</c:v>
                </c:pt>
                <c:pt idx="3">
                  <c:v>123.56332999999999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2-AF4A-BE3F-98D5946FF248}"/>
            </c:ext>
          </c:extLst>
        </c:ser>
        <c:ser>
          <c:idx val="1"/>
          <c:order val="1"/>
          <c:tx>
            <c:v>Empirical Mean Runoff</c:v>
          </c:tx>
          <c:spPr>
            <a:solidFill>
              <a:srgbClr val="9BA0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Comparison_means_graphs!$K$10:$K$13</c:f>
                <c:numCache>
                  <c:formatCode>General</c:formatCode>
                  <c:ptCount val="4"/>
                  <c:pt idx="0">
                    <c:v>24.871300999999999</c:v>
                  </c:pt>
                  <c:pt idx="1">
                    <c:v>7.5013170000000002</c:v>
                  </c:pt>
                  <c:pt idx="2">
                    <c:v>40.964976999999998</c:v>
                  </c:pt>
                  <c:pt idx="3">
                    <c:v>41.827410999999998</c:v>
                  </c:pt>
                </c:numCache>
              </c:numRef>
            </c:plus>
            <c:minus>
              <c:numRef>
                <c:f>Comparison_means_graphs!$K$10:$K$13</c:f>
                <c:numCache>
                  <c:formatCode>General</c:formatCode>
                  <c:ptCount val="4"/>
                  <c:pt idx="0">
                    <c:v>24.871300999999999</c:v>
                  </c:pt>
                  <c:pt idx="1">
                    <c:v>7.5013170000000002</c:v>
                  </c:pt>
                  <c:pt idx="2">
                    <c:v>40.964976999999998</c:v>
                  </c:pt>
                  <c:pt idx="3">
                    <c:v>41.827410999999998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Comparison_means_graphs!$B$10:$B$13</c:f>
              <c:strCache>
                <c:ptCount val="4"/>
                <c:pt idx="0">
                  <c:v>10% Contour + Footslope</c:v>
                </c:pt>
                <c:pt idx="1">
                  <c:v>10% Footslope</c:v>
                </c:pt>
                <c:pt idx="2">
                  <c:v>20% Contour + Footslope</c:v>
                </c:pt>
                <c:pt idx="3">
                  <c:v>100% Rowcrop</c:v>
                </c:pt>
              </c:strCache>
            </c:strRef>
          </c:cat>
          <c:val>
            <c:numRef>
              <c:f>Comparison_means_graphs!$J$10:$J$13</c:f>
              <c:numCache>
                <c:formatCode>0.000</c:formatCode>
                <c:ptCount val="4"/>
                <c:pt idx="0">
                  <c:v>108.3875</c:v>
                </c:pt>
                <c:pt idx="1">
                  <c:v>66.160259999999994</c:v>
                </c:pt>
                <c:pt idx="2">
                  <c:v>114.75297</c:v>
                </c:pt>
                <c:pt idx="3">
                  <c:v>169.32517999999999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2-AF4A-BE3F-98D5946F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1210970272"/>
        <c:axId val="1170499056"/>
      </c:barChart>
      <c:catAx>
        <c:axId val="1210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auto val="1"/>
        <c:lblAlgn val="ctr"/>
        <c:lblOffset val="100"/>
        <c:noMultiLvlLbl val="0"/>
      </c:catAx>
      <c:valAx>
        <c:axId val="117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Runoff in mm</a:t>
                </a:r>
              </a:p>
            </c:rich>
          </c:tx>
          <c:layout>
            <c:manualLayout>
              <c:xMode val="edge"/>
              <c:yMode val="edge"/>
              <c:x val="1.1643064025499587E-2"/>
              <c:y val="0.4187902736148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247849564091"/>
          <c:y val="0.28446592584739638"/>
          <c:w val="0.29136012342264983"/>
          <c:h val="0.11333089177806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Mean Average Annual Sediment Delivery</a:t>
            </a:r>
          </a:p>
          <a:p>
            <a:pPr>
              <a:defRPr sz="2000"/>
            </a:pPr>
            <a:r>
              <a:rPr lang="en-US" sz="2000"/>
              <a:t>on 100% Row-crop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5058431096692"/>
          <c:y val="0.17024489441879739"/>
          <c:w val="0.84561589023274109"/>
          <c:h val="0.71831956745920844"/>
        </c:manualLayout>
      </c:layout>
      <c:barChart>
        <c:barDir val="col"/>
        <c:grouping val="clustered"/>
        <c:varyColors val="0"/>
        <c:ser>
          <c:idx val="0"/>
          <c:order val="0"/>
          <c:tx>
            <c:v>WEPP Mean Sediment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Comparison_means_graphs!$E$13</c:f>
                <c:numCache>
                  <c:formatCode>General</c:formatCode>
                  <c:ptCount val="1"/>
                  <c:pt idx="0">
                    <c:v>1.30595112</c:v>
                  </c:pt>
                </c:numCache>
              </c:numRef>
            </c:plus>
            <c:minus>
              <c:numRef>
                <c:f>Comparison_means_graphs!$E$13</c:f>
                <c:numCache>
                  <c:formatCode>General</c:formatCode>
                  <c:ptCount val="1"/>
                  <c:pt idx="0">
                    <c:v>1.30595112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Comparison_means_graphs!$B$13</c:f>
              <c:strCache>
                <c:ptCount val="1"/>
                <c:pt idx="0">
                  <c:v>100% Rowcrop</c:v>
                </c:pt>
              </c:strCache>
            </c:strRef>
          </c:cat>
          <c:val>
            <c:numRef>
              <c:f>Comparison_means_graphs!$D$13</c:f>
              <c:numCache>
                <c:formatCode>0.000</c:formatCode>
                <c:ptCount val="1"/>
                <c:pt idx="0">
                  <c:v>11.329000000000001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7-7C4B-88F5-12B03129C7D1}"/>
            </c:ext>
          </c:extLst>
        </c:ser>
        <c:ser>
          <c:idx val="1"/>
          <c:order val="1"/>
          <c:tx>
            <c:v>Empirical Mean Sediment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Comparison_means_graphs!$G$13</c:f>
                <c:numCache>
                  <c:formatCode>General</c:formatCode>
                  <c:ptCount val="1"/>
                  <c:pt idx="0">
                    <c:v>1.5881497</c:v>
                  </c:pt>
                </c:numCache>
              </c:numRef>
            </c:plus>
            <c:minus>
              <c:numRef>
                <c:f>Comparison_means_graphs!$G$13</c:f>
                <c:numCache>
                  <c:formatCode>General</c:formatCode>
                  <c:ptCount val="1"/>
                  <c:pt idx="0">
                    <c:v>1.5881497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Comparison_means_graphs!$B$13</c:f>
              <c:strCache>
                <c:ptCount val="1"/>
                <c:pt idx="0">
                  <c:v>100% Rowcrop</c:v>
                </c:pt>
              </c:strCache>
            </c:strRef>
          </c:cat>
          <c:val>
            <c:numRef>
              <c:f>Comparison_means_graphs!$F$13</c:f>
              <c:numCache>
                <c:formatCode>0.000</c:formatCode>
                <c:ptCount val="1"/>
                <c:pt idx="0">
                  <c:v>5.3618274000000001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7-7C4B-88F5-12B03129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970272"/>
        <c:axId val="1170499056"/>
      </c:barChart>
      <c:catAx>
        <c:axId val="1210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auto val="1"/>
        <c:lblAlgn val="ctr"/>
        <c:lblOffset val="100"/>
        <c:noMultiLvlLbl val="0"/>
      </c:catAx>
      <c:valAx>
        <c:axId val="117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02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25929035527624"/>
          <c:y val="0.20113917828814851"/>
          <c:w val="0.4004803073967339"/>
          <c:h val="0.2186894630827205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Annual Runoff on Sites with Prairie</a:t>
            </a:r>
            <a:r>
              <a:rPr lang="en-US" baseline="0"/>
              <a:t> Strips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1C38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Comparison_means_graphs!$I$13</c:f>
                <c:numCache>
                  <c:formatCode>General</c:formatCode>
                  <c:ptCount val="1"/>
                  <c:pt idx="0">
                    <c:v>6.2526400000000004</c:v>
                  </c:pt>
                </c:numCache>
              </c:numRef>
            </c:plus>
            <c:minus>
              <c:numRef>
                <c:f>Comparison_means_graphs!$I$13</c:f>
                <c:numCache>
                  <c:formatCode>General</c:formatCode>
                  <c:ptCount val="1"/>
                  <c:pt idx="0">
                    <c:v>6.2526400000000004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Comparison_means_graphs!$B$13</c:f>
              <c:strCache>
                <c:ptCount val="1"/>
                <c:pt idx="0">
                  <c:v>100% Rowcrop</c:v>
                </c:pt>
              </c:strCache>
            </c:strRef>
          </c:cat>
          <c:val>
            <c:numRef>
              <c:f>Comparison_means_graphs!$H$13</c:f>
              <c:numCache>
                <c:formatCode>0.000</c:formatCode>
                <c:ptCount val="1"/>
                <c:pt idx="0">
                  <c:v>123.56332999999999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F-2F44-BCEF-0EE1B86EFEDC}"/>
            </c:ext>
          </c:extLst>
        </c:ser>
        <c:ser>
          <c:idx val="1"/>
          <c:order val="1"/>
          <c:spPr>
            <a:solidFill>
              <a:srgbClr val="9BA0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Comparison_means_graphs!$K$13</c:f>
                <c:numCache>
                  <c:formatCode>General</c:formatCode>
                  <c:ptCount val="1"/>
                  <c:pt idx="0">
                    <c:v>41.827410999999998</c:v>
                  </c:pt>
                </c:numCache>
              </c:numRef>
            </c:plus>
            <c:minus>
              <c:numRef>
                <c:f>Comparison_means_graphs!$K$13</c:f>
                <c:numCache>
                  <c:formatCode>General</c:formatCode>
                  <c:ptCount val="1"/>
                  <c:pt idx="0">
                    <c:v>41.827410999999998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Comparison_means_graphs!$B$13</c:f>
              <c:strCache>
                <c:ptCount val="1"/>
                <c:pt idx="0">
                  <c:v>100% Rowcrop</c:v>
                </c:pt>
              </c:strCache>
            </c:strRef>
          </c:cat>
          <c:val>
            <c:numRef>
              <c:f>Comparison_means_graphs!$J$13</c:f>
              <c:numCache>
                <c:formatCode>0.000</c:formatCode>
                <c:ptCount val="1"/>
                <c:pt idx="0">
                  <c:v>169.32517999999999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F-2F44-BCEF-0EE1B86E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970272"/>
        <c:axId val="1170499056"/>
      </c:barChart>
      <c:catAx>
        <c:axId val="12109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auto val="1"/>
        <c:lblAlgn val="ctr"/>
        <c:lblOffset val="100"/>
        <c:noMultiLvlLbl val="0"/>
      </c:catAx>
      <c:valAx>
        <c:axId val="117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Sediment Delivery 2007-2015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4836033743423E-2"/>
          <c:y val="0.10147742818057455"/>
          <c:w val="0.89181399806661099"/>
          <c:h val="0.8268261576742032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(Face2Run!$G$10,Face2Run!$G$13,Face2Run!$G$16)</c:f>
              <c:numCache>
                <c:formatCode>0.000</c:formatCode>
                <c:ptCount val="3"/>
                <c:pt idx="0">
                  <c:v>6.57901099629016</c:v>
                </c:pt>
                <c:pt idx="1">
                  <c:v>7.2940045798015261</c:v>
                </c:pt>
                <c:pt idx="2">
                  <c:v>2.2124667115343959</c:v>
                </c:pt>
              </c:numCache>
            </c:numRef>
          </c:xVal>
          <c:yVal>
            <c:numRef>
              <c:f>(Face2Run!$E$10,Face2Run!$E$13,Face2Run!$E$16)</c:f>
              <c:numCache>
                <c:formatCode>General</c:formatCode>
                <c:ptCount val="3"/>
                <c:pt idx="0">
                  <c:v>12.411</c:v>
                </c:pt>
                <c:pt idx="1">
                  <c:v>7.673</c:v>
                </c:pt>
                <c:pt idx="2">
                  <c:v>14.378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FA46-8CB1-7227EBE97AD7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(Face2Run!$G$5,Face2Run!$G$12,Face2Run!$G$14)</c:f>
              <c:numCache>
                <c:formatCode>0.000</c:formatCode>
                <c:ptCount val="3"/>
                <c:pt idx="0">
                  <c:v>9.2898392978419314E-2</c:v>
                </c:pt>
                <c:pt idx="1">
                  <c:v>0.3591173369996179</c:v>
                </c:pt>
                <c:pt idx="2">
                  <c:v>0.151869347509442</c:v>
                </c:pt>
              </c:numCache>
            </c:numRef>
          </c:xVal>
          <c:yVal>
            <c:numRef>
              <c:f>(Face2Run!$E$5,Face2Run!$E$12,Face2Run!$E$14)</c:f>
              <c:numCache>
                <c:formatCode>General</c:formatCode>
                <c:ptCount val="3"/>
                <c:pt idx="0">
                  <c:v>0.38700000000000001</c:v>
                </c:pt>
                <c:pt idx="1">
                  <c:v>0.26700000000000002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F-FA46-8CB1-7227EBE97AD7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(Face2Run!$G$6,Face2Run!$G$9,Face2Run!$G$11)</c:f>
              <c:numCache>
                <c:formatCode>0.000</c:formatCode>
                <c:ptCount val="3"/>
                <c:pt idx="0">
                  <c:v>0.25649755755083625</c:v>
                </c:pt>
                <c:pt idx="1">
                  <c:v>0.144135624111697</c:v>
                </c:pt>
                <c:pt idx="2">
                  <c:v>0.35229312686007963</c:v>
                </c:pt>
              </c:numCache>
            </c:numRef>
          </c:xVal>
          <c:yVal>
            <c:numRef>
              <c:f>(Face2Run!$E$6,Face2Run!$E$9,Face2Run!$E$11)</c:f>
              <c:numCache>
                <c:formatCode>General</c:formatCode>
                <c:ptCount val="3"/>
                <c:pt idx="0">
                  <c:v>0.30499999999999999</c:v>
                </c:pt>
                <c:pt idx="1">
                  <c:v>0.26400000000000001</c:v>
                </c:pt>
                <c:pt idx="2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F-FA46-8CB1-7227EBE97AD7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(Face2Run!$G$7,Face2Run!$G$8,Face2Run!$G$15)</c:f>
              <c:numCache>
                <c:formatCode>0.000</c:formatCode>
                <c:ptCount val="3"/>
                <c:pt idx="0">
                  <c:v>0.10404161540713928</c:v>
                </c:pt>
                <c:pt idx="1">
                  <c:v>0.62094383060876523</c:v>
                </c:pt>
                <c:pt idx="2">
                  <c:v>0.17369061796032984</c:v>
                </c:pt>
              </c:numCache>
            </c:numRef>
          </c:xVal>
          <c:yVal>
            <c:numRef>
              <c:f>(Face2Run!$E$7,Face2Run!$E$8,Face2Run!$E$15)</c:f>
              <c:numCache>
                <c:formatCode>General</c:formatCode>
                <c:ptCount val="3"/>
                <c:pt idx="0">
                  <c:v>0.34</c:v>
                </c:pt>
                <c:pt idx="1">
                  <c:v>0.4</c:v>
                </c:pt>
                <c:pt idx="2">
                  <c:v>0.23599999999999999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F-FA46-8CB1-7227EBE97AD7}"/>
            </c:ext>
          </c:extLst>
        </c:ser>
        <c:ser>
          <c:idx val="1"/>
          <c:order val="4"/>
          <c:tx>
            <c:v>y=x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Face2Run!$M$4:$M$44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xVal>
          <c:yVal>
            <c:numRef>
              <c:f>Face2Run!$M$4:$M$44</c:f>
              <c:numCache>
                <c:formatCode>General</c:formatCode>
                <c:ptCount val="41"/>
                <c:pt idx="0">
                  <c:v>1.0000000000000002E-2</c:v>
                </c:pt>
                <c:pt idx="1">
                  <c:v>1.2589254117941668E-2</c:v>
                </c:pt>
                <c:pt idx="2">
                  <c:v>1.5848931924611131E-2</c:v>
                </c:pt>
                <c:pt idx="3">
                  <c:v>1.9952623149688795E-2</c:v>
                </c:pt>
                <c:pt idx="4">
                  <c:v>2.5118864315095801E-2</c:v>
                </c:pt>
                <c:pt idx="5">
                  <c:v>3.1622776601683798E-2</c:v>
                </c:pt>
                <c:pt idx="6">
                  <c:v>3.981071705534972E-2</c:v>
                </c:pt>
                <c:pt idx="7">
                  <c:v>5.0118723362727227E-2</c:v>
                </c:pt>
                <c:pt idx="8">
                  <c:v>6.3095734448019331E-2</c:v>
                </c:pt>
                <c:pt idx="9">
                  <c:v>7.9432823472428152E-2</c:v>
                </c:pt>
                <c:pt idx="10">
                  <c:v>0.1</c:v>
                </c:pt>
                <c:pt idx="11">
                  <c:v>0.12589254117941673</c:v>
                </c:pt>
                <c:pt idx="12">
                  <c:v>0.15848931924611137</c:v>
                </c:pt>
                <c:pt idx="13">
                  <c:v>0.19952623149688797</c:v>
                </c:pt>
                <c:pt idx="14">
                  <c:v>0.25118864315095807</c:v>
                </c:pt>
                <c:pt idx="15">
                  <c:v>0.316227766016838</c:v>
                </c:pt>
                <c:pt idx="16">
                  <c:v>0.39810717055349731</c:v>
                </c:pt>
                <c:pt idx="17">
                  <c:v>0.50118723362727235</c:v>
                </c:pt>
                <c:pt idx="18">
                  <c:v>0.63095734448019347</c:v>
                </c:pt>
                <c:pt idx="19">
                  <c:v>0.79432823472428182</c:v>
                </c:pt>
                <c:pt idx="20">
                  <c:v>1</c:v>
                </c:pt>
                <c:pt idx="21">
                  <c:v>1.2589254117941682</c:v>
                </c:pt>
                <c:pt idx="22">
                  <c:v>1.5848931924611138</c:v>
                </c:pt>
                <c:pt idx="23">
                  <c:v>1.9952623149688806</c:v>
                </c:pt>
                <c:pt idx="24">
                  <c:v>2.5118864315095801</c:v>
                </c:pt>
                <c:pt idx="25">
                  <c:v>3.1622776601683804</c:v>
                </c:pt>
                <c:pt idx="26">
                  <c:v>3.9810717055349758</c:v>
                </c:pt>
                <c:pt idx="27">
                  <c:v>5.0118723362727238</c:v>
                </c:pt>
                <c:pt idx="28">
                  <c:v>6.3095734448019369</c:v>
                </c:pt>
                <c:pt idx="29">
                  <c:v>7.9432823472428202</c:v>
                </c:pt>
                <c:pt idx="30">
                  <c:v>10</c:v>
                </c:pt>
                <c:pt idx="31">
                  <c:v>12.589254117941678</c:v>
                </c:pt>
                <c:pt idx="32">
                  <c:v>15.848931924611154</c:v>
                </c:pt>
                <c:pt idx="33">
                  <c:v>19.952623149688804</c:v>
                </c:pt>
                <c:pt idx="34">
                  <c:v>25.118864315095806</c:v>
                </c:pt>
                <c:pt idx="35">
                  <c:v>31.622776601683825</c:v>
                </c:pt>
                <c:pt idx="36">
                  <c:v>39.810717055349762</c:v>
                </c:pt>
                <c:pt idx="37">
                  <c:v>50.118723362727273</c:v>
                </c:pt>
                <c:pt idx="38">
                  <c:v>63.095734448019329</c:v>
                </c:pt>
                <c:pt idx="39">
                  <c:v>79.432823472428211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F-FA46-8CB1-7227EBE9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</a:t>
                </a:r>
                <a:r>
                  <a:rPr lang="en-US" baseline="0"/>
                  <a:t> at H-Flume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Delivery  Prediction in WEPP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795250803513157"/>
          <c:y val="0.75131919385589796"/>
          <c:w val="0.33304756632598259"/>
          <c:h val="0.173394228594202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Runoff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3980974459407E-2"/>
          <c:y val="0.10147742818057455"/>
          <c:w val="0.86213213957392387"/>
          <c:h val="0.78852246410375149"/>
        </c:manualLayout>
      </c:layout>
      <c:scatterChart>
        <c:scatterStyle val="lineMarker"/>
        <c:varyColors val="0"/>
        <c:ser>
          <c:idx val="0"/>
          <c:order val="0"/>
          <c:tx>
            <c:v>100% Rowcrop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(Face2Run!$F$10,Face2Run!$F$13,Face2Run!$F$16)</c:f>
              <c:numCache>
                <c:formatCode>0.000</c:formatCode>
                <c:ptCount val="3"/>
                <c:pt idx="0">
                  <c:v>245.86282503625</c:v>
                </c:pt>
                <c:pt idx="1">
                  <c:v>160.29824898625</c:v>
                </c:pt>
                <c:pt idx="2">
                  <c:v>101.81445999924999</c:v>
                </c:pt>
              </c:numCache>
            </c:numRef>
          </c:xVal>
          <c:yVal>
            <c:numRef>
              <c:f>(Face2Run!$C$10,Face2Run!$C$13,Face2Run!$C$16)</c:f>
              <c:numCache>
                <c:formatCode>General</c:formatCode>
                <c:ptCount val="3"/>
                <c:pt idx="0">
                  <c:v>109.6</c:v>
                </c:pt>
                <c:pt idx="1">
                  <c:v>127.79</c:v>
                </c:pt>
                <c:pt idx="2">
                  <c:v>135.16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3-D641-AD5E-2F669002CF0A}"/>
            </c:ext>
          </c:extLst>
        </c:ser>
        <c:ser>
          <c:idx val="2"/>
          <c:order val="1"/>
          <c:tx>
            <c:v>10% Prairie: Footslope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(Face2Run!$F$5,Face2Run!$F$12,Face2Run!$F$14)</c:f>
              <c:numCache>
                <c:formatCode>0.000</c:formatCode>
                <c:ptCount val="3"/>
                <c:pt idx="0">
                  <c:v>76.649769161250006</c:v>
                </c:pt>
                <c:pt idx="1">
                  <c:v>70.204591839374999</c:v>
                </c:pt>
                <c:pt idx="2">
                  <c:v>51.626432230124998</c:v>
                </c:pt>
              </c:numCache>
            </c:numRef>
          </c:xVal>
          <c:yVal>
            <c:numRef>
              <c:f>(Face2Run!$C$5,Face2Run!$C$12,Face2Run!$C$14)</c:f>
              <c:numCache>
                <c:formatCode>General</c:formatCode>
                <c:ptCount val="3"/>
                <c:pt idx="0">
                  <c:v>101.23</c:v>
                </c:pt>
                <c:pt idx="1">
                  <c:v>114.03</c:v>
                </c:pt>
                <c:pt idx="2">
                  <c:v>77.349999999999994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3-D641-AD5E-2F669002CF0A}"/>
            </c:ext>
          </c:extLst>
        </c:ser>
        <c:ser>
          <c:idx val="3"/>
          <c:order val="2"/>
          <c:tx>
            <c:v>10%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(Face2Run!$F$6,Face2Run!$F$9,Face2Run!$F$11)</c:f>
              <c:numCache>
                <c:formatCode>0.000</c:formatCode>
                <c:ptCount val="3"/>
                <c:pt idx="0">
                  <c:v>147.26353546175002</c:v>
                </c:pt>
                <c:pt idx="1">
                  <c:v>115.82392241375</c:v>
                </c:pt>
                <c:pt idx="2">
                  <c:v>62.075048986249996</c:v>
                </c:pt>
              </c:numCache>
            </c:numRef>
          </c:xVal>
          <c:yVal>
            <c:numRef>
              <c:f>(Face2Run!$C$6,Face2Run!$C$9,Face2Run!$C$11)</c:f>
              <c:numCache>
                <c:formatCode>General</c:formatCode>
                <c:ptCount val="3"/>
                <c:pt idx="0">
                  <c:v>86.73</c:v>
                </c:pt>
                <c:pt idx="1">
                  <c:v>63.31</c:v>
                </c:pt>
                <c:pt idx="2">
                  <c:v>111.08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3-D641-AD5E-2F669002CF0A}"/>
            </c:ext>
          </c:extLst>
        </c:ser>
        <c:ser>
          <c:idx val="4"/>
          <c:order val="3"/>
          <c:tx>
            <c:v>20% Prairie: Footslope and Contour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(Face2Run!$F$7,Face2Run!$F$8,Face2Run!$F$15)</c:f>
              <c:numCache>
                <c:formatCode>0.000</c:formatCode>
                <c:ptCount val="3"/>
                <c:pt idx="0">
                  <c:v>93.301888823749991</c:v>
                </c:pt>
                <c:pt idx="1">
                  <c:v>193.95679718874999</c:v>
                </c:pt>
                <c:pt idx="2">
                  <c:v>57.000212849374996</c:v>
                </c:pt>
              </c:numCache>
            </c:numRef>
          </c:xVal>
          <c:yVal>
            <c:numRef>
              <c:f>(Face2Run!$C$7,Face2Run!$C$8,Face2Run!$C$15)</c:f>
              <c:numCache>
                <c:formatCode>General</c:formatCode>
                <c:ptCount val="3"/>
                <c:pt idx="0">
                  <c:v>89.3</c:v>
                </c:pt>
                <c:pt idx="1">
                  <c:v>87.45</c:v>
                </c:pt>
                <c:pt idx="2">
                  <c:v>93.21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3-D641-AD5E-2F669002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81936"/>
        <c:axId val="867054896"/>
      </c:scatterChart>
      <c:valAx>
        <c:axId val="872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Runoff </a:t>
                </a:r>
                <a:r>
                  <a:rPr lang="en-US" baseline="0"/>
                  <a:t>at H-Flume 2007-2014 (kg/m</a:t>
                </a:r>
                <a:r>
                  <a:rPr lang="en-US" sz="1000" baseline="0"/>
                  <a:t>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1118639026355"/>
              <c:y val="0.941983476415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4896"/>
        <c:crosses val="autoZero"/>
        <c:crossBetween val="midCat"/>
      </c:valAx>
      <c:valAx>
        <c:axId val="867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Runoff </a:t>
                </a:r>
                <a:r>
                  <a:rPr lang="en-US"/>
                  <a:t>in WEPP 2007-2015 (kg/m2)</a:t>
                </a:r>
              </a:p>
            </c:rich>
          </c:tx>
          <c:layout>
            <c:manualLayout>
              <c:xMode val="edge"/>
              <c:yMode val="edge"/>
              <c:x val="6.2959076600209865E-3"/>
              <c:y val="0.2482215065114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10480035173265"/>
          <c:y val="0.65829593804194453"/>
          <c:w val="0.33538432302467963"/>
          <c:h val="0.230849768949879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7AE15-51C2-CF44-A74D-D2680AC4F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15</xdr:row>
      <xdr:rowOff>139700</xdr:rowOff>
    </xdr:from>
    <xdr:to>
      <xdr:col>10</xdr:col>
      <xdr:colOff>247650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992AF-8722-1B4D-8CDE-CD46F26E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E91C2-D284-2C47-A6D0-3356DD67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7CBE7-E904-1B46-BA50-A9F533B7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969FB-8409-0C4B-9C2B-2375E1E8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160D9-F4C2-024E-83ED-10EE48060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90741-67D9-6C4F-A135-7AF1901EA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D4F93-D05B-9546-A12A-297D88F0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799077</xdr:colOff>
      <xdr:row>4</xdr:row>
      <xdr:rowOff>160184</xdr:rowOff>
    </xdr:from>
    <xdr:to>
      <xdr:col>23</xdr:col>
      <xdr:colOff>268749</xdr:colOff>
      <xdr:row>27</xdr:row>
      <xdr:rowOff>128435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49801-E690-8C48-99DB-76C5BD15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939800</xdr:colOff>
      <xdr:row>11</xdr:row>
      <xdr:rowOff>152400</xdr:rowOff>
    </xdr:from>
    <xdr:to>
      <xdr:col>10</xdr:col>
      <xdr:colOff>742950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1F2F4-3A85-A042-8FCF-84047F7E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165100</xdr:rowOff>
    </xdr:from>
    <xdr:to>
      <xdr:col>12</xdr:col>
      <xdr:colOff>342900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06033-347F-B04E-AF5A-4C2355E36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22</xdr:row>
      <xdr:rowOff>50800</xdr:rowOff>
    </xdr:from>
    <xdr:to>
      <xdr:col>3</xdr:col>
      <xdr:colOff>1460500</xdr:colOff>
      <xdr:row>47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C68E5-AED8-244F-86F9-1762D914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1612900</xdr:colOff>
      <xdr:row>22</xdr:row>
      <xdr:rowOff>76200</xdr:rowOff>
    </xdr:from>
    <xdr:to>
      <xdr:col>7</xdr:col>
      <xdr:colOff>914400</xdr:colOff>
      <xdr:row>47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D36C76-69B1-7045-B45C-B5449FAF0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47</xdr:row>
      <xdr:rowOff>12700</xdr:rowOff>
    </xdr:from>
    <xdr:to>
      <xdr:col>3</xdr:col>
      <xdr:colOff>1530350</xdr:colOff>
      <xdr:row>72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757CFF-76D9-1242-9AF2-5C13D62E4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1587500</xdr:colOff>
      <xdr:row>47</xdr:row>
      <xdr:rowOff>50800</xdr:rowOff>
    </xdr:from>
    <xdr:to>
      <xdr:col>7</xdr:col>
      <xdr:colOff>628650</xdr:colOff>
      <xdr:row>72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3FBA1A-68CD-1A4D-9EAC-71D07CA0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0</xdr:row>
      <xdr:rowOff>190500</xdr:rowOff>
    </xdr:from>
    <xdr:to>
      <xdr:col>22</xdr:col>
      <xdr:colOff>12700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861D-596C-BF4E-B60C-3CDC8921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24</xdr:row>
      <xdr:rowOff>88900</xdr:rowOff>
    </xdr:from>
    <xdr:to>
      <xdr:col>22</xdr:col>
      <xdr:colOff>107950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BA862-D2EE-444C-A9CA-172424D76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03BCB-BBB2-9144-8987-7FD570BD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4DC37-A88E-D44E-801F-33AC7D2E8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723DD-16FC-3649-8AA2-5E06E882B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900FE-4099-7F42-AEE6-5C4B8FD1F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A4A4-1422-4D44-9D10-A0FF9F2D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EFB88-86AD-0743-BC5E-07E68C3F4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D6213-23EE-7B46-AD22-B958A7052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5968-04ED-6A47-96F6-9B1DC1776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1720850</xdr:colOff>
      <xdr:row>2</xdr:row>
      <xdr:rowOff>139700</xdr:rowOff>
    </xdr:from>
    <xdr:to>
      <xdr:col>17</xdr:col>
      <xdr:colOff>330200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36376-194C-3C4C-B91C-ED3F9B2C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939800</xdr:colOff>
      <xdr:row>27</xdr:row>
      <xdr:rowOff>50800</xdr:rowOff>
    </xdr:from>
    <xdr:to>
      <xdr:col>14</xdr:col>
      <xdr:colOff>158750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B5E96-324B-EA42-9090-F4772D112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087E-46DE-F64F-9C39-3CDC1B01A801}">
  <dimension ref="A1:N53"/>
  <sheetViews>
    <sheetView zoomScaleNormal="100" workbookViewId="0">
      <selection activeCell="F28" sqref="F28"/>
    </sheetView>
  </sheetViews>
  <sheetFormatPr baseColWidth="10" defaultRowHeight="16"/>
  <cols>
    <col min="1" max="1" width="29.16406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103</v>
      </c>
      <c r="B2" t="s">
        <v>29</v>
      </c>
      <c r="C2" t="s">
        <v>30</v>
      </c>
      <c r="D2" s="18" t="s">
        <v>106</v>
      </c>
      <c r="E2">
        <v>136</v>
      </c>
      <c r="F2">
        <v>4.4000000000000004</v>
      </c>
      <c r="G2" s="18">
        <v>16</v>
      </c>
      <c r="H2" s="16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101.37</v>
      </c>
      <c r="D5" s="1">
        <v>0.32300000000000001</v>
      </c>
      <c r="E5" s="1">
        <v>0.35799999999999998</v>
      </c>
      <c r="F5" s="15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87.87</v>
      </c>
      <c r="D6" s="35">
        <v>0.38100000000000001</v>
      </c>
      <c r="E6" s="35">
        <v>0.307</v>
      </c>
      <c r="F6" s="13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91.89</v>
      </c>
      <c r="D7" s="4">
        <v>0.34899999999999998</v>
      </c>
      <c r="E7" s="4">
        <v>0.373</v>
      </c>
      <c r="F7" s="14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87.33</v>
      </c>
      <c r="D8" s="4">
        <v>0.627</v>
      </c>
      <c r="E8" s="4">
        <v>0.36799999999999999</v>
      </c>
      <c r="F8" s="14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62.58</v>
      </c>
      <c r="D9" s="3">
        <v>0.63700000000000001</v>
      </c>
      <c r="E9" s="3">
        <v>0.246</v>
      </c>
      <c r="F9" s="13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2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111.35</v>
      </c>
      <c r="D11" s="3">
        <v>0.57599999999999996</v>
      </c>
      <c r="E11" s="3">
        <v>0.437</v>
      </c>
      <c r="F11" s="13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113.47</v>
      </c>
      <c r="D12" s="1">
        <v>0.32</v>
      </c>
      <c r="E12" s="1">
        <v>0.317</v>
      </c>
      <c r="F12" s="15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94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77.62</v>
      </c>
      <c r="D14" s="1">
        <v>0.61899999999999999</v>
      </c>
      <c r="E14" s="1">
        <v>0.312</v>
      </c>
      <c r="F14" s="15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92.78</v>
      </c>
      <c r="D15" s="4">
        <v>0.14199999999999999</v>
      </c>
      <c r="E15" s="4">
        <v>0.20499999999999999</v>
      </c>
      <c r="F15" s="14">
        <v>57.000212849374996</v>
      </c>
      <c r="G15" s="7">
        <v>0.17369061796032984</v>
      </c>
      <c r="J15" s="18" t="s">
        <v>141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2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75.224999999999994</v>
      </c>
      <c r="E19" s="9">
        <f>AVERAGE(E6,E9)</f>
        <v>0.27649999999999997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0.25700720278399736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90.666666666666671</v>
      </c>
      <c r="E21" s="7">
        <f>AVERAGE(E7,E8,E15)</f>
        <v>0.3153333333333333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97.486666666666679</v>
      </c>
      <c r="E22" s="8">
        <f>AVERAGE(E5,E12,E14)</f>
        <v>0.32900000000000001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87.266666666666652</v>
      </c>
      <c r="E24" s="9">
        <f>AVERAGE(E6,E9,E11)</f>
        <v>0.33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>
        <v>1.1299999999999999</v>
      </c>
      <c r="F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97.486666666666679</v>
      </c>
      <c r="E29" s="15">
        <f>AVERAGE(D5,D12,D14)</f>
        <v>0.42066666666666669</v>
      </c>
      <c r="F29" s="15">
        <f>AVERAGE(D5,D12,D14)/0.9</f>
        <v>0.46740740740740744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87.266666666666652</v>
      </c>
      <c r="E30" s="13">
        <f>AVERAGE(D6,D9,D11)</f>
        <v>0.53133333333333332</v>
      </c>
      <c r="F30" s="13">
        <f>AVERAGE(D6,D9,D11)/0.9</f>
        <v>0.59037037037037032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90.666666666666671</v>
      </c>
      <c r="E31" s="14">
        <f>AVERAGE(D7,D8,D15)</f>
        <v>0.37266666666666665</v>
      </c>
      <c r="F31" s="14">
        <f>AVERAGE(D7,D8,D15)/0.8</f>
        <v>0.46583333333333327</v>
      </c>
      <c r="M31">
        <f t="shared" si="0"/>
        <v>5.0118723362727238</v>
      </c>
      <c r="N31">
        <v>1.7</v>
      </c>
    </row>
    <row r="32" spans="1:14">
      <c r="B32" s="5"/>
      <c r="C32" s="11"/>
      <c r="E32" s="5">
        <f>AVERAGE(F29:F31)</f>
        <v>0.50787037037037031</v>
      </c>
      <c r="M32">
        <f t="shared" si="0"/>
        <v>6.3095734448019369</v>
      </c>
      <c r="N32">
        <v>1.8</v>
      </c>
    </row>
    <row r="33" spans="5:14">
      <c r="E33">
        <f>E32/F28</f>
        <v>0.44838467072133925</v>
      </c>
      <c r="M33">
        <f t="shared" si="0"/>
        <v>7.9432823472428202</v>
      </c>
      <c r="N33">
        <v>1.9</v>
      </c>
    </row>
    <row r="34" spans="5:14">
      <c r="E34">
        <f>(1-E33)*100</f>
        <v>55.161532927866077</v>
      </c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6D69-594F-3E4B-84B0-0B6D6C1CBF67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302</v>
      </c>
      <c r="B2" s="16" t="s">
        <v>108</v>
      </c>
      <c r="C2" t="s">
        <v>30</v>
      </c>
      <c r="D2" s="18" t="s">
        <v>106</v>
      </c>
      <c r="E2">
        <v>136</v>
      </c>
      <c r="F2">
        <v>4.4000000000000004</v>
      </c>
      <c r="G2" s="18">
        <v>16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100.08</v>
      </c>
      <c r="D5" s="1">
        <v>0.20100000000000001</v>
      </c>
      <c r="E5" s="1">
        <v>0.315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86.57</v>
      </c>
      <c r="D6" s="35">
        <v>0.39500000000000002</v>
      </c>
      <c r="E6" s="35">
        <v>0.29899999999999999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88.58</v>
      </c>
      <c r="D7" s="4">
        <v>0.33400000000000002</v>
      </c>
      <c r="E7" s="4">
        <v>0.32400000000000001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88.41</v>
      </c>
      <c r="D8" s="4">
        <v>0.60499999999999998</v>
      </c>
      <c r="E8" s="4">
        <v>0.38500000000000001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63.15</v>
      </c>
      <c r="D9" s="3">
        <v>0.70499999999999996</v>
      </c>
      <c r="E9" s="3">
        <v>0.26400000000000001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109.1</v>
      </c>
      <c r="D10" s="2">
        <v>1.2569999999999999</v>
      </c>
      <c r="E10" s="2">
        <v>12.57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110.73</v>
      </c>
      <c r="D11" s="3">
        <v>0.48499999999999999</v>
      </c>
      <c r="E11" s="3">
        <v>0.32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113.07</v>
      </c>
      <c r="D12" s="1">
        <v>0.23899999999999999</v>
      </c>
      <c r="E12" s="1">
        <v>0.25800000000000001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129.12</v>
      </c>
      <c r="D13" s="19">
        <v>0.66</v>
      </c>
      <c r="E13" s="19">
        <v>6.6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77.88</v>
      </c>
      <c r="D14" s="1">
        <v>0.46500000000000002</v>
      </c>
      <c r="E14" s="1">
        <v>0.13500000000000001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92.93</v>
      </c>
      <c r="D15" s="4">
        <v>0.17499999999999999</v>
      </c>
      <c r="E15" s="4">
        <v>0.19500000000000001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134.72</v>
      </c>
      <c r="D16" s="2">
        <v>1.169</v>
      </c>
      <c r="E16" s="2">
        <v>11.686999999999999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74.86</v>
      </c>
      <c r="E19" s="9">
        <f>AVERAGE(E6,E9)</f>
        <v>0.28149999999999997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124.31333333333333</v>
      </c>
      <c r="D20">
        <f>1-(C21+C24+C22)/(3*C20)</f>
        <v>0.2658336461629216</v>
      </c>
      <c r="E20" s="10">
        <f>AVERAGE(E10,E13,E16)</f>
        <v>10.285666666666666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89.973333333333343</v>
      </c>
      <c r="E21" s="7">
        <f>AVERAGE(E7,E8,E15)</f>
        <v>0.3013333333333334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97.009999999999991</v>
      </c>
      <c r="E22" s="8">
        <f>AVERAGE(E5,E12,E14)</f>
        <v>0.23599999999999999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86.816666666666663</v>
      </c>
      <c r="E24" s="9">
        <f>AVERAGE(E6,E9,E11)</f>
        <v>0.29433333333333334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124.31333333333333</v>
      </c>
      <c r="E28" s="12">
        <f>AVERAGE(D10,D13,D16)</f>
        <v>1.0286666666666666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97.009999999999991</v>
      </c>
      <c r="E29" s="15">
        <f>AVERAGE(D5,D12,D14)</f>
        <v>0.30166666666666669</v>
      </c>
      <c r="F29">
        <f>(SUM(E29/0.9 + E30/0.9+E31/0.8)/3)/(E28)</f>
        <v>0.44925109814934833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86.816666666666663</v>
      </c>
      <c r="E30" s="13">
        <f>AVERAGE(D6,D9,D11)</f>
        <v>0.52833333333333332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89.973333333333343</v>
      </c>
      <c r="E31" s="14">
        <f>AVERAGE(D7,D8,D15)</f>
        <v>0.37133333333333335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AEDA-75FC-AD4C-948D-271F7C0C3C7F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303</v>
      </c>
      <c r="B2" s="18" t="s">
        <v>29</v>
      </c>
      <c r="C2" t="s">
        <v>30</v>
      </c>
      <c r="D2" s="18" t="s">
        <v>106</v>
      </c>
      <c r="E2">
        <v>136</v>
      </c>
      <c r="F2">
        <v>4.4000000000000004</v>
      </c>
      <c r="G2" s="16">
        <v>12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102.36</v>
      </c>
      <c r="D5" s="1">
        <v>0.39900000000000002</v>
      </c>
      <c r="E5" s="1">
        <v>0.40699999999999997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89.9</v>
      </c>
      <c r="D6" s="35">
        <v>0.38500000000000001</v>
      </c>
      <c r="E6" s="35">
        <v>0.35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93.79</v>
      </c>
      <c r="D7" s="4">
        <v>0.35199999999999998</v>
      </c>
      <c r="E7" s="4">
        <v>0.439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88.9</v>
      </c>
      <c r="D8" s="4">
        <v>0.65300000000000002</v>
      </c>
      <c r="E8" s="4">
        <v>0.46899999999999997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63.68</v>
      </c>
      <c r="D9" s="3">
        <v>0.65400000000000003</v>
      </c>
      <c r="E9" s="3">
        <v>0.28999999999999998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112.2</v>
      </c>
      <c r="D11" s="3">
        <v>0.57799999999999996</v>
      </c>
      <c r="E11" s="3">
        <v>0.46899999999999997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113.92</v>
      </c>
      <c r="D12" s="1">
        <v>0.33700000000000002</v>
      </c>
      <c r="E12" s="1">
        <v>0.34499999999999997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78.48</v>
      </c>
      <c r="D14" s="1">
        <v>0.54100000000000004</v>
      </c>
      <c r="E14" s="1">
        <v>0.35399999999999998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93.62</v>
      </c>
      <c r="D15" s="4">
        <v>0.14399999999999999</v>
      </c>
      <c r="E15" s="4">
        <v>0.23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76.790000000000006</v>
      </c>
      <c r="E19" s="9">
        <f>AVERAGE(E6,E9)</f>
        <v>0.31999999999999995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0.24748442094472456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92.103333333333339</v>
      </c>
      <c r="E21" s="7">
        <f>AVERAGE(E7,E8,E15)</f>
        <v>0.3793333333333333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98.25333333333333</v>
      </c>
      <c r="E22" s="8">
        <f>AVERAGE(E5,E12,E14)</f>
        <v>0.36866666666666664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88.593333333333348</v>
      </c>
      <c r="E24" s="9">
        <f>AVERAGE(E6,E9,E11)</f>
        <v>0.36966666666666664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98.25333333333333</v>
      </c>
      <c r="E29" s="15">
        <f>AVERAGE(D5,D12,D14)</f>
        <v>0.42566666666666669</v>
      </c>
      <c r="F29">
        <f>(SUM(E29/0.9 + E30/0.9+E31/0.8)/3)/(E28)</f>
        <v>0.45632779630719589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88.593333333333348</v>
      </c>
      <c r="E30" s="13">
        <f>AVERAGE(D6,D9,D11)</f>
        <v>0.53900000000000003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92.103333333333339</v>
      </c>
      <c r="E31" s="14">
        <f>AVERAGE(D7,D8,D15)</f>
        <v>0.38299999999999995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6A7B-C7B5-C146-88EF-7C4841121BAE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304</v>
      </c>
      <c r="B2" s="18" t="s">
        <v>29</v>
      </c>
      <c r="C2" t="s">
        <v>30</v>
      </c>
      <c r="D2" s="18" t="s">
        <v>106</v>
      </c>
      <c r="E2">
        <v>136</v>
      </c>
      <c r="F2">
        <v>4.4000000000000004</v>
      </c>
      <c r="G2" s="16">
        <v>20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100.86</v>
      </c>
      <c r="D5" s="1">
        <v>0.41799999999999998</v>
      </c>
      <c r="E5" s="1">
        <v>0.35899999999999999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87.79</v>
      </c>
      <c r="D6" s="35">
        <v>0.38100000000000001</v>
      </c>
      <c r="E6" s="35">
        <v>0.28299999999999997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91.93</v>
      </c>
      <c r="D7" s="4">
        <v>0.34699999999999998</v>
      </c>
      <c r="E7" s="4">
        <v>0.35899999999999999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86.92</v>
      </c>
      <c r="D8" s="4">
        <v>0.61599999999999999</v>
      </c>
      <c r="E8" s="4">
        <v>0.34499999999999997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62.63</v>
      </c>
      <c r="D9" s="3">
        <v>0.627</v>
      </c>
      <c r="E9" s="3">
        <v>0.22900000000000001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110.93</v>
      </c>
      <c r="D11" s="3">
        <v>0.57799999999999996</v>
      </c>
      <c r="E11" s="3">
        <v>0.42699999999999999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113.52</v>
      </c>
      <c r="D12" s="1">
        <v>0.29899999999999999</v>
      </c>
      <c r="E12" s="1">
        <v>0.28699999999999998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77.680000000000007</v>
      </c>
      <c r="D14" s="1">
        <v>0.57999999999999996</v>
      </c>
      <c r="E14" s="1">
        <v>0.29799999999999999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92.92</v>
      </c>
      <c r="D15" s="4">
        <v>0.14199999999999999</v>
      </c>
      <c r="E15" s="4">
        <v>0.18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75.210000000000008</v>
      </c>
      <c r="E19" s="9">
        <f>AVERAGE(E6,E9)</f>
        <v>0.25600000000000001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0.25797836467128854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90.590000000000018</v>
      </c>
      <c r="E21" s="7">
        <f>AVERAGE(E7,E8,E15)</f>
        <v>0.29466666666666663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97.353333333333339</v>
      </c>
      <c r="E22" s="8">
        <f>AVERAGE(E5,E12,E14)</f>
        <v>0.31466666666666665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87.116666666666674</v>
      </c>
      <c r="E24" s="9">
        <f>AVERAGE(E6,E9,E11)</f>
        <v>0.313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97.353333333333339</v>
      </c>
      <c r="E29" s="15">
        <f>AVERAGE(D5,D12,D14)</f>
        <v>0.43233333333333329</v>
      </c>
      <c r="F29">
        <f>(SUM(E29/0.9 + E30/0.9+E31/0.8)/3)/(E28)</f>
        <v>0.44973350336799417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87.116666666666674</v>
      </c>
      <c r="E30" s="13">
        <f>AVERAGE(D6,D9,D11)</f>
        <v>0.52866666666666662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90.590000000000018</v>
      </c>
      <c r="E31" s="14">
        <f>AVERAGE(D7,D8,D15)</f>
        <v>0.36833333333333335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B3B-6C0A-E642-88C1-6490BAE7A6D0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305</v>
      </c>
      <c r="B2" s="18" t="s">
        <v>29</v>
      </c>
      <c r="C2" t="s">
        <v>30</v>
      </c>
      <c r="D2" s="16" t="s">
        <v>109</v>
      </c>
      <c r="E2">
        <v>136</v>
      </c>
      <c r="F2">
        <v>4.4000000000000004</v>
      </c>
      <c r="G2" s="18">
        <v>16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101.39</v>
      </c>
      <c r="D5" s="1">
        <v>0.32300000000000001</v>
      </c>
      <c r="E5" s="1">
        <v>0.35799999999999998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87.84</v>
      </c>
      <c r="D6" s="35">
        <v>0.38200000000000001</v>
      </c>
      <c r="E6" s="35">
        <v>0.307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91.93</v>
      </c>
      <c r="D7" s="4">
        <v>0.34899999999999998</v>
      </c>
      <c r="E7" s="4">
        <v>0.373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87.35</v>
      </c>
      <c r="D8" s="4">
        <v>0.629</v>
      </c>
      <c r="E8" s="4">
        <v>0.36799999999999999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62.61</v>
      </c>
      <c r="D9" s="3">
        <v>0.64500000000000002</v>
      </c>
      <c r="E9" s="3">
        <v>0.247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111.33</v>
      </c>
      <c r="D11" s="3">
        <v>0.57499999999999996</v>
      </c>
      <c r="E11" s="3">
        <v>0.435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113.43</v>
      </c>
      <c r="D12" s="1">
        <v>0.32100000000000001</v>
      </c>
      <c r="E12" s="1">
        <v>0.317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77.680000000000007</v>
      </c>
      <c r="D14" s="1">
        <v>0.621</v>
      </c>
      <c r="E14" s="1">
        <v>0.312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92.98</v>
      </c>
      <c r="D15" s="4">
        <v>0.14299999999999999</v>
      </c>
      <c r="E15" s="4">
        <v>0.20300000000000001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75.224999999999994</v>
      </c>
      <c r="E19" s="9">
        <f>AVERAGE(E6,E9)</f>
        <v>0.27700000000000002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0.25675542007247742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90.75333333333333</v>
      </c>
      <c r="E21" s="7">
        <f>AVERAGE(E7,E8,E15)</f>
        <v>0.31466666666666665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97.5</v>
      </c>
      <c r="E22" s="8">
        <f>AVERAGE(E5,E12,E14)</f>
        <v>0.32900000000000001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87.259999999999991</v>
      </c>
      <c r="E24" s="9">
        <f>AVERAGE(E6,E9,E11)</f>
        <v>0.32966666666666672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97.5</v>
      </c>
      <c r="E29" s="15">
        <f>AVERAGE(D5,D12,D14)</f>
        <v>0.42166666666666669</v>
      </c>
      <c r="F29">
        <f>(SUM(E29/0.9 + E30/0.9+E31/0.8)/3)/(E28)</f>
        <v>0.4499514965230092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87.259999999999991</v>
      </c>
      <c r="E30" s="13">
        <f>AVERAGE(D6,D9,D11)</f>
        <v>0.53400000000000003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90.75333333333333</v>
      </c>
      <c r="E31" s="14">
        <f>AVERAGE(D7,D8,D15)</f>
        <v>0.37366666666666665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2F45-825B-AA4B-BD8C-8B92F56F0198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306</v>
      </c>
      <c r="B2" s="18" t="s">
        <v>29</v>
      </c>
      <c r="C2" t="s">
        <v>30</v>
      </c>
      <c r="D2" s="16" t="s">
        <v>110</v>
      </c>
      <c r="E2">
        <v>136</v>
      </c>
      <c r="F2">
        <v>4.4000000000000004</v>
      </c>
      <c r="G2" s="18">
        <v>16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101.31</v>
      </c>
      <c r="D5" s="1">
        <v>0.32300000000000001</v>
      </c>
      <c r="E5" s="1">
        <v>0.35699999999999998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87.84</v>
      </c>
      <c r="D6" s="35">
        <v>0.38</v>
      </c>
      <c r="E6" s="35">
        <v>0.307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91.86</v>
      </c>
      <c r="D7" s="4">
        <v>0.34899999999999998</v>
      </c>
      <c r="E7" s="4">
        <v>0.373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87.29</v>
      </c>
      <c r="D8" s="4">
        <v>0.626</v>
      </c>
      <c r="E8" s="4">
        <v>0.36799999999999999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62.55</v>
      </c>
      <c r="D9" s="3">
        <v>0.64500000000000002</v>
      </c>
      <c r="E9" s="3">
        <v>0.247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111.28</v>
      </c>
      <c r="D11" s="3">
        <v>0.57799999999999996</v>
      </c>
      <c r="E11" s="3">
        <v>0.438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113.59</v>
      </c>
      <c r="D12" s="1">
        <v>0.31900000000000001</v>
      </c>
      <c r="E12" s="1">
        <v>0.317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77.58</v>
      </c>
      <c r="D14" s="1">
        <v>0.61499999999999999</v>
      </c>
      <c r="E14" s="1">
        <v>0.312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92.92</v>
      </c>
      <c r="D15" s="4">
        <v>0.14099999999999999</v>
      </c>
      <c r="E15" s="4">
        <v>0.20499999999999999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75.194999999999993</v>
      </c>
      <c r="E19" s="9">
        <f>AVERAGE(E6,E9)</f>
        <v>0.27700000000000002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0.25704317174278601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90.69</v>
      </c>
      <c r="E21" s="7">
        <f>AVERAGE(E7,E8,E15)</f>
        <v>0.3153333333333333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97.493333333333339</v>
      </c>
      <c r="E22" s="8">
        <f>AVERAGE(E5,E12,E14)</f>
        <v>0.32866666666666666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87.223333333333315</v>
      </c>
      <c r="E24" s="9">
        <f>AVERAGE(E6,E9,E11)</f>
        <v>0.33066666666666666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97.493333333333339</v>
      </c>
      <c r="E29" s="15">
        <f>AVERAGE(D5,D12,D14)</f>
        <v>0.41900000000000004</v>
      </c>
      <c r="F29">
        <f>(SUM(E29/0.9 + E30/0.9+E31/0.8)/3)/(E28)</f>
        <v>0.44857541473197732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87.223333333333315</v>
      </c>
      <c r="E30" s="13">
        <f>AVERAGE(D6,D9,D11)</f>
        <v>0.53433333333333322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90.69</v>
      </c>
      <c r="E31" s="14">
        <f>AVERAGE(D7,D8,D15)</f>
        <v>0.37199999999999994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E9D8-3B3A-744E-8C51-2A51BE29AAEC}">
  <dimension ref="A1:N53"/>
  <sheetViews>
    <sheetView workbookViewId="0">
      <selection activeCell="C17" sqref="C17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307</v>
      </c>
      <c r="B2" s="18" t="s">
        <v>29</v>
      </c>
      <c r="C2" t="s">
        <v>30</v>
      </c>
      <c r="D2" s="18" t="s">
        <v>106</v>
      </c>
      <c r="E2">
        <v>136</v>
      </c>
      <c r="F2">
        <v>4.4000000000000004</v>
      </c>
      <c r="G2" s="18">
        <v>16</v>
      </c>
      <c r="H2" s="18" t="s">
        <v>98</v>
      </c>
      <c r="I2" t="s">
        <v>38</v>
      </c>
      <c r="J2" s="16" t="s">
        <v>68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 s="6" customFormat="1">
      <c r="A5" s="1" t="s">
        <v>1</v>
      </c>
      <c r="B5" s="1" t="s">
        <v>14</v>
      </c>
      <c r="C5" s="1">
        <v>103.05</v>
      </c>
      <c r="D5" s="1">
        <v>0.21199999999999999</v>
      </c>
      <c r="E5" s="1">
        <v>0.35399999999999998</v>
      </c>
      <c r="F5" s="8">
        <v>76.649769161250006</v>
      </c>
      <c r="G5" s="8">
        <v>9.2898392978419314E-2</v>
      </c>
      <c r="M5" s="6">
        <f>0.1*10^-0.9</f>
        <v>1.2589254117941668E-2</v>
      </c>
    </row>
    <row r="6" spans="1:13" s="6" customFormat="1">
      <c r="A6" s="3" t="s">
        <v>2</v>
      </c>
      <c r="B6" s="3" t="s">
        <v>15</v>
      </c>
      <c r="C6" s="35">
        <v>89.38</v>
      </c>
      <c r="D6" s="35">
        <v>0.16200000000000001</v>
      </c>
      <c r="E6" s="35">
        <v>0.315</v>
      </c>
      <c r="F6" s="9">
        <v>147.26353546175002</v>
      </c>
      <c r="G6" s="9">
        <v>0.25649755755083625</v>
      </c>
      <c r="M6" s="6">
        <f>0.1*10^-0.8</f>
        <v>1.5848931924611131E-2</v>
      </c>
    </row>
    <row r="7" spans="1:13">
      <c r="A7" s="4" t="s">
        <v>3</v>
      </c>
      <c r="B7" s="4" t="s">
        <v>16</v>
      </c>
      <c r="C7" s="4">
        <v>93.15</v>
      </c>
      <c r="D7" s="4">
        <v>0.17</v>
      </c>
      <c r="E7" s="4">
        <v>0.40699999999999997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 s="6" customFormat="1">
      <c r="A8" s="4" t="s">
        <v>4</v>
      </c>
      <c r="B8" s="4" t="s">
        <v>16</v>
      </c>
      <c r="C8" s="4">
        <v>88.77</v>
      </c>
      <c r="D8" s="4">
        <v>0.30399999999999999</v>
      </c>
      <c r="E8" s="4">
        <v>0.72</v>
      </c>
      <c r="F8" s="7">
        <v>193.95679718874999</v>
      </c>
      <c r="G8" s="7">
        <v>0.62094383060876523</v>
      </c>
      <c r="J8" s="26"/>
      <c r="M8" s="6">
        <f>0.1*10^-0.6</f>
        <v>2.5118864315095801E-2</v>
      </c>
    </row>
    <row r="9" spans="1:13" s="6" customFormat="1">
      <c r="A9" s="3" t="s">
        <v>5</v>
      </c>
      <c r="B9" s="3" t="s">
        <v>15</v>
      </c>
      <c r="C9" s="3">
        <v>64.41</v>
      </c>
      <c r="D9" s="3">
        <v>0.28399999999999997</v>
      </c>
      <c r="E9" s="3">
        <v>0.318</v>
      </c>
      <c r="F9" s="9">
        <v>115.82392241375</v>
      </c>
      <c r="G9" s="9">
        <v>0.144135624111697</v>
      </c>
      <c r="J9" s="26"/>
      <c r="M9" s="6">
        <f>0.1*10^-0.5</f>
        <v>3.1622776601683798E-2</v>
      </c>
    </row>
    <row r="10" spans="1:13">
      <c r="A10" s="2" t="s">
        <v>6</v>
      </c>
      <c r="B10" s="2" t="s">
        <v>17</v>
      </c>
      <c r="C10" s="2">
        <v>111.05</v>
      </c>
      <c r="D10" s="2">
        <v>0.74</v>
      </c>
      <c r="E10" s="2">
        <v>7.3959999999999999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 s="6" customFormat="1">
      <c r="A11" s="3" t="s">
        <v>7</v>
      </c>
      <c r="B11" s="3" t="s">
        <v>18</v>
      </c>
      <c r="C11" s="3">
        <v>114.43</v>
      </c>
      <c r="D11" s="3">
        <v>0.21</v>
      </c>
      <c r="E11" s="3">
        <v>0.46300000000000002</v>
      </c>
      <c r="F11" s="9">
        <v>62.075048986249996</v>
      </c>
      <c r="G11" s="9">
        <v>0.35229312686007963</v>
      </c>
      <c r="J11" s="26"/>
      <c r="M11" s="6">
        <f>0.1*10^-0.3</f>
        <v>5.0118723362727227E-2</v>
      </c>
    </row>
    <row r="12" spans="1:13" s="6" customFormat="1">
      <c r="A12" s="1" t="s">
        <v>8</v>
      </c>
      <c r="B12" s="1" t="s">
        <v>14</v>
      </c>
      <c r="C12" s="1">
        <v>115.52</v>
      </c>
      <c r="D12" s="1">
        <v>0.19700000000000001</v>
      </c>
      <c r="E12" s="1">
        <v>0.35099999999999998</v>
      </c>
      <c r="F12" s="8">
        <v>70.204591839374999</v>
      </c>
      <c r="G12" s="8">
        <v>0.3591173369996179</v>
      </c>
      <c r="H12" s="6" t="s">
        <v>91</v>
      </c>
      <c r="M12" s="6">
        <f>0.1*10^-0.2</f>
        <v>6.3095734448019331E-2</v>
      </c>
    </row>
    <row r="13" spans="1:13" s="6" customFormat="1">
      <c r="A13" s="2" t="s">
        <v>9</v>
      </c>
      <c r="B13" s="2" t="s">
        <v>17</v>
      </c>
      <c r="C13" s="19">
        <v>117.44</v>
      </c>
      <c r="D13" s="19">
        <v>0.50800000000000001</v>
      </c>
      <c r="E13" s="19">
        <v>5.077</v>
      </c>
      <c r="F13" s="22">
        <v>160.29824898625</v>
      </c>
      <c r="G13" s="22">
        <v>7.2940045798015261</v>
      </c>
      <c r="J13" s="29" t="s">
        <v>62</v>
      </c>
      <c r="M13" s="6">
        <f>0.1*10^-0.1</f>
        <v>7.9432823472428152E-2</v>
      </c>
    </row>
    <row r="14" spans="1:13" s="6" customFormat="1">
      <c r="A14" s="1" t="s">
        <v>10</v>
      </c>
      <c r="B14" s="1" t="s">
        <v>19</v>
      </c>
      <c r="C14" s="1">
        <v>77.319999999999993</v>
      </c>
      <c r="D14" s="1">
        <v>0.26900000000000002</v>
      </c>
      <c r="E14" s="1">
        <v>0.309</v>
      </c>
      <c r="F14" s="8">
        <v>51.626432230124998</v>
      </c>
      <c r="G14" s="8">
        <v>0.151869347509442</v>
      </c>
      <c r="J14" s="29" t="s">
        <v>63</v>
      </c>
      <c r="M14" s="6">
        <f>0.1*10^0</f>
        <v>0.1</v>
      </c>
    </row>
    <row r="15" spans="1:13" s="6" customFormat="1">
      <c r="A15" s="4" t="s">
        <v>11</v>
      </c>
      <c r="B15" s="4" t="s">
        <v>20</v>
      </c>
      <c r="C15" s="4">
        <v>95.92</v>
      </c>
      <c r="D15" s="4">
        <v>9.6000000000000002E-2</v>
      </c>
      <c r="E15" s="4">
        <v>0.22500000000000001</v>
      </c>
      <c r="F15" s="7">
        <v>57.000212849374996</v>
      </c>
      <c r="G15" s="7">
        <v>0.17369061796032984</v>
      </c>
      <c r="J15" s="27" t="s">
        <v>64</v>
      </c>
      <c r="M15" s="6">
        <f>0.1*10^0.1</f>
        <v>0.12589254117941673</v>
      </c>
    </row>
    <row r="16" spans="1:13" s="6" customFormat="1">
      <c r="A16" s="2" t="s">
        <v>12</v>
      </c>
      <c r="B16" s="2" t="s">
        <v>17</v>
      </c>
      <c r="C16" s="2">
        <v>135.96</v>
      </c>
      <c r="D16" s="2">
        <v>0.66500000000000004</v>
      </c>
      <c r="E16" s="2">
        <v>6.6459999999999999</v>
      </c>
      <c r="F16" s="10">
        <v>101.81445999924999</v>
      </c>
      <c r="G16" s="10">
        <v>2.2124667115343959</v>
      </c>
      <c r="J16" s="27" t="s">
        <v>65</v>
      </c>
      <c r="M16" s="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76.894999999999996</v>
      </c>
      <c r="E19" s="9">
        <f>AVERAGE(E6,E9)</f>
        <v>0.3165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121.48333333333335</v>
      </c>
      <c r="D20">
        <f>1-(C21+C24+C22)/(3*C20)</f>
        <v>0.22993551927562084</v>
      </c>
      <c r="E20" s="10">
        <f>AVERAGE(E10,E13,E16)</f>
        <v>6.3730000000000002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92.613333333333344</v>
      </c>
      <c r="E21" s="7">
        <f>AVERAGE(E7,E8,E15)</f>
        <v>0.45066666666666672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98.63</v>
      </c>
      <c r="E22" s="8">
        <f>AVERAGE(E5,E12,E14)</f>
        <v>0.33800000000000002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89.40666666666668</v>
      </c>
      <c r="E24" s="9">
        <f>AVERAGE(E6,E9,E11)</f>
        <v>0.36533333333333334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121.48333333333335</v>
      </c>
      <c r="E28" s="12">
        <f>AVERAGE(D10,D13,D16)</f>
        <v>0.63766666666666671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98.63</v>
      </c>
      <c r="E29" s="15">
        <f>AVERAGE(D5,D12,D14)</f>
        <v>0.22600000000000001</v>
      </c>
      <c r="F29">
        <f>(SUM(E29/0.9 + E30/0.9+E31/0.8)/3)/(E28)</f>
        <v>0.38242241195717402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89.40666666666668</v>
      </c>
      <c r="E30" s="13">
        <f>AVERAGE(D6,D9,D11)</f>
        <v>0.21866666666666665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92.613333333333344</v>
      </c>
      <c r="E31" s="14">
        <f>AVERAGE(D7,D8,D15)</f>
        <v>0.18999999999999997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A737-B2BA-E94D-9E7A-83739A0280B9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308</v>
      </c>
      <c r="B2" s="18" t="s">
        <v>29</v>
      </c>
      <c r="C2" s="16" t="s">
        <v>111</v>
      </c>
      <c r="D2" s="18" t="s">
        <v>106</v>
      </c>
      <c r="E2">
        <v>136</v>
      </c>
      <c r="F2">
        <v>4.4000000000000004</v>
      </c>
      <c r="G2" s="18">
        <v>16</v>
      </c>
      <c r="H2" s="18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 s="6" customFormat="1">
      <c r="A5" s="6" t="s">
        <v>1</v>
      </c>
      <c r="B5" s="6" t="s">
        <v>14</v>
      </c>
      <c r="F5" s="25">
        <v>76.649769161250006</v>
      </c>
      <c r="G5" s="25">
        <v>9.2898392978419314E-2</v>
      </c>
      <c r="M5" s="6">
        <f>0.1*10^-0.9</f>
        <v>1.2589254117941668E-2</v>
      </c>
    </row>
    <row r="6" spans="1:13" s="6" customFormat="1">
      <c r="A6" s="6" t="s">
        <v>2</v>
      </c>
      <c r="B6" s="6" t="s">
        <v>15</v>
      </c>
      <c r="F6" s="25">
        <v>147.26353546175002</v>
      </c>
      <c r="G6" s="25">
        <v>0.25649755755083625</v>
      </c>
      <c r="M6" s="6">
        <f>0.1*10^-0.8</f>
        <v>1.5848931924611131E-2</v>
      </c>
    </row>
    <row r="7" spans="1:13">
      <c r="A7" s="4" t="s">
        <v>3</v>
      </c>
      <c r="B7" s="4" t="s">
        <v>16</v>
      </c>
      <c r="C7" s="4"/>
      <c r="D7" s="4">
        <v>0.46700000000000003</v>
      </c>
      <c r="E7" s="4">
        <v>0.54700000000000004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 s="6" customFormat="1">
      <c r="A8" s="6" t="s">
        <v>4</v>
      </c>
      <c r="B8" s="6" t="s">
        <v>16</v>
      </c>
      <c r="F8" s="25">
        <v>193.95679718874999</v>
      </c>
      <c r="G8" s="25">
        <v>0.62094383060876523</v>
      </c>
      <c r="J8" s="26"/>
      <c r="M8" s="6">
        <f>0.1*10^-0.6</f>
        <v>2.5118864315095801E-2</v>
      </c>
    </row>
    <row r="9" spans="1:13" s="6" customFormat="1">
      <c r="A9" s="6" t="s">
        <v>5</v>
      </c>
      <c r="B9" s="6" t="s">
        <v>15</v>
      </c>
      <c r="F9" s="25">
        <v>115.82392241375</v>
      </c>
      <c r="G9" s="25">
        <v>0.144135624111697</v>
      </c>
      <c r="J9" s="26"/>
      <c r="M9" s="6">
        <f>0.1*10^-0.5</f>
        <v>3.1622776601683798E-2</v>
      </c>
    </row>
    <row r="10" spans="1:13">
      <c r="A10" s="2" t="s">
        <v>6</v>
      </c>
      <c r="B10" s="2" t="s">
        <v>17</v>
      </c>
      <c r="C10" s="2"/>
      <c r="D10" s="2"/>
      <c r="E10" s="2"/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 s="6" customFormat="1">
      <c r="A11" s="6" t="s">
        <v>7</v>
      </c>
      <c r="B11" s="6" t="s">
        <v>18</v>
      </c>
      <c r="F11" s="25">
        <v>62.075048986249996</v>
      </c>
      <c r="G11" s="25">
        <v>0.35229312686007963</v>
      </c>
      <c r="J11" s="26"/>
      <c r="M11" s="6">
        <f>0.1*10^-0.3</f>
        <v>5.0118723362727227E-2</v>
      </c>
    </row>
    <row r="12" spans="1:13" s="6" customFormat="1">
      <c r="A12" s="6" t="s">
        <v>8</v>
      </c>
      <c r="B12" s="6" t="s">
        <v>14</v>
      </c>
      <c r="F12" s="25">
        <v>70.204591839374999</v>
      </c>
      <c r="G12" s="25">
        <v>0.3591173369996179</v>
      </c>
      <c r="H12" s="6" t="s">
        <v>91</v>
      </c>
      <c r="M12" s="6">
        <f>0.1*10^-0.2</f>
        <v>6.3095734448019331E-2</v>
      </c>
    </row>
    <row r="13" spans="1:13" s="6" customFormat="1">
      <c r="A13" s="6" t="s">
        <v>9</v>
      </c>
      <c r="B13" s="6" t="s">
        <v>17</v>
      </c>
      <c r="C13" s="27"/>
      <c r="D13" s="27"/>
      <c r="E13" s="27"/>
      <c r="F13" s="28">
        <v>160.29824898625</v>
      </c>
      <c r="G13" s="28">
        <v>7.2940045798015261</v>
      </c>
      <c r="J13" s="29" t="s">
        <v>62</v>
      </c>
      <c r="M13" s="6">
        <f>0.1*10^-0.1</f>
        <v>7.9432823472428152E-2</v>
      </c>
    </row>
    <row r="14" spans="1:13" s="6" customFormat="1">
      <c r="A14" s="6" t="s">
        <v>10</v>
      </c>
      <c r="B14" s="6" t="s">
        <v>19</v>
      </c>
      <c r="F14" s="25">
        <v>51.626432230124998</v>
      </c>
      <c r="G14" s="25">
        <v>0.151869347509442</v>
      </c>
      <c r="J14" s="29" t="s">
        <v>63</v>
      </c>
      <c r="M14" s="6">
        <f>0.1*10^0</f>
        <v>0.1</v>
      </c>
    </row>
    <row r="15" spans="1:13" s="6" customFormat="1">
      <c r="A15" s="6" t="s">
        <v>11</v>
      </c>
      <c r="B15" s="6" t="s">
        <v>20</v>
      </c>
      <c r="F15" s="25">
        <v>57.000212849374996</v>
      </c>
      <c r="G15" s="25">
        <v>0.17369061796032984</v>
      </c>
      <c r="J15" s="27" t="s">
        <v>64</v>
      </c>
      <c r="M15" s="6">
        <f>0.1*10^0.1</f>
        <v>0.12589254117941673</v>
      </c>
    </row>
    <row r="16" spans="1:13" s="6" customFormat="1">
      <c r="A16" s="6" t="s">
        <v>12</v>
      </c>
      <c r="B16" s="6" t="s">
        <v>17</v>
      </c>
      <c r="F16" s="25">
        <v>101.81445999924999</v>
      </c>
      <c r="G16" s="25">
        <v>2.2124667115343959</v>
      </c>
      <c r="J16" s="27" t="s">
        <v>65</v>
      </c>
      <c r="M16" s="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 t="e">
        <f>AVERAGE(C6,C9)</f>
        <v>#DIV/0!</v>
      </c>
      <c r="E19" s="9" t="e">
        <f>AVERAGE(E6,E9)</f>
        <v>#DIV/0!</v>
      </c>
      <c r="F19" s="9">
        <f>AVERAGE(F6,F9)</f>
        <v>131.54372893775002</v>
      </c>
      <c r="M19">
        <f>0.1*10^0.5</f>
        <v>0.316227766016838</v>
      </c>
    </row>
    <row r="20" spans="1:14">
      <c r="C20" s="10" t="e">
        <f>AVERAGE(C10,C13,C16)</f>
        <v>#DIV/0!</v>
      </c>
      <c r="D20" t="e">
        <f>1-(C21+C24+C22)/(3*C20)</f>
        <v>#DIV/0!</v>
      </c>
      <c r="E20" s="10" t="e">
        <f>AVERAGE(E10,E13,E16)</f>
        <v>#DIV/0!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 t="e">
        <f>AVERAGE(C7,C8,C15)</f>
        <v>#DIV/0!</v>
      </c>
      <c r="E21" s="7">
        <f>AVERAGE(E7,E8,E15)</f>
        <v>0.54700000000000004</v>
      </c>
      <c r="F21" s="7">
        <f>AVERAGE(F7,F8,F15)</f>
        <v>114.75296628729166</v>
      </c>
      <c r="M21">
        <f>0.1*10^0.7</f>
        <v>0.50118723362727235</v>
      </c>
    </row>
    <row r="22" spans="1:14">
      <c r="C22" s="8" t="e">
        <f>AVERAGE(C5,C12,C14)</f>
        <v>#DIV/0!</v>
      </c>
      <c r="E22" s="8" t="e">
        <f>AVERAGE(E5,E12,E14)</f>
        <v>#DIV/0!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 t="e">
        <f>AVERAGE(C6,C9,C11)</f>
        <v>#DIV/0!</v>
      </c>
      <c r="E24" s="9" t="e">
        <f>AVERAGE(E6,E9,E11)</f>
        <v>#DIV/0!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 t="e">
        <f>AVERAGE(C10,C13,C16)</f>
        <v>#DIV/0!</v>
      </c>
      <c r="E28" s="12" t="e">
        <f>AVERAGE(D10,D13,D16)</f>
        <v>#DIV/0!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 t="e">
        <f>AVERAGE(C5,C12,C14)</f>
        <v>#DIV/0!</v>
      </c>
      <c r="E29" s="15" t="e">
        <f>AVERAGE(D5,D12,D14)</f>
        <v>#DIV/0!</v>
      </c>
      <c r="F29" t="e">
        <f>(SUM(E29/0.9 + E30/0.9+E31/0.8)/3)/(E28)</f>
        <v>#DIV/0!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 t="e">
        <f>AVERAGE(C6,C9,C11)</f>
        <v>#DIV/0!</v>
      </c>
      <c r="E30" s="13" t="e">
        <f>AVERAGE(D6,D9,D11)</f>
        <v>#DIV/0!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 t="e">
        <f>AVERAGE(C7,C8,C15)</f>
        <v>#DIV/0!</v>
      </c>
      <c r="E31" s="14">
        <f>AVERAGE(D7,D8,D15)</f>
        <v>0.46700000000000003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41D8-012C-6342-8112-973A5DC35005}">
  <dimension ref="A1:N46"/>
  <sheetViews>
    <sheetView zoomScale="62" zoomScaleNormal="62"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7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309</v>
      </c>
      <c r="B2" t="s">
        <v>29</v>
      </c>
      <c r="C2" t="s">
        <v>30</v>
      </c>
      <c r="D2" s="18" t="s">
        <v>106</v>
      </c>
      <c r="E2">
        <v>12</v>
      </c>
      <c r="F2">
        <v>10</v>
      </c>
      <c r="G2" s="18">
        <v>25</v>
      </c>
      <c r="H2" s="16" t="s">
        <v>98</v>
      </c>
      <c r="I2">
        <v>0.6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105.61</v>
      </c>
      <c r="D5" s="1">
        <v>0.498</v>
      </c>
      <c r="E5" s="1">
        <v>3.2160000000000002</v>
      </c>
      <c r="F5" s="15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92.56</v>
      </c>
      <c r="D6" s="35">
        <v>0.438</v>
      </c>
      <c r="E6" s="35">
        <v>2.5219999999999998</v>
      </c>
      <c r="F6" s="13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95.43</v>
      </c>
      <c r="D7" s="4">
        <v>0.32200000000000001</v>
      </c>
      <c r="E7" s="4">
        <v>2.7309999999999999</v>
      </c>
      <c r="F7" s="14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94.36</v>
      </c>
      <c r="D8" s="4">
        <v>0.63400000000000001</v>
      </c>
      <c r="E8" s="4">
        <v>4.032</v>
      </c>
      <c r="F8" s="14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68.97</v>
      </c>
      <c r="D9" s="3">
        <v>0.74399999999999999</v>
      </c>
      <c r="E9" s="3">
        <v>3.258</v>
      </c>
      <c r="F9" s="13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113.45</v>
      </c>
      <c r="D10" s="2">
        <v>1.1919999999999999</v>
      </c>
      <c r="E10" s="2">
        <v>11.923999999999999</v>
      </c>
      <c r="F10" s="12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115.21</v>
      </c>
      <c r="D11" s="3">
        <v>0.71299999999999997</v>
      </c>
      <c r="E11" s="3">
        <v>4.2</v>
      </c>
      <c r="F11" s="13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116.36</v>
      </c>
      <c r="D12" s="1">
        <v>0.41</v>
      </c>
      <c r="E12" s="1">
        <v>2.3660000000000001</v>
      </c>
      <c r="F12" s="15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122.25</v>
      </c>
      <c r="D13" s="19">
        <v>0.88300000000000001</v>
      </c>
      <c r="E13" s="19">
        <v>8.8290000000000006</v>
      </c>
      <c r="F13" s="94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82.55</v>
      </c>
      <c r="D14" s="1">
        <v>0.76500000000000001</v>
      </c>
      <c r="E14" s="1">
        <v>3.7189999999999999</v>
      </c>
      <c r="F14" s="15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98.76</v>
      </c>
      <c r="D15" s="4">
        <v>0.2</v>
      </c>
      <c r="E15" s="4">
        <v>1.796</v>
      </c>
      <c r="F15" s="14">
        <v>57.000212849374996</v>
      </c>
      <c r="G15" s="7">
        <v>0.17369061796032984</v>
      </c>
      <c r="J15" s="18" t="s">
        <v>141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134.99</v>
      </c>
      <c r="D16" s="2">
        <v>1.323</v>
      </c>
      <c r="E16" s="2">
        <v>13.234</v>
      </c>
      <c r="F16" s="12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80.765000000000001</v>
      </c>
      <c r="E19" s="9">
        <f>AVERAGE(E6,E9)</f>
        <v>2.8899999999999997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123.56333333333333</v>
      </c>
      <c r="D20">
        <f>1-(C21+C24+C22)/(3*C20)</f>
        <v>0.21784599890294676</v>
      </c>
      <c r="E20" s="10">
        <f>AVERAGE(E10,E13,E16)</f>
        <v>11.329000000000001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96.183333333333337</v>
      </c>
      <c r="E21" s="7">
        <f>AVERAGE(E7,E8,E15)</f>
        <v>2.8529999999999998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101.50666666666666</v>
      </c>
      <c r="E22" s="8">
        <f>AVERAGE(E5,E12,E14)</f>
        <v>3.1003333333333334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92.24666666666667</v>
      </c>
      <c r="E24" s="9">
        <f>AVERAGE(E6,E9,E11)</f>
        <v>3.3266666666666667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2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123.56333333333333</v>
      </c>
      <c r="E28">
        <v>1.1299999999999999</v>
      </c>
      <c r="F28" s="12">
        <f>AVERAGE(D10,D13,D16)</f>
        <v>1.1326666666666667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101.50666666666666</v>
      </c>
      <c r="E29" s="15">
        <f>AVERAGE(D5,D12,D14)</f>
        <v>0.55766666666666664</v>
      </c>
      <c r="F29" s="15">
        <f>AVERAGE(D5,D12,D14)/0.9</f>
        <v>0.61962962962962964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92.24666666666667</v>
      </c>
      <c r="E30" s="13">
        <f>AVERAGE(D6,D9,D11)</f>
        <v>0.63166666666666671</v>
      </c>
      <c r="F30" s="13">
        <f>AVERAGE(D6,D9,D11)/0.9</f>
        <v>0.70185185185185184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96.183333333333337</v>
      </c>
      <c r="E31" s="14">
        <f>AVERAGE(D7,D8,D15)</f>
        <v>0.38533333333333331</v>
      </c>
      <c r="F31" s="14">
        <f>AVERAGE(D7,D8,D15)/0.8</f>
        <v>0.48166666666666663</v>
      </c>
      <c r="M31">
        <f t="shared" si="0"/>
        <v>5.0118723362727238</v>
      </c>
      <c r="N31">
        <v>1.7</v>
      </c>
    </row>
    <row r="32" spans="1:14">
      <c r="B32" s="5"/>
      <c r="C32" s="11"/>
      <c r="E32" s="5">
        <f>AVERAGE(F29:F31)</f>
        <v>0.60104938271604935</v>
      </c>
      <c r="M32">
        <f t="shared" si="0"/>
        <v>6.3095734448019369</v>
      </c>
      <c r="N32">
        <v>1.8</v>
      </c>
    </row>
    <row r="33" spans="1:14">
      <c r="E33">
        <f>E32/F28</f>
        <v>0.53064983759509943</v>
      </c>
      <c r="M33">
        <f t="shared" si="0"/>
        <v>7.9432823472428202</v>
      </c>
      <c r="N33">
        <v>1.9</v>
      </c>
    </row>
    <row r="34" spans="1:14">
      <c r="E34">
        <f>(1-E33)*100</f>
        <v>46.935016240490057</v>
      </c>
      <c r="M34">
        <f t="shared" si="0"/>
        <v>10</v>
      </c>
      <c r="N34">
        <v>2</v>
      </c>
    </row>
    <row r="35" spans="1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1:14">
      <c r="A36" s="97" t="s">
        <v>143</v>
      </c>
      <c r="B36" s="97" t="s">
        <v>144</v>
      </c>
      <c r="C36" s="97" t="s">
        <v>145</v>
      </c>
      <c r="D36" s="97" t="s">
        <v>146</v>
      </c>
      <c r="E36" s="97" t="s">
        <v>147</v>
      </c>
      <c r="F36" s="97" t="s">
        <v>148</v>
      </c>
      <c r="G36" s="97" t="s">
        <v>149</v>
      </c>
      <c r="H36" s="97" t="s">
        <v>150</v>
      </c>
      <c r="I36" s="97" t="s">
        <v>151</v>
      </c>
      <c r="J36" s="97" t="s">
        <v>175</v>
      </c>
      <c r="K36" s="97" t="s">
        <v>181</v>
      </c>
      <c r="L36" s="97" t="s">
        <v>176</v>
      </c>
      <c r="N36">
        <v>2.2000000000000002</v>
      </c>
    </row>
    <row r="37" spans="1:14">
      <c r="A37" s="100" t="s">
        <v>155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>
        <v>2.2999999999999998</v>
      </c>
    </row>
    <row r="38" spans="1:14">
      <c r="A38" s="100" t="s">
        <v>152</v>
      </c>
      <c r="B38" s="98">
        <v>3</v>
      </c>
      <c r="C38" s="99">
        <v>3.326667</v>
      </c>
      <c r="D38" s="99">
        <v>0.48561209999999999</v>
      </c>
      <c r="E38" s="99">
        <v>0.25097540000000002</v>
      </c>
      <c r="F38" s="99">
        <v>6.01533E-2</v>
      </c>
      <c r="G38" s="99">
        <v>92.246669999999995</v>
      </c>
      <c r="H38" s="99">
        <v>13.349258000000001</v>
      </c>
      <c r="I38" s="99">
        <v>108.3875</v>
      </c>
      <c r="J38" s="99">
        <v>24.871300999999999</v>
      </c>
      <c r="K38" s="99">
        <v>0.63166670000000003</v>
      </c>
      <c r="L38" s="99">
        <v>0.168435</v>
      </c>
      <c r="M38" s="98">
        <v>9.7245970000000001E-2</v>
      </c>
      <c r="N38">
        <v>2.4</v>
      </c>
    </row>
    <row r="39" spans="1:14">
      <c r="A39" s="100" t="s">
        <v>153</v>
      </c>
      <c r="B39" s="98">
        <v>3</v>
      </c>
      <c r="C39" s="99">
        <v>3.100333</v>
      </c>
      <c r="D39" s="99">
        <v>0.39483600000000002</v>
      </c>
      <c r="E39" s="99">
        <v>0.201295</v>
      </c>
      <c r="F39" s="99">
        <v>8.0726500000000007E-2</v>
      </c>
      <c r="G39" s="99">
        <v>101.50667</v>
      </c>
      <c r="H39" s="99">
        <v>9.9734149999999993</v>
      </c>
      <c r="I39" s="99">
        <v>66.160259999999994</v>
      </c>
      <c r="J39" s="99">
        <v>7.5013170000000002</v>
      </c>
      <c r="K39" s="99">
        <v>0.55766669999999996</v>
      </c>
      <c r="L39" s="99">
        <v>0.18486839999999999</v>
      </c>
      <c r="M39" s="98">
        <v>0.10673383</v>
      </c>
      <c r="N39">
        <v>2.5</v>
      </c>
    </row>
    <row r="40" spans="1:14">
      <c r="A40" s="100" t="s">
        <v>154</v>
      </c>
      <c r="B40" s="98">
        <v>3</v>
      </c>
      <c r="C40" s="99">
        <v>11.329000000000001</v>
      </c>
      <c r="D40" s="99">
        <v>1.3059510999999999</v>
      </c>
      <c r="E40" s="99">
        <v>5.3618274000000001</v>
      </c>
      <c r="F40" s="99">
        <v>1.5881497</v>
      </c>
      <c r="G40" s="99">
        <v>123.56332999999999</v>
      </c>
      <c r="H40" s="99">
        <v>6.2526400000000004</v>
      </c>
      <c r="I40" s="99">
        <v>169.32517999999999</v>
      </c>
      <c r="J40" s="99">
        <v>41.827410999999998</v>
      </c>
      <c r="K40" s="99">
        <v>1.1326666999999999</v>
      </c>
      <c r="L40" s="99">
        <v>0.22592110000000001</v>
      </c>
      <c r="M40" s="98">
        <v>0.13043560000000001</v>
      </c>
      <c r="N40">
        <v>2.6</v>
      </c>
    </row>
    <row r="41" spans="1:14">
      <c r="B41" s="98">
        <v>3</v>
      </c>
      <c r="C41" s="99">
        <v>2.8530000000000002</v>
      </c>
      <c r="D41" s="99">
        <v>0.64835359999999997</v>
      </c>
      <c r="E41" s="99">
        <v>0.29955870000000001</v>
      </c>
      <c r="F41" s="99">
        <v>0.16194549999999999</v>
      </c>
      <c r="G41" s="99">
        <v>96.183329999999998</v>
      </c>
      <c r="H41" s="99">
        <v>1.3248439999999999</v>
      </c>
      <c r="I41" s="99">
        <v>114.75297</v>
      </c>
      <c r="J41" s="99">
        <v>40.964976999999998</v>
      </c>
      <c r="K41" s="99">
        <v>0.38533329999999999</v>
      </c>
      <c r="L41" s="99">
        <v>0.2238243</v>
      </c>
      <c r="M41" s="98">
        <v>0.12922504000000001</v>
      </c>
      <c r="N41">
        <v>2.7</v>
      </c>
    </row>
    <row r="42" spans="1:14">
      <c r="E42" t="s">
        <v>47</v>
      </c>
      <c r="M42">
        <f t="shared" si="0"/>
        <v>63.095734448019329</v>
      </c>
      <c r="N42">
        <v>2.8</v>
      </c>
    </row>
    <row r="43" spans="1:14">
      <c r="C43" s="99" t="s">
        <v>184</v>
      </c>
      <c r="D43" s="99" t="s">
        <v>165</v>
      </c>
      <c r="E43" s="99" t="s">
        <v>187</v>
      </c>
      <c r="F43" s="99" t="s">
        <v>171</v>
      </c>
      <c r="G43" s="99" t="s">
        <v>191</v>
      </c>
      <c r="H43" s="99"/>
      <c r="J43" s="99">
        <v>40.964976999999998</v>
      </c>
      <c r="L43" s="99">
        <v>0.2238243</v>
      </c>
    </row>
    <row r="44" spans="1:14">
      <c r="C44" s="99" t="s">
        <v>182</v>
      </c>
      <c r="D44" s="99" t="s">
        <v>162</v>
      </c>
      <c r="E44" s="99" t="s">
        <v>185</v>
      </c>
      <c r="F44" s="99" t="s">
        <v>169</v>
      </c>
      <c r="G44" s="99" t="s">
        <v>188</v>
      </c>
      <c r="H44" s="99"/>
      <c r="J44" s="99">
        <v>24.871300999999999</v>
      </c>
      <c r="L44" s="99">
        <v>0.168435</v>
      </c>
    </row>
    <row r="45" spans="1:14">
      <c r="C45" s="99" t="s">
        <v>183</v>
      </c>
      <c r="D45" s="99" t="s">
        <v>163</v>
      </c>
      <c r="E45" s="99" t="s">
        <v>186</v>
      </c>
      <c r="F45" s="99" t="s">
        <v>170</v>
      </c>
      <c r="G45" s="99" t="s">
        <v>189</v>
      </c>
      <c r="H45" s="99"/>
      <c r="J45" s="99">
        <v>7.5013170000000002</v>
      </c>
      <c r="L45" s="99">
        <v>0.18486839999999999</v>
      </c>
    </row>
    <row r="46" spans="1:14">
      <c r="C46" s="99" t="s">
        <v>159</v>
      </c>
      <c r="D46" s="99" t="s">
        <v>164</v>
      </c>
      <c r="E46" s="99" t="s">
        <v>173</v>
      </c>
      <c r="F46" s="99" t="s">
        <v>172</v>
      </c>
      <c r="G46" s="99" t="s">
        <v>190</v>
      </c>
      <c r="H46" s="99"/>
      <c r="J46" s="99">
        <v>41.827410999999998</v>
      </c>
      <c r="L46" s="99">
        <v>0.22592110000000001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DBF8-DC8C-3A49-BC9D-89A049485822}">
  <dimension ref="A1:K31"/>
  <sheetViews>
    <sheetView workbookViewId="0">
      <selection activeCell="A2" sqref="A2"/>
    </sheetView>
  </sheetViews>
  <sheetFormatPr baseColWidth="10" defaultRowHeight="16"/>
  <cols>
    <col min="2" max="2" width="5.1640625" customWidth="1"/>
    <col min="3" max="3" width="8.1640625" customWidth="1"/>
    <col min="4" max="4" width="13.6640625" customWidth="1"/>
    <col min="5" max="5" width="9.5" customWidth="1"/>
    <col min="6" max="6" width="9.33203125" customWidth="1"/>
    <col min="7" max="7" width="14.1640625" customWidth="1"/>
    <col min="8" max="8" width="9.5" customWidth="1"/>
    <col min="9" max="9" width="8.6640625" customWidth="1"/>
    <col min="10" max="10" width="13.6640625" customWidth="1"/>
    <col min="11" max="11" width="10.83203125" customWidth="1"/>
  </cols>
  <sheetData>
    <row r="1" spans="1:11">
      <c r="A1" t="s">
        <v>128</v>
      </c>
    </row>
    <row r="3" spans="1:11">
      <c r="A3" s="44"/>
      <c r="B3" s="60"/>
      <c r="C3" s="225" t="s">
        <v>106</v>
      </c>
      <c r="D3" s="225"/>
      <c r="E3" s="226"/>
      <c r="F3" s="230" t="s">
        <v>109</v>
      </c>
      <c r="G3" s="225"/>
      <c r="H3" s="226"/>
      <c r="I3" s="225" t="s">
        <v>110</v>
      </c>
      <c r="J3" s="225"/>
      <c r="K3" s="226"/>
    </row>
    <row r="4" spans="1:11" s="30" customFormat="1" ht="102">
      <c r="A4" s="45" t="s">
        <v>0</v>
      </c>
      <c r="B4" s="37" t="s">
        <v>13</v>
      </c>
      <c r="C4" s="46" t="s">
        <v>69</v>
      </c>
      <c r="D4" s="46" t="s">
        <v>70</v>
      </c>
      <c r="E4" s="37" t="s">
        <v>71</v>
      </c>
      <c r="F4" s="46" t="s">
        <v>69</v>
      </c>
      <c r="G4" s="46" t="s">
        <v>70</v>
      </c>
      <c r="H4" s="37" t="s">
        <v>71</v>
      </c>
      <c r="I4" s="46" t="s">
        <v>69</v>
      </c>
      <c r="J4" s="46" t="s">
        <v>70</v>
      </c>
      <c r="K4" s="37" t="s">
        <v>71</v>
      </c>
    </row>
    <row r="5" spans="1:11">
      <c r="A5" s="47" t="s">
        <v>1</v>
      </c>
      <c r="B5" s="38" t="s">
        <v>14</v>
      </c>
      <c r="C5" s="48">
        <v>101.37</v>
      </c>
      <c r="D5" s="48">
        <v>0.32300000000000001</v>
      </c>
      <c r="E5" s="38">
        <v>0.35799999999999998</v>
      </c>
      <c r="F5" s="48">
        <v>101.39</v>
      </c>
      <c r="G5" s="48">
        <v>0.32300000000000001</v>
      </c>
      <c r="H5" s="38">
        <v>0.35799999999999998</v>
      </c>
      <c r="I5" s="48">
        <v>101.31</v>
      </c>
      <c r="J5" s="48">
        <v>0.32300000000000001</v>
      </c>
      <c r="K5" s="38">
        <v>0.35699999999999998</v>
      </c>
    </row>
    <row r="6" spans="1:11">
      <c r="A6" s="49" t="s">
        <v>2</v>
      </c>
      <c r="B6" s="41" t="s">
        <v>15</v>
      </c>
      <c r="C6" s="51">
        <v>87.87</v>
      </c>
      <c r="D6" s="51">
        <v>0.38100000000000001</v>
      </c>
      <c r="E6" s="39">
        <v>0.307</v>
      </c>
      <c r="F6" s="51">
        <v>87.84</v>
      </c>
      <c r="G6" s="51">
        <v>0.38200000000000001</v>
      </c>
      <c r="H6" s="39">
        <v>0.307</v>
      </c>
      <c r="I6" s="51">
        <v>87.84</v>
      </c>
      <c r="J6" s="51">
        <v>0.38</v>
      </c>
      <c r="K6" s="39">
        <v>0.307</v>
      </c>
    </row>
    <row r="7" spans="1:11">
      <c r="A7" s="52" t="s">
        <v>3</v>
      </c>
      <c r="B7" s="40" t="s">
        <v>16</v>
      </c>
      <c r="C7" s="53">
        <v>91.89</v>
      </c>
      <c r="D7" s="53">
        <v>0.34899999999999998</v>
      </c>
      <c r="E7" s="40">
        <v>0.373</v>
      </c>
      <c r="F7" s="53">
        <v>91.93</v>
      </c>
      <c r="G7" s="53">
        <v>0.34899999999999998</v>
      </c>
      <c r="H7" s="40">
        <v>0.373</v>
      </c>
      <c r="I7" s="53">
        <v>91.86</v>
      </c>
      <c r="J7" s="53">
        <v>0.34899999999999998</v>
      </c>
      <c r="K7" s="40">
        <v>0.373</v>
      </c>
    </row>
    <row r="8" spans="1:11">
      <c r="A8" s="52" t="s">
        <v>4</v>
      </c>
      <c r="B8" s="40" t="s">
        <v>16</v>
      </c>
      <c r="C8" s="53">
        <v>87.33</v>
      </c>
      <c r="D8" s="53">
        <v>0.627</v>
      </c>
      <c r="E8" s="40">
        <v>0.36799999999999999</v>
      </c>
      <c r="F8" s="53">
        <v>87.35</v>
      </c>
      <c r="G8" s="53">
        <v>0.629</v>
      </c>
      <c r="H8" s="40">
        <v>0.36799999999999999</v>
      </c>
      <c r="I8" s="53">
        <v>87.29</v>
      </c>
      <c r="J8" s="53">
        <v>0.626</v>
      </c>
      <c r="K8" s="40">
        <v>0.36799999999999999</v>
      </c>
    </row>
    <row r="9" spans="1:11">
      <c r="A9" s="49" t="s">
        <v>5</v>
      </c>
      <c r="B9" s="41" t="s">
        <v>15</v>
      </c>
      <c r="C9" s="50">
        <v>62.58</v>
      </c>
      <c r="D9" s="50">
        <v>0.63700000000000001</v>
      </c>
      <c r="E9" s="41">
        <v>0.246</v>
      </c>
      <c r="F9" s="50">
        <v>62.61</v>
      </c>
      <c r="G9" s="50">
        <v>0.64500000000000002</v>
      </c>
      <c r="H9" s="41">
        <v>0.247</v>
      </c>
      <c r="I9" s="50">
        <v>62.55</v>
      </c>
      <c r="J9" s="50">
        <v>0.64500000000000002</v>
      </c>
      <c r="K9" s="41">
        <v>0.247</v>
      </c>
    </row>
    <row r="10" spans="1:11">
      <c r="A10" s="54" t="s">
        <v>6</v>
      </c>
      <c r="B10" s="42" t="s">
        <v>17</v>
      </c>
      <c r="C10" s="55">
        <v>113.45</v>
      </c>
      <c r="D10" s="55">
        <v>1.1919999999999999</v>
      </c>
      <c r="E10" s="42">
        <v>11.923999999999999</v>
      </c>
      <c r="F10" s="55">
        <v>113.45</v>
      </c>
      <c r="G10" s="55">
        <v>1.1919999999999999</v>
      </c>
      <c r="H10" s="42">
        <v>11.923999999999999</v>
      </c>
      <c r="I10" s="55">
        <v>113.45</v>
      </c>
      <c r="J10" s="55">
        <v>1.1919999999999999</v>
      </c>
      <c r="K10" s="42">
        <v>11.923999999999999</v>
      </c>
    </row>
    <row r="11" spans="1:11">
      <c r="A11" s="49" t="s">
        <v>7</v>
      </c>
      <c r="B11" s="41" t="s">
        <v>18</v>
      </c>
      <c r="C11" s="50">
        <v>111.35</v>
      </c>
      <c r="D11" s="50">
        <v>0.57599999999999996</v>
      </c>
      <c r="E11" s="41">
        <v>0.437</v>
      </c>
      <c r="F11" s="50">
        <v>111.33</v>
      </c>
      <c r="G11" s="50">
        <v>0.57499999999999996</v>
      </c>
      <c r="H11" s="41">
        <v>0.435</v>
      </c>
      <c r="I11" s="50">
        <v>111.28</v>
      </c>
      <c r="J11" s="50">
        <v>0.57799999999999996</v>
      </c>
      <c r="K11" s="41">
        <v>0.438</v>
      </c>
    </row>
    <row r="12" spans="1:11">
      <c r="A12" s="47" t="s">
        <v>8</v>
      </c>
      <c r="B12" s="38" t="s">
        <v>14</v>
      </c>
      <c r="C12" s="48">
        <v>113.47</v>
      </c>
      <c r="D12" s="48">
        <v>0.32</v>
      </c>
      <c r="E12" s="38">
        <v>0.317</v>
      </c>
      <c r="F12" s="48">
        <v>113.43</v>
      </c>
      <c r="G12" s="48">
        <v>0.32100000000000001</v>
      </c>
      <c r="H12" s="38">
        <v>0.317</v>
      </c>
      <c r="I12" s="48">
        <v>113.59</v>
      </c>
      <c r="J12" s="48">
        <v>0.31900000000000001</v>
      </c>
      <c r="K12" s="38">
        <v>0.317</v>
      </c>
    </row>
    <row r="13" spans="1:11">
      <c r="A13" s="54" t="s">
        <v>9</v>
      </c>
      <c r="B13" s="42" t="s">
        <v>17</v>
      </c>
      <c r="C13" s="56">
        <v>122.25</v>
      </c>
      <c r="D13" s="56">
        <v>0.88300000000000001</v>
      </c>
      <c r="E13" s="43">
        <v>8.8290000000000006</v>
      </c>
      <c r="F13" s="56">
        <v>122.25</v>
      </c>
      <c r="G13" s="56">
        <v>0.88300000000000001</v>
      </c>
      <c r="H13" s="43">
        <v>8.8290000000000006</v>
      </c>
      <c r="I13" s="56">
        <v>122.25</v>
      </c>
      <c r="J13" s="56">
        <v>0.88300000000000001</v>
      </c>
      <c r="K13" s="43">
        <v>8.8290000000000006</v>
      </c>
    </row>
    <row r="14" spans="1:11">
      <c r="A14" s="47" t="s">
        <v>10</v>
      </c>
      <c r="B14" s="38" t="s">
        <v>19</v>
      </c>
      <c r="C14" s="48">
        <v>77.62</v>
      </c>
      <c r="D14" s="48">
        <v>0.61899999999999999</v>
      </c>
      <c r="E14" s="38">
        <v>0.312</v>
      </c>
      <c r="F14" s="48">
        <v>77.680000000000007</v>
      </c>
      <c r="G14" s="48">
        <v>0.621</v>
      </c>
      <c r="H14" s="38">
        <v>0.312</v>
      </c>
      <c r="I14" s="48">
        <v>77.58</v>
      </c>
      <c r="J14" s="48">
        <v>0.61499999999999999</v>
      </c>
      <c r="K14" s="38">
        <v>0.312</v>
      </c>
    </row>
    <row r="15" spans="1:11">
      <c r="A15" s="52" t="s">
        <v>11</v>
      </c>
      <c r="B15" s="40" t="s">
        <v>20</v>
      </c>
      <c r="C15" s="53">
        <v>92.78</v>
      </c>
      <c r="D15" s="53">
        <v>0.14199999999999999</v>
      </c>
      <c r="E15" s="40">
        <v>0.20499999999999999</v>
      </c>
      <c r="F15" s="53">
        <v>92.98</v>
      </c>
      <c r="G15" s="53">
        <v>0.14299999999999999</v>
      </c>
      <c r="H15" s="40">
        <v>0.20300000000000001</v>
      </c>
      <c r="I15" s="53">
        <v>92.92</v>
      </c>
      <c r="J15" s="53">
        <v>0.14099999999999999</v>
      </c>
      <c r="K15" s="40">
        <v>0.20499999999999999</v>
      </c>
    </row>
    <row r="16" spans="1:11">
      <c r="A16" s="57" t="s">
        <v>12</v>
      </c>
      <c r="B16" s="59" t="s">
        <v>17</v>
      </c>
      <c r="C16" s="58">
        <v>134.99</v>
      </c>
      <c r="D16" s="58">
        <v>1.323</v>
      </c>
      <c r="E16" s="59">
        <v>13.234</v>
      </c>
      <c r="F16" s="58">
        <v>134.99</v>
      </c>
      <c r="G16" s="58">
        <v>1.323</v>
      </c>
      <c r="H16" s="59">
        <v>13.234</v>
      </c>
      <c r="I16" s="58">
        <v>134.99</v>
      </c>
      <c r="J16" s="58">
        <v>1.323</v>
      </c>
      <c r="K16" s="59">
        <v>13.234</v>
      </c>
    </row>
    <row r="17" spans="1:11">
      <c r="F17" s="6"/>
      <c r="G17" s="6"/>
    </row>
    <row r="18" spans="1:11">
      <c r="F18" s="6"/>
      <c r="G18" s="6"/>
    </row>
    <row r="19" spans="1:11">
      <c r="A19" t="s">
        <v>258</v>
      </c>
      <c r="B19" s="18"/>
      <c r="F19" s="6"/>
      <c r="G19" s="27"/>
    </row>
    <row r="20" spans="1:11">
      <c r="A20" t="s">
        <v>129</v>
      </c>
      <c r="F20" s="6"/>
      <c r="G20" s="6"/>
    </row>
    <row r="21" spans="1:11">
      <c r="B21" s="69"/>
      <c r="C21" s="227" t="s">
        <v>130</v>
      </c>
      <c r="D21" s="227"/>
      <c r="E21" s="228"/>
      <c r="F21" s="229" t="s">
        <v>109</v>
      </c>
      <c r="G21" s="227"/>
      <c r="H21" s="228"/>
      <c r="I21" s="229" t="s">
        <v>110</v>
      </c>
      <c r="J21" s="227"/>
      <c r="K21" s="228"/>
    </row>
    <row r="22" spans="1:11" ht="34">
      <c r="B22" s="70" t="s">
        <v>0</v>
      </c>
      <c r="C22" s="62" t="s">
        <v>69</v>
      </c>
      <c r="D22" s="62" t="s">
        <v>70</v>
      </c>
      <c r="E22" s="61" t="s">
        <v>71</v>
      </c>
      <c r="F22" s="62" t="s">
        <v>69</v>
      </c>
      <c r="G22" s="62" t="s">
        <v>70</v>
      </c>
      <c r="H22" s="61" t="s">
        <v>71</v>
      </c>
      <c r="I22" s="62" t="s">
        <v>69</v>
      </c>
      <c r="J22" s="62" t="s">
        <v>70</v>
      </c>
      <c r="K22" s="61" t="s">
        <v>71</v>
      </c>
    </row>
    <row r="23" spans="1:11" s="6" customFormat="1">
      <c r="B23" s="71" t="s">
        <v>47</v>
      </c>
      <c r="C23" s="65">
        <v>101.37</v>
      </c>
      <c r="D23" s="65">
        <v>0.32300000000000001</v>
      </c>
      <c r="E23" s="64">
        <v>0.35799999999999998</v>
      </c>
      <c r="F23" s="65">
        <v>101.39</v>
      </c>
      <c r="G23" s="65">
        <v>0.32300000000000001</v>
      </c>
      <c r="H23" s="64">
        <v>0.35799999999999998</v>
      </c>
      <c r="I23" s="65">
        <v>101.31</v>
      </c>
      <c r="J23" s="65">
        <v>0.32300000000000001</v>
      </c>
      <c r="K23" s="64">
        <v>0.35699999999999998</v>
      </c>
    </row>
    <row r="24" spans="1:11" s="6" customFormat="1">
      <c r="B24" s="71" t="s">
        <v>48</v>
      </c>
      <c r="C24" s="65">
        <v>87.87</v>
      </c>
      <c r="D24" s="65">
        <v>0.38100000000000001</v>
      </c>
      <c r="E24" s="64">
        <v>0.307</v>
      </c>
      <c r="F24" s="65">
        <v>87.84</v>
      </c>
      <c r="G24" s="65">
        <v>0.38200000000000001</v>
      </c>
      <c r="H24" s="64">
        <v>0.307</v>
      </c>
      <c r="I24" s="65">
        <v>87.84</v>
      </c>
      <c r="J24" s="65">
        <v>0.38</v>
      </c>
      <c r="K24" s="64">
        <v>0.307</v>
      </c>
    </row>
    <row r="25" spans="1:11" s="6" customFormat="1">
      <c r="B25" s="71" t="s">
        <v>49</v>
      </c>
      <c r="C25" s="65">
        <v>91.89</v>
      </c>
      <c r="D25" s="65">
        <v>0.34899999999999998</v>
      </c>
      <c r="E25" s="64">
        <v>0.373</v>
      </c>
      <c r="F25" s="65">
        <v>91.93</v>
      </c>
      <c r="G25" s="65">
        <v>0.34899999999999998</v>
      </c>
      <c r="H25" s="64">
        <v>0.373</v>
      </c>
      <c r="I25" s="65">
        <v>91.86</v>
      </c>
      <c r="J25" s="65">
        <v>0.34899999999999998</v>
      </c>
      <c r="K25" s="64">
        <v>0.373</v>
      </c>
    </row>
    <row r="26" spans="1:11" s="6" customFormat="1">
      <c r="B26" s="71" t="s">
        <v>50</v>
      </c>
      <c r="C26" s="65">
        <v>87.33</v>
      </c>
      <c r="D26" s="65">
        <v>0.627</v>
      </c>
      <c r="E26" s="64">
        <v>0.36799999999999999</v>
      </c>
      <c r="F26" s="65">
        <v>87.35</v>
      </c>
      <c r="G26" s="65">
        <v>0.629</v>
      </c>
      <c r="H26" s="64">
        <v>0.36799999999999999</v>
      </c>
      <c r="I26" s="65">
        <v>87.29</v>
      </c>
      <c r="J26" s="65">
        <v>0.626</v>
      </c>
      <c r="K26" s="64">
        <v>0.36799999999999999</v>
      </c>
    </row>
    <row r="27" spans="1:11" s="6" customFormat="1">
      <c r="B27" s="71" t="s">
        <v>51</v>
      </c>
      <c r="C27" s="65">
        <v>62.58</v>
      </c>
      <c r="D27" s="65">
        <v>0.63700000000000001</v>
      </c>
      <c r="E27" s="64">
        <v>0.246</v>
      </c>
      <c r="F27" s="65">
        <v>62.61</v>
      </c>
      <c r="G27" s="65">
        <v>0.64500000000000002</v>
      </c>
      <c r="H27" s="64">
        <v>0.247</v>
      </c>
      <c r="I27" s="65">
        <v>62.55</v>
      </c>
      <c r="J27" s="65">
        <v>0.64500000000000002</v>
      </c>
      <c r="K27" s="64">
        <v>0.247</v>
      </c>
    </row>
    <row r="28" spans="1:11" s="6" customFormat="1">
      <c r="B28" s="71" t="s">
        <v>53</v>
      </c>
      <c r="C28" s="65">
        <v>111.35</v>
      </c>
      <c r="D28" s="65">
        <v>0.57599999999999996</v>
      </c>
      <c r="E28" s="64">
        <v>0.437</v>
      </c>
      <c r="F28" s="65">
        <v>111.33</v>
      </c>
      <c r="G28" s="65">
        <v>0.57499999999999996</v>
      </c>
      <c r="H28" s="64">
        <v>0.435</v>
      </c>
      <c r="I28" s="65">
        <v>111.28</v>
      </c>
      <c r="J28" s="65">
        <v>0.57799999999999996</v>
      </c>
      <c r="K28" s="64">
        <v>0.438</v>
      </c>
    </row>
    <row r="29" spans="1:11" s="6" customFormat="1">
      <c r="B29" s="71" t="s">
        <v>54</v>
      </c>
      <c r="C29" s="65">
        <v>113.47</v>
      </c>
      <c r="D29" s="65">
        <v>0.32</v>
      </c>
      <c r="E29" s="64">
        <v>0.317</v>
      </c>
      <c r="F29" s="65">
        <v>113.43</v>
      </c>
      <c r="G29" s="65">
        <v>0.32100000000000001</v>
      </c>
      <c r="H29" s="64">
        <v>0.317</v>
      </c>
      <c r="I29" s="65">
        <v>113.59</v>
      </c>
      <c r="J29" s="65">
        <v>0.31900000000000001</v>
      </c>
      <c r="K29" s="64">
        <v>0.317</v>
      </c>
    </row>
    <row r="30" spans="1:11" s="6" customFormat="1">
      <c r="B30" s="71" t="s">
        <v>56</v>
      </c>
      <c r="C30" s="65">
        <v>77.62</v>
      </c>
      <c r="D30" s="65">
        <v>0.61899999999999999</v>
      </c>
      <c r="E30" s="64">
        <v>0.312</v>
      </c>
      <c r="F30" s="65">
        <v>77.680000000000007</v>
      </c>
      <c r="G30" s="65">
        <v>0.621</v>
      </c>
      <c r="H30" s="64">
        <v>0.312</v>
      </c>
      <c r="I30" s="65">
        <v>77.58</v>
      </c>
      <c r="J30" s="65">
        <v>0.61499999999999999</v>
      </c>
      <c r="K30" s="64">
        <v>0.312</v>
      </c>
    </row>
    <row r="31" spans="1:11" s="6" customFormat="1">
      <c r="B31" s="72" t="s">
        <v>57</v>
      </c>
      <c r="C31" s="68">
        <v>92.78</v>
      </c>
      <c r="D31" s="68">
        <v>0.14199999999999999</v>
      </c>
      <c r="E31" s="67">
        <v>0.20499999999999999</v>
      </c>
      <c r="F31" s="68">
        <v>92.98</v>
      </c>
      <c r="G31" s="68">
        <v>0.14299999999999999</v>
      </c>
      <c r="H31" s="67">
        <v>0.20300000000000001</v>
      </c>
      <c r="I31" s="68">
        <v>92.92</v>
      </c>
      <c r="J31" s="68">
        <v>0.14099999999999999</v>
      </c>
      <c r="K31" s="67">
        <v>0.20499999999999999</v>
      </c>
    </row>
  </sheetData>
  <mergeCells count="6">
    <mergeCell ref="C3:E3"/>
    <mergeCell ref="C21:E21"/>
    <mergeCell ref="F21:H21"/>
    <mergeCell ref="I21:K21"/>
    <mergeCell ref="I3:K3"/>
    <mergeCell ref="F3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E14A-B1CE-0E44-8A7E-59D20CE8E075}">
  <dimension ref="A2:H30"/>
  <sheetViews>
    <sheetView tabSelected="1" workbookViewId="0">
      <selection activeCell="H28" sqref="H28"/>
    </sheetView>
  </sheetViews>
  <sheetFormatPr baseColWidth="10" defaultRowHeight="32" customHeight="1"/>
  <cols>
    <col min="1" max="1" width="4.33203125" style="6" bestFit="1" customWidth="1"/>
    <col min="2" max="2" width="26.6640625" style="6" customWidth="1"/>
    <col min="3" max="5" width="10.83203125" style="6"/>
    <col min="6" max="6" width="6.33203125" style="6" customWidth="1"/>
    <col min="7" max="7" width="12" style="6" customWidth="1"/>
    <col min="8" max="8" width="8.83203125" style="6" customWidth="1"/>
    <col min="9" max="9" width="6.5" style="6" customWidth="1"/>
    <col min="10" max="10" width="12.1640625" style="6" customWidth="1"/>
    <col min="11" max="11" width="8.83203125" style="6" customWidth="1"/>
    <col min="12" max="16384" width="10.83203125" style="6"/>
  </cols>
  <sheetData>
    <row r="2" spans="1:8" ht="32" customHeight="1">
      <c r="C2" s="234" t="s">
        <v>136</v>
      </c>
      <c r="D2" s="235"/>
      <c r="E2" s="236"/>
      <c r="F2" s="234" t="s">
        <v>135</v>
      </c>
      <c r="G2" s="235"/>
      <c r="H2" s="236"/>
    </row>
    <row r="3" spans="1:8" ht="32" customHeight="1">
      <c r="A3" s="80" t="s">
        <v>0</v>
      </c>
      <c r="B3" s="89" t="s">
        <v>13</v>
      </c>
      <c r="C3" s="86" t="s">
        <v>137</v>
      </c>
      <c r="D3" s="87" t="s">
        <v>138</v>
      </c>
      <c r="E3" s="88" t="s">
        <v>139</v>
      </c>
      <c r="F3" s="86" t="s">
        <v>137</v>
      </c>
      <c r="G3" s="87" t="s">
        <v>138</v>
      </c>
      <c r="H3" s="88" t="s">
        <v>139</v>
      </c>
    </row>
    <row r="4" spans="1:8" ht="32" customHeight="1">
      <c r="A4" s="71" t="s">
        <v>47</v>
      </c>
      <c r="B4" s="90" t="s">
        <v>14</v>
      </c>
      <c r="C4" s="78">
        <v>101.37</v>
      </c>
      <c r="D4" s="74">
        <v>0.32300000000000001</v>
      </c>
      <c r="E4" s="75">
        <v>0.35799999999999998</v>
      </c>
      <c r="F4" s="78">
        <v>101.23</v>
      </c>
      <c r="G4" s="74">
        <v>0.372</v>
      </c>
      <c r="H4" s="75">
        <v>0.38700000000000001</v>
      </c>
    </row>
    <row r="5" spans="1:8" ht="32" customHeight="1">
      <c r="A5" s="71" t="s">
        <v>48</v>
      </c>
      <c r="B5" s="90" t="s">
        <v>15</v>
      </c>
      <c r="C5" s="78">
        <v>89.38</v>
      </c>
      <c r="D5" s="74">
        <v>0.16200000000000001</v>
      </c>
      <c r="E5" s="75">
        <v>0.315</v>
      </c>
      <c r="F5" s="78">
        <v>88.36</v>
      </c>
      <c r="G5" s="74">
        <v>0.16500000000000001</v>
      </c>
      <c r="H5" s="75">
        <v>0.31900000000000001</v>
      </c>
    </row>
    <row r="6" spans="1:8" ht="32" customHeight="1">
      <c r="A6" s="71" t="s">
        <v>49</v>
      </c>
      <c r="B6" s="90" t="s">
        <v>16</v>
      </c>
      <c r="C6" s="78">
        <v>91.89</v>
      </c>
      <c r="D6" s="74">
        <v>0.34899999999999998</v>
      </c>
      <c r="E6" s="75">
        <v>0.373</v>
      </c>
      <c r="F6" s="78">
        <v>89.3</v>
      </c>
      <c r="G6" s="74">
        <v>0.34399999999999997</v>
      </c>
      <c r="H6" s="75">
        <v>0.34</v>
      </c>
    </row>
    <row r="7" spans="1:8" ht="32" customHeight="1">
      <c r="A7" s="71" t="s">
        <v>50</v>
      </c>
      <c r="B7" s="90" t="s">
        <v>16</v>
      </c>
      <c r="C7" s="78">
        <v>87.33</v>
      </c>
      <c r="D7" s="74">
        <v>0.627</v>
      </c>
      <c r="E7" s="75">
        <v>0.36799999999999999</v>
      </c>
      <c r="F7" s="78">
        <v>87.45</v>
      </c>
      <c r="G7" s="74">
        <v>0.48399999999999999</v>
      </c>
      <c r="H7" s="75">
        <v>0.4</v>
      </c>
    </row>
    <row r="8" spans="1:8" ht="32" customHeight="1">
      <c r="A8" s="71" t="s">
        <v>51</v>
      </c>
      <c r="B8" s="90" t="s">
        <v>15</v>
      </c>
      <c r="C8" s="78">
        <v>62.58</v>
      </c>
      <c r="D8" s="74">
        <v>0.63700000000000001</v>
      </c>
      <c r="E8" s="75">
        <v>0.246</v>
      </c>
      <c r="F8" s="78">
        <v>63.31</v>
      </c>
      <c r="G8" s="74">
        <v>0.70499999999999996</v>
      </c>
      <c r="H8" s="75">
        <v>0.26400000000000001</v>
      </c>
    </row>
    <row r="9" spans="1:8" ht="32" customHeight="1">
      <c r="A9" s="71" t="s">
        <v>49</v>
      </c>
      <c r="B9" s="90" t="s">
        <v>17</v>
      </c>
      <c r="C9" s="78">
        <v>113.45</v>
      </c>
      <c r="D9" s="74">
        <v>1.1919999999999999</v>
      </c>
      <c r="E9" s="75">
        <v>11.923999999999999</v>
      </c>
      <c r="F9" s="78">
        <v>109.6</v>
      </c>
      <c r="G9" s="74">
        <v>1.2410000000000001</v>
      </c>
      <c r="H9" s="75">
        <v>12.411</v>
      </c>
    </row>
    <row r="10" spans="1:8" ht="32" customHeight="1">
      <c r="A10" s="71" t="s">
        <v>53</v>
      </c>
      <c r="B10" s="90" t="s">
        <v>18</v>
      </c>
      <c r="C10" s="78">
        <v>111.35</v>
      </c>
      <c r="D10" s="74">
        <v>0.57599999999999996</v>
      </c>
      <c r="E10" s="75">
        <v>0.437</v>
      </c>
      <c r="F10" s="78">
        <v>111.08</v>
      </c>
      <c r="G10" s="74">
        <v>0.48599999999999999</v>
      </c>
      <c r="H10" s="75">
        <v>0.33600000000000002</v>
      </c>
    </row>
    <row r="11" spans="1:8" ht="32" customHeight="1">
      <c r="A11" s="71" t="s">
        <v>54</v>
      </c>
      <c r="B11" s="90" t="s">
        <v>14</v>
      </c>
      <c r="C11" s="78">
        <v>113.47</v>
      </c>
      <c r="D11" s="74">
        <v>0.32</v>
      </c>
      <c r="E11" s="75">
        <v>0.317</v>
      </c>
      <c r="F11" s="78">
        <v>114.03</v>
      </c>
      <c r="G11" s="74">
        <v>0.39</v>
      </c>
      <c r="H11" s="75">
        <v>0.26700000000000002</v>
      </c>
    </row>
    <row r="12" spans="1:8" ht="32" customHeight="1">
      <c r="A12" s="63" t="s">
        <v>55</v>
      </c>
      <c r="B12" s="90" t="s">
        <v>17</v>
      </c>
      <c r="C12" s="79">
        <v>122.25</v>
      </c>
      <c r="D12" s="76">
        <v>0.88300000000000001</v>
      </c>
      <c r="E12" s="77">
        <v>8.8290000000000006</v>
      </c>
      <c r="F12" s="79">
        <v>127.79</v>
      </c>
      <c r="G12" s="76">
        <v>0.76700000000000002</v>
      </c>
      <c r="H12" s="77">
        <v>7.673</v>
      </c>
    </row>
    <row r="13" spans="1:8" ht="32" customHeight="1">
      <c r="A13" s="71" t="s">
        <v>56</v>
      </c>
      <c r="B13" s="90" t="s">
        <v>19</v>
      </c>
      <c r="C13" s="78">
        <v>77.62</v>
      </c>
      <c r="D13" s="74">
        <v>0.61899999999999999</v>
      </c>
      <c r="E13" s="75">
        <v>0.312</v>
      </c>
      <c r="F13" s="78">
        <v>77.349999999999994</v>
      </c>
      <c r="G13" s="74">
        <v>0.65600000000000003</v>
      </c>
      <c r="H13" s="75">
        <v>0.2</v>
      </c>
    </row>
    <row r="14" spans="1:8" ht="32" customHeight="1">
      <c r="A14" s="72" t="s">
        <v>57</v>
      </c>
      <c r="B14" s="90" t="s">
        <v>20</v>
      </c>
      <c r="C14" s="78">
        <v>92.78</v>
      </c>
      <c r="D14" s="74">
        <v>0.14199999999999999</v>
      </c>
      <c r="E14" s="75">
        <v>0.20499999999999999</v>
      </c>
      <c r="F14" s="78">
        <v>93.21</v>
      </c>
      <c r="G14" s="74">
        <v>0.23400000000000001</v>
      </c>
      <c r="H14" s="75">
        <v>0.23599999999999999</v>
      </c>
    </row>
    <row r="15" spans="1:8" ht="32" customHeight="1">
      <c r="A15" s="66" t="s">
        <v>58</v>
      </c>
      <c r="B15" s="91" t="s">
        <v>17</v>
      </c>
      <c r="C15" s="81">
        <v>134.99</v>
      </c>
      <c r="D15" s="82">
        <v>1.323</v>
      </c>
      <c r="E15" s="83">
        <v>13.234</v>
      </c>
      <c r="F15" s="81">
        <v>135.16</v>
      </c>
      <c r="G15" s="82">
        <v>1.4379999999999999</v>
      </c>
      <c r="H15" s="83">
        <v>14.378</v>
      </c>
    </row>
    <row r="16" spans="1:8" ht="32" customHeight="1">
      <c r="C16" s="73"/>
      <c r="D16" s="73"/>
      <c r="E16" s="73"/>
      <c r="F16" s="73"/>
      <c r="G16" s="73"/>
      <c r="H16" s="73"/>
    </row>
    <row r="17" spans="2:8" ht="32" customHeight="1">
      <c r="B17" s="85"/>
      <c r="C17" s="232" t="s">
        <v>134</v>
      </c>
      <c r="D17" s="232"/>
      <c r="E17" s="233"/>
      <c r="F17" s="231" t="s">
        <v>133</v>
      </c>
      <c r="G17" s="232"/>
      <c r="H17" s="233"/>
    </row>
    <row r="18" spans="2:8" ht="32" customHeight="1">
      <c r="B18" s="84" t="s">
        <v>0</v>
      </c>
      <c r="C18" s="86" t="s">
        <v>137</v>
      </c>
      <c r="D18" s="87" t="s">
        <v>138</v>
      </c>
      <c r="E18" s="88" t="s">
        <v>139</v>
      </c>
      <c r="F18" s="86" t="s">
        <v>137</v>
      </c>
      <c r="G18" s="87" t="s">
        <v>138</v>
      </c>
      <c r="H18" s="88" t="s">
        <v>139</v>
      </c>
    </row>
    <row r="19" spans="2:8" ht="32" customHeight="1">
      <c r="B19" s="63" t="s">
        <v>47</v>
      </c>
      <c r="C19" s="78">
        <v>100.55</v>
      </c>
      <c r="D19" s="74">
        <v>0.216</v>
      </c>
      <c r="E19" s="75">
        <v>0.33900000000000002</v>
      </c>
      <c r="F19" s="78">
        <v>100.08</v>
      </c>
      <c r="G19" s="74">
        <v>0.20100000000000001</v>
      </c>
      <c r="H19" s="75">
        <v>0.315</v>
      </c>
    </row>
    <row r="20" spans="2:8" ht="32" customHeight="1">
      <c r="B20" s="63" t="s">
        <v>48</v>
      </c>
      <c r="C20" s="78">
        <v>88.87</v>
      </c>
      <c r="D20" s="74">
        <v>0.14699999999999999</v>
      </c>
      <c r="E20" s="75">
        <v>0.30199999999999999</v>
      </c>
      <c r="F20" s="78">
        <v>88.62</v>
      </c>
      <c r="G20" s="74">
        <v>0.16600000000000001</v>
      </c>
      <c r="H20" s="75">
        <v>0.311</v>
      </c>
    </row>
    <row r="21" spans="2:8" ht="32" customHeight="1">
      <c r="B21" s="63" t="s">
        <v>49</v>
      </c>
      <c r="C21" s="78">
        <v>91.43</v>
      </c>
      <c r="D21" s="74">
        <v>0.314</v>
      </c>
      <c r="E21" s="75">
        <v>0.35599999999999998</v>
      </c>
      <c r="F21" s="78">
        <v>88.58</v>
      </c>
      <c r="G21" s="74">
        <v>0.33400000000000002</v>
      </c>
      <c r="H21" s="75">
        <v>0.32400000000000001</v>
      </c>
    </row>
    <row r="22" spans="2:8" ht="32" customHeight="1">
      <c r="B22" s="63" t="s">
        <v>50</v>
      </c>
      <c r="C22" s="78">
        <v>87.84</v>
      </c>
      <c r="D22" s="74">
        <v>0.628</v>
      </c>
      <c r="E22" s="75">
        <v>0.377</v>
      </c>
      <c r="F22" s="78">
        <v>88.41</v>
      </c>
      <c r="G22" s="74">
        <v>0.60499999999999998</v>
      </c>
      <c r="H22" s="75">
        <v>0.38500000000000001</v>
      </c>
    </row>
    <row r="23" spans="2:8" ht="32" customHeight="1">
      <c r="B23" s="63" t="s">
        <v>51</v>
      </c>
      <c r="C23" s="78">
        <v>62.2</v>
      </c>
      <c r="D23" s="74">
        <v>0.65100000000000002</v>
      </c>
      <c r="E23" s="75">
        <v>0.21199999999999999</v>
      </c>
      <c r="F23" s="78">
        <v>63.15</v>
      </c>
      <c r="G23" s="74">
        <v>0.70499999999999996</v>
      </c>
      <c r="H23" s="75">
        <v>0.26400000000000001</v>
      </c>
    </row>
    <row r="24" spans="2:8" ht="32" customHeight="1">
      <c r="B24" s="63" t="s">
        <v>49</v>
      </c>
      <c r="C24" s="78">
        <v>109.59</v>
      </c>
      <c r="D24" s="74">
        <v>1.0169999999999999</v>
      </c>
      <c r="E24" s="75">
        <v>10.166</v>
      </c>
      <c r="F24" s="78">
        <v>109.1</v>
      </c>
      <c r="G24" s="74">
        <v>1.2569999999999999</v>
      </c>
      <c r="H24" s="75">
        <v>12.57</v>
      </c>
    </row>
    <row r="25" spans="2:8" ht="32" customHeight="1">
      <c r="B25" s="63" t="s">
        <v>53</v>
      </c>
      <c r="C25" s="78">
        <v>110.8</v>
      </c>
      <c r="D25" s="74">
        <v>0.56200000000000006</v>
      </c>
      <c r="E25" s="75">
        <v>0.32500000000000001</v>
      </c>
      <c r="F25" s="78">
        <v>110.73</v>
      </c>
      <c r="G25" s="74">
        <v>0.48499999999999999</v>
      </c>
      <c r="H25" s="75">
        <v>0.32</v>
      </c>
    </row>
    <row r="26" spans="2:8" ht="32" customHeight="1">
      <c r="B26" s="63" t="s">
        <v>54</v>
      </c>
      <c r="C26" s="78">
        <v>113.06</v>
      </c>
      <c r="D26" s="74">
        <v>0.22700000000000001</v>
      </c>
      <c r="E26" s="75">
        <v>0.307</v>
      </c>
      <c r="F26" s="78">
        <v>113.07</v>
      </c>
      <c r="G26" s="74">
        <v>0.23899999999999999</v>
      </c>
      <c r="H26" s="75">
        <v>0.25800000000000001</v>
      </c>
    </row>
    <row r="27" spans="2:8" ht="32" customHeight="1">
      <c r="B27" s="63" t="s">
        <v>55</v>
      </c>
      <c r="C27" s="79">
        <v>126.64</v>
      </c>
      <c r="D27" s="76">
        <v>0.69899999999999995</v>
      </c>
      <c r="E27" s="77">
        <v>6.9909999999999997</v>
      </c>
      <c r="F27" s="79">
        <v>129.12</v>
      </c>
      <c r="G27" s="76">
        <v>0.66</v>
      </c>
      <c r="H27" s="77">
        <v>6.6</v>
      </c>
    </row>
    <row r="28" spans="2:8" ht="32" customHeight="1">
      <c r="B28" s="63" t="s">
        <v>56</v>
      </c>
      <c r="C28" s="78">
        <v>77.34</v>
      </c>
      <c r="D28" s="74">
        <v>0.39800000000000002</v>
      </c>
      <c r="E28" s="75">
        <v>0.14099999999999999</v>
      </c>
      <c r="F28" s="78">
        <v>77.88</v>
      </c>
      <c r="G28" s="74">
        <v>0.46500000000000002</v>
      </c>
      <c r="H28" s="75">
        <v>0.13500000000000001</v>
      </c>
    </row>
    <row r="29" spans="2:8" ht="32" customHeight="1">
      <c r="B29" s="63" t="s">
        <v>57</v>
      </c>
      <c r="C29" s="78">
        <v>92.87</v>
      </c>
      <c r="D29" s="74">
        <v>0.126</v>
      </c>
      <c r="E29" s="75">
        <v>0.20300000000000001</v>
      </c>
      <c r="F29" s="78">
        <v>92.93</v>
      </c>
      <c r="G29" s="74">
        <v>0.17499999999999999</v>
      </c>
      <c r="H29" s="75">
        <v>0.19500000000000001</v>
      </c>
    </row>
    <row r="30" spans="2:8" ht="32" customHeight="1">
      <c r="B30" s="66" t="s">
        <v>58</v>
      </c>
      <c r="C30" s="81">
        <v>132.32</v>
      </c>
      <c r="D30" s="82">
        <v>1.7689999999999999</v>
      </c>
      <c r="E30" s="83">
        <v>17.686</v>
      </c>
      <c r="F30" s="81">
        <v>134.72</v>
      </c>
      <c r="G30" s="82">
        <v>1.169</v>
      </c>
      <c r="H30" s="83">
        <v>11.686999999999999</v>
      </c>
    </row>
  </sheetData>
  <mergeCells count="4">
    <mergeCell ref="F17:H17"/>
    <mergeCell ref="C17:E17"/>
    <mergeCell ref="F2:H2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6502-C96E-A549-81E0-26B57B2AC955}">
  <dimension ref="A1"/>
  <sheetViews>
    <sheetView topLeftCell="A19" workbookViewId="0"/>
  </sheetViews>
  <sheetFormatPr baseColWidth="10" defaultRowHeight="16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51BD-F9E5-EC49-B5FC-0DE19A1D8DA1}">
  <dimension ref="A1:K14"/>
  <sheetViews>
    <sheetView workbookViewId="0">
      <selection activeCell="L9" sqref="L9"/>
    </sheetView>
  </sheetViews>
  <sheetFormatPr baseColWidth="10" defaultRowHeight="32" customHeight="1"/>
  <cols>
    <col min="1" max="1" width="4.33203125" style="6" bestFit="1" customWidth="1"/>
    <col min="2" max="2" width="26.33203125" customWidth="1"/>
  </cols>
  <sheetData>
    <row r="1" spans="1:11" ht="32" customHeight="1">
      <c r="C1" s="237" t="s">
        <v>132</v>
      </c>
      <c r="D1" s="238"/>
      <c r="E1" s="239"/>
      <c r="F1" s="240" t="s">
        <v>140</v>
      </c>
      <c r="G1" s="241"/>
      <c r="H1" s="242"/>
      <c r="I1" s="237" t="s">
        <v>131</v>
      </c>
      <c r="J1" s="238"/>
      <c r="K1" s="239"/>
    </row>
    <row r="2" spans="1:11" ht="32" customHeight="1">
      <c r="A2" s="80" t="s">
        <v>0</v>
      </c>
      <c r="B2" s="92" t="s">
        <v>13</v>
      </c>
      <c r="C2" s="86" t="s">
        <v>69</v>
      </c>
      <c r="D2" s="87" t="s">
        <v>70</v>
      </c>
      <c r="E2" s="88" t="s">
        <v>71</v>
      </c>
      <c r="F2" s="86" t="s">
        <v>137</v>
      </c>
      <c r="G2" s="87" t="s">
        <v>138</v>
      </c>
      <c r="H2" s="88" t="s">
        <v>139</v>
      </c>
      <c r="I2" s="86" t="s">
        <v>69</v>
      </c>
      <c r="J2" s="87" t="s">
        <v>70</v>
      </c>
      <c r="K2" s="88" t="s">
        <v>71</v>
      </c>
    </row>
    <row r="3" spans="1:11" ht="32" customHeight="1">
      <c r="A3" s="71" t="s">
        <v>47</v>
      </c>
      <c r="B3" s="93" t="s">
        <v>14</v>
      </c>
      <c r="C3" s="78">
        <v>102.36</v>
      </c>
      <c r="D3" s="74">
        <v>0.39900000000000002</v>
      </c>
      <c r="E3" s="75">
        <v>0.40699999999999997</v>
      </c>
      <c r="F3" s="78">
        <v>101.37</v>
      </c>
      <c r="G3" s="74">
        <v>0.32300000000000001</v>
      </c>
      <c r="H3" s="75">
        <v>0.35799999999999998</v>
      </c>
      <c r="I3" s="78">
        <v>100.86</v>
      </c>
      <c r="J3" s="74">
        <v>0.41799999999999998</v>
      </c>
      <c r="K3" s="75">
        <v>0.35899999999999999</v>
      </c>
    </row>
    <row r="4" spans="1:11" ht="32" customHeight="1">
      <c r="A4" s="71" t="s">
        <v>48</v>
      </c>
      <c r="B4" s="90" t="s">
        <v>15</v>
      </c>
      <c r="C4" s="78">
        <v>90.22</v>
      </c>
      <c r="D4" s="74">
        <v>0.16900000000000001</v>
      </c>
      <c r="E4" s="75">
        <v>0.36299999999999999</v>
      </c>
      <c r="F4" s="78">
        <v>89.38</v>
      </c>
      <c r="G4" s="74">
        <v>0.16200000000000001</v>
      </c>
      <c r="H4" s="75">
        <v>0.315</v>
      </c>
      <c r="I4" s="78">
        <v>89.12</v>
      </c>
      <c r="J4" s="74">
        <v>0.17199999999999999</v>
      </c>
      <c r="K4" s="75">
        <v>0.309</v>
      </c>
    </row>
    <row r="5" spans="1:11" ht="32" customHeight="1">
      <c r="A5" s="71" t="s">
        <v>49</v>
      </c>
      <c r="B5" s="90" t="s">
        <v>16</v>
      </c>
      <c r="C5" s="78">
        <v>93.79</v>
      </c>
      <c r="D5" s="74">
        <v>0.35199999999999998</v>
      </c>
      <c r="E5" s="75">
        <v>0.439</v>
      </c>
      <c r="F5" s="78">
        <v>91.89</v>
      </c>
      <c r="G5" s="74">
        <v>0.34899999999999998</v>
      </c>
      <c r="H5" s="75">
        <v>0.373</v>
      </c>
      <c r="I5" s="78">
        <v>91.93</v>
      </c>
      <c r="J5" s="74">
        <v>0.34699999999999998</v>
      </c>
      <c r="K5" s="75">
        <v>0.35899999999999999</v>
      </c>
    </row>
    <row r="6" spans="1:11" ht="32" customHeight="1">
      <c r="A6" s="71" t="s">
        <v>50</v>
      </c>
      <c r="B6" s="90" t="s">
        <v>16</v>
      </c>
      <c r="C6" s="78">
        <v>88.9</v>
      </c>
      <c r="D6" s="74">
        <v>0.65300000000000002</v>
      </c>
      <c r="E6" s="75">
        <v>0.46899999999999997</v>
      </c>
      <c r="F6" s="78">
        <v>87.33</v>
      </c>
      <c r="G6" s="74">
        <v>0.627</v>
      </c>
      <c r="H6" s="75">
        <v>0.36799999999999999</v>
      </c>
      <c r="I6" s="78">
        <v>86.92</v>
      </c>
      <c r="J6" s="74">
        <v>0.61599999999999999</v>
      </c>
      <c r="K6" s="75">
        <v>0.34499999999999997</v>
      </c>
    </row>
    <row r="7" spans="1:11" ht="32" customHeight="1">
      <c r="A7" s="71" t="s">
        <v>51</v>
      </c>
      <c r="B7" s="90" t="s">
        <v>15</v>
      </c>
      <c r="C7" s="78">
        <v>63.68</v>
      </c>
      <c r="D7" s="74">
        <v>0.65400000000000003</v>
      </c>
      <c r="E7" s="75">
        <v>0.28999999999999998</v>
      </c>
      <c r="F7" s="78">
        <v>62.58</v>
      </c>
      <c r="G7" s="74">
        <v>0.63700000000000001</v>
      </c>
      <c r="H7" s="75">
        <v>0.246</v>
      </c>
      <c r="I7" s="78">
        <v>62.63</v>
      </c>
      <c r="J7" s="74">
        <v>0.627</v>
      </c>
      <c r="K7" s="75">
        <v>0.22900000000000001</v>
      </c>
    </row>
    <row r="8" spans="1:11" ht="32" customHeight="1">
      <c r="A8" s="71" t="s">
        <v>49</v>
      </c>
      <c r="B8" s="90" t="s">
        <v>17</v>
      </c>
      <c r="C8" s="78">
        <v>113.45</v>
      </c>
      <c r="D8" s="74">
        <v>1.1919999999999999</v>
      </c>
      <c r="E8" s="75">
        <v>11.923999999999999</v>
      </c>
      <c r="F8" s="78">
        <v>113.45</v>
      </c>
      <c r="G8" s="74">
        <v>1.1919999999999999</v>
      </c>
      <c r="H8" s="75">
        <v>11.923999999999999</v>
      </c>
      <c r="I8" s="78">
        <v>113.45</v>
      </c>
      <c r="J8" s="74">
        <v>1.1919999999999999</v>
      </c>
      <c r="K8" s="75">
        <v>11.923999999999999</v>
      </c>
    </row>
    <row r="9" spans="1:11" ht="32" customHeight="1">
      <c r="A9" s="71" t="s">
        <v>53</v>
      </c>
      <c r="B9" s="90" t="s">
        <v>18</v>
      </c>
      <c r="C9" s="78">
        <v>112.2</v>
      </c>
      <c r="D9" s="74">
        <v>0.57799999999999996</v>
      </c>
      <c r="E9" s="75">
        <v>0.46899999999999997</v>
      </c>
      <c r="F9" s="78">
        <v>111.35</v>
      </c>
      <c r="G9" s="74">
        <v>0.57599999999999996</v>
      </c>
      <c r="H9" s="75">
        <v>0.437</v>
      </c>
      <c r="I9" s="78">
        <v>110.93</v>
      </c>
      <c r="J9" s="74">
        <v>0.57799999999999996</v>
      </c>
      <c r="K9" s="75">
        <v>0.42699999999999999</v>
      </c>
    </row>
    <row r="10" spans="1:11" ht="32" customHeight="1">
      <c r="A10" s="71" t="s">
        <v>54</v>
      </c>
      <c r="B10" s="90" t="s">
        <v>14</v>
      </c>
      <c r="C10" s="78">
        <v>113.92</v>
      </c>
      <c r="D10" s="74">
        <v>0.33700000000000002</v>
      </c>
      <c r="E10" s="75">
        <v>0.34499999999999997</v>
      </c>
      <c r="F10" s="78">
        <v>113.47</v>
      </c>
      <c r="G10" s="74">
        <v>0.32</v>
      </c>
      <c r="H10" s="75">
        <v>0.317</v>
      </c>
      <c r="I10" s="78">
        <v>113.52</v>
      </c>
      <c r="J10" s="74">
        <v>0.29899999999999999</v>
      </c>
      <c r="K10" s="75">
        <v>0.28699999999999998</v>
      </c>
    </row>
    <row r="11" spans="1:11" ht="32" customHeight="1">
      <c r="A11" s="71" t="s">
        <v>55</v>
      </c>
      <c r="B11" s="90" t="s">
        <v>17</v>
      </c>
      <c r="C11" s="79">
        <v>122.25</v>
      </c>
      <c r="D11" s="76">
        <v>0.88300000000000001</v>
      </c>
      <c r="E11" s="77">
        <v>8.8290000000000006</v>
      </c>
      <c r="F11" s="79">
        <v>122.25</v>
      </c>
      <c r="G11" s="76">
        <v>0.88300000000000001</v>
      </c>
      <c r="H11" s="77">
        <v>8.8290000000000006</v>
      </c>
      <c r="I11" s="79">
        <v>122.25</v>
      </c>
      <c r="J11" s="76">
        <v>0.88300000000000001</v>
      </c>
      <c r="K11" s="77">
        <v>8.8290000000000006</v>
      </c>
    </row>
    <row r="12" spans="1:11" ht="32" customHeight="1">
      <c r="A12" s="71" t="s">
        <v>56</v>
      </c>
      <c r="B12" s="90" t="s">
        <v>19</v>
      </c>
      <c r="C12" s="78">
        <v>78.48</v>
      </c>
      <c r="D12" s="74">
        <v>0.54100000000000004</v>
      </c>
      <c r="E12" s="75">
        <v>0.35399999999999998</v>
      </c>
      <c r="F12" s="78">
        <v>77.62</v>
      </c>
      <c r="G12" s="74">
        <v>0.61899999999999999</v>
      </c>
      <c r="H12" s="75">
        <v>0.312</v>
      </c>
      <c r="I12" s="78">
        <v>77.680000000000007</v>
      </c>
      <c r="J12" s="74">
        <v>0.57999999999999996</v>
      </c>
      <c r="K12" s="75">
        <v>0.29799999999999999</v>
      </c>
    </row>
    <row r="13" spans="1:11" ht="32" customHeight="1">
      <c r="A13" s="71" t="s">
        <v>57</v>
      </c>
      <c r="B13" s="90" t="s">
        <v>20</v>
      </c>
      <c r="C13" s="78">
        <v>93.62</v>
      </c>
      <c r="D13" s="74">
        <v>0.14399999999999999</v>
      </c>
      <c r="E13" s="75">
        <v>0.23</v>
      </c>
      <c r="F13" s="78">
        <v>92.78</v>
      </c>
      <c r="G13" s="74">
        <v>0.14199999999999999</v>
      </c>
      <c r="H13" s="75">
        <v>0.20499999999999999</v>
      </c>
      <c r="I13" s="78">
        <v>92.92</v>
      </c>
      <c r="J13" s="74">
        <v>0.14199999999999999</v>
      </c>
      <c r="K13" s="75">
        <v>0.18</v>
      </c>
    </row>
    <row r="14" spans="1:11" ht="32" customHeight="1">
      <c r="A14" s="72" t="s">
        <v>58</v>
      </c>
      <c r="B14" s="91" t="s">
        <v>17</v>
      </c>
      <c r="C14" s="81">
        <v>134.99</v>
      </c>
      <c r="D14" s="82">
        <v>1.323</v>
      </c>
      <c r="E14" s="83">
        <v>13.234</v>
      </c>
      <c r="F14" s="81">
        <v>134.99</v>
      </c>
      <c r="G14" s="82">
        <v>1.323</v>
      </c>
      <c r="H14" s="83">
        <v>13.234</v>
      </c>
      <c r="I14" s="81">
        <v>134.99</v>
      </c>
      <c r="J14" s="82">
        <v>1.323</v>
      </c>
      <c r="K14" s="83">
        <v>13.234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7618-F080-0A46-A636-FA83BB0E4CEC}">
  <dimension ref="A4:J11"/>
  <sheetViews>
    <sheetView workbookViewId="0">
      <selection activeCell="M6" sqref="M6"/>
    </sheetView>
  </sheetViews>
  <sheetFormatPr baseColWidth="10" defaultRowHeight="16"/>
  <cols>
    <col min="4" max="4" width="20.5" bestFit="1" customWidth="1"/>
  </cols>
  <sheetData>
    <row r="4" spans="1:10">
      <c r="F4" s="183" t="s">
        <v>41</v>
      </c>
      <c r="G4" s="183"/>
    </row>
    <row r="5" spans="1:10">
      <c r="F5" t="s">
        <v>97</v>
      </c>
      <c r="G5" t="s">
        <v>102</v>
      </c>
    </row>
    <row r="6" spans="1:10">
      <c r="A6" s="4" t="s">
        <v>4</v>
      </c>
      <c r="B6" s="4" t="s">
        <v>16</v>
      </c>
      <c r="F6" s="7">
        <v>193.95679718874999</v>
      </c>
      <c r="G6" s="7">
        <v>0.62094383060876523</v>
      </c>
      <c r="J6" s="16"/>
    </row>
    <row r="8" spans="1:10">
      <c r="D8" t="s">
        <v>263</v>
      </c>
    </row>
    <row r="9" spans="1:10">
      <c r="E9" t="s">
        <v>117</v>
      </c>
      <c r="F9" t="s">
        <v>118</v>
      </c>
      <c r="G9" t="s">
        <v>119</v>
      </c>
    </row>
    <row r="10" spans="1:10">
      <c r="D10" t="s">
        <v>126</v>
      </c>
      <c r="E10" s="6">
        <v>87.33</v>
      </c>
      <c r="F10" s="6">
        <v>0.627</v>
      </c>
      <c r="G10" s="6">
        <v>0.36799999999999999</v>
      </c>
    </row>
    <row r="11" spans="1:10">
      <c r="D11" t="s">
        <v>127</v>
      </c>
      <c r="E11">
        <v>88.77</v>
      </c>
      <c r="F11">
        <v>0.30399999999999999</v>
      </c>
      <c r="G11">
        <v>0.72</v>
      </c>
    </row>
  </sheetData>
  <mergeCells count="1">
    <mergeCell ref="F4:G4"/>
  </mergeCell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AFB8-1E14-9C4B-9E92-FCEDDEB782F2}">
  <dimension ref="A1:CK98"/>
  <sheetViews>
    <sheetView topLeftCell="AX1" workbookViewId="0">
      <selection activeCell="BJ2" sqref="BJ2"/>
    </sheetView>
  </sheetViews>
  <sheetFormatPr baseColWidth="10" defaultRowHeight="16"/>
  <sheetData>
    <row r="1" spans="1:89" ht="33" customHeight="1" thickBot="1">
      <c r="AJ1" s="202" t="s">
        <v>264</v>
      </c>
      <c r="AK1" s="202"/>
      <c r="AL1" s="202"/>
      <c r="AM1" s="202" t="s">
        <v>265</v>
      </c>
      <c r="AN1" s="202"/>
      <c r="AO1" s="202"/>
      <c r="AS1" s="194" t="s">
        <v>266</v>
      </c>
      <c r="AT1" s="194"/>
      <c r="AU1" s="194"/>
      <c r="AV1" s="202" t="s">
        <v>135</v>
      </c>
      <c r="AW1" s="202"/>
      <c r="AX1" s="202"/>
      <c r="BA1" s="202" t="s">
        <v>267</v>
      </c>
      <c r="BB1" s="202"/>
      <c r="BC1" s="202"/>
      <c r="BD1" s="202" t="s">
        <v>109</v>
      </c>
      <c r="BE1" s="202"/>
      <c r="BF1" s="202"/>
      <c r="BG1" s="202" t="s">
        <v>110</v>
      </c>
      <c r="BH1" s="202"/>
      <c r="BI1" s="202"/>
    </row>
    <row r="2" spans="1:89" ht="137" thickBot="1">
      <c r="A2">
        <v>0.59299999999999997</v>
      </c>
      <c r="D2" s="105">
        <v>4.3150000000000004</v>
      </c>
      <c r="F2" s="107" t="s">
        <v>77</v>
      </c>
      <c r="G2" s="108" t="s">
        <v>78</v>
      </c>
      <c r="H2" s="109" t="s">
        <v>208</v>
      </c>
      <c r="I2" s="109" t="s">
        <v>209</v>
      </c>
      <c r="K2" s="114" t="s">
        <v>210</v>
      </c>
      <c r="L2" s="109" t="s">
        <v>211</v>
      </c>
      <c r="M2" s="109" t="s">
        <v>212</v>
      </c>
      <c r="O2" s="107" t="s">
        <v>211</v>
      </c>
      <c r="P2" s="108" t="s">
        <v>213</v>
      </c>
      <c r="Q2" s="108" t="s">
        <v>214</v>
      </c>
      <c r="S2" s="107" t="s">
        <v>211</v>
      </c>
      <c r="T2" s="108" t="s">
        <v>213</v>
      </c>
      <c r="U2" s="108" t="s">
        <v>214</v>
      </c>
      <c r="W2" s="212"/>
      <c r="X2" s="214" t="s">
        <v>132</v>
      </c>
      <c r="Y2" s="215"/>
      <c r="Z2" s="216"/>
      <c r="AA2" s="220" t="s">
        <v>215</v>
      </c>
      <c r="AB2" s="221"/>
      <c r="AC2" s="222"/>
      <c r="AD2" s="223" t="s">
        <v>131</v>
      </c>
      <c r="AE2" s="215"/>
      <c r="AF2" s="216"/>
      <c r="AH2" s="138" t="s">
        <v>0</v>
      </c>
      <c r="AI2" s="139" t="s">
        <v>13</v>
      </c>
      <c r="AJ2" s="140" t="s">
        <v>137</v>
      </c>
      <c r="AK2" s="141" t="s">
        <v>219</v>
      </c>
      <c r="AL2" s="142" t="s">
        <v>218</v>
      </c>
      <c r="AM2" s="140" t="s">
        <v>137</v>
      </c>
      <c r="AN2" s="141" t="s">
        <v>219</v>
      </c>
      <c r="AO2" s="142" t="s">
        <v>218</v>
      </c>
      <c r="AQ2" s="138" t="s">
        <v>0</v>
      </c>
      <c r="AR2" s="147" t="s">
        <v>13</v>
      </c>
      <c r="AS2" s="140" t="s">
        <v>137</v>
      </c>
      <c r="AT2" s="141" t="s">
        <v>219</v>
      </c>
      <c r="AU2" s="142" t="s">
        <v>218</v>
      </c>
      <c r="AV2" s="140" t="s">
        <v>137</v>
      </c>
      <c r="AW2" s="141" t="s">
        <v>219</v>
      </c>
      <c r="AX2" s="142" t="s">
        <v>218</v>
      </c>
      <c r="AZ2" s="148" t="s">
        <v>0</v>
      </c>
      <c r="BA2" s="130" t="s">
        <v>137</v>
      </c>
      <c r="BB2" s="130" t="s">
        <v>220</v>
      </c>
      <c r="BC2" s="149" t="s">
        <v>218</v>
      </c>
      <c r="BD2" s="130" t="s">
        <v>137</v>
      </c>
      <c r="BE2" s="130" t="s">
        <v>220</v>
      </c>
      <c r="BF2" s="149" t="s">
        <v>218</v>
      </c>
      <c r="BG2" s="130" t="s">
        <v>137</v>
      </c>
      <c r="BH2" s="130" t="s">
        <v>220</v>
      </c>
      <c r="BI2" s="149" t="s">
        <v>218</v>
      </c>
      <c r="BQ2" s="207" t="s">
        <v>218</v>
      </c>
      <c r="BR2" s="207" t="s">
        <v>137</v>
      </c>
      <c r="BS2" s="207" t="s">
        <v>241</v>
      </c>
      <c r="BT2" s="207" t="s">
        <v>218</v>
      </c>
      <c r="BU2" s="160" t="s">
        <v>117</v>
      </c>
    </row>
    <row r="3" spans="1:89" ht="29" thickBot="1">
      <c r="A3" t="s">
        <v>207</v>
      </c>
      <c r="D3" s="106">
        <v>1015.255</v>
      </c>
      <c r="F3" s="161" t="s">
        <v>47</v>
      </c>
      <c r="G3" s="111">
        <v>2007</v>
      </c>
      <c r="H3" s="112">
        <v>39.369999999999997</v>
      </c>
      <c r="I3" s="113">
        <v>63.173999999999999</v>
      </c>
      <c r="K3" s="116">
        <v>6.04</v>
      </c>
      <c r="L3" s="117">
        <v>143.88999999999999</v>
      </c>
      <c r="M3" s="118">
        <v>1.0580000000000001</v>
      </c>
      <c r="O3" s="119">
        <v>87.33</v>
      </c>
      <c r="P3" s="112">
        <v>0.627</v>
      </c>
      <c r="Q3" s="112">
        <v>0.36799999999999999</v>
      </c>
      <c r="S3" s="121">
        <v>143.83000000000001</v>
      </c>
      <c r="T3" s="122">
        <v>1.1060000000000001</v>
      </c>
      <c r="U3" s="122">
        <v>6.0330000000000004</v>
      </c>
      <c r="W3" s="213"/>
      <c r="X3" s="217"/>
      <c r="Y3" s="218"/>
      <c r="Z3" s="219"/>
      <c r="AA3" s="209" t="s">
        <v>216</v>
      </c>
      <c r="AB3" s="210"/>
      <c r="AC3" s="211"/>
      <c r="AD3" s="224"/>
      <c r="AE3" s="218"/>
      <c r="AF3" s="219"/>
      <c r="AH3" s="143" t="s">
        <v>47</v>
      </c>
      <c r="AI3" s="144" t="s">
        <v>14</v>
      </c>
      <c r="AJ3" s="134">
        <v>100.55</v>
      </c>
      <c r="AK3" s="136">
        <v>0.216</v>
      </c>
      <c r="AL3" s="132">
        <v>0.33900000000000002</v>
      </c>
      <c r="AM3" s="123">
        <v>100.1</v>
      </c>
      <c r="AN3" s="136">
        <v>0.20100000000000001</v>
      </c>
      <c r="AO3" s="132">
        <v>0.315</v>
      </c>
      <c r="AQ3" s="143" t="s">
        <v>47</v>
      </c>
      <c r="AR3" s="144" t="s">
        <v>14</v>
      </c>
      <c r="AS3" s="134">
        <v>101.37</v>
      </c>
      <c r="AT3" s="136">
        <v>0.32300000000000001</v>
      </c>
      <c r="AU3" s="132">
        <v>0.35799999999999998</v>
      </c>
      <c r="AV3" s="123">
        <v>101.2</v>
      </c>
      <c r="AW3" s="136">
        <v>0.372</v>
      </c>
      <c r="AX3" s="132">
        <v>0.38700000000000001</v>
      </c>
      <c r="AZ3" s="143" t="s">
        <v>47</v>
      </c>
      <c r="BA3" s="151">
        <v>101.37</v>
      </c>
      <c r="BB3" s="154">
        <v>0.32300000000000001</v>
      </c>
      <c r="BC3" s="153">
        <v>0.35799999999999998</v>
      </c>
      <c r="BD3" s="151">
        <v>101.39</v>
      </c>
      <c r="BE3" s="154">
        <v>0.32300000000000001</v>
      </c>
      <c r="BF3" s="153">
        <v>0.35799999999999998</v>
      </c>
      <c r="BG3" s="151">
        <v>101.31</v>
      </c>
      <c r="BH3" s="154">
        <v>0.32300000000000001</v>
      </c>
      <c r="BI3" s="153">
        <v>0.35699999999999998</v>
      </c>
      <c r="BK3" s="157" t="s">
        <v>221</v>
      </c>
      <c r="BL3" s="147" t="s">
        <v>225</v>
      </c>
      <c r="BM3" s="147" t="s">
        <v>232</v>
      </c>
      <c r="BN3" s="147" t="s">
        <v>233</v>
      </c>
      <c r="BO3" s="158" t="s">
        <v>237</v>
      </c>
      <c r="BQ3" s="208"/>
      <c r="BR3" s="208"/>
      <c r="BS3" s="208"/>
      <c r="BT3" s="208"/>
      <c r="BU3" s="120" t="s">
        <v>196</v>
      </c>
      <c r="BW3" s="168">
        <v>0</v>
      </c>
      <c r="BX3" s="169">
        <v>0</v>
      </c>
      <c r="BZ3" s="114">
        <v>6.8156999999999996</v>
      </c>
      <c r="CA3" s="109">
        <v>1</v>
      </c>
      <c r="CB3" s="171">
        <v>13.347</v>
      </c>
      <c r="CC3" s="171">
        <v>2.1190000000000001E-2</v>
      </c>
      <c r="CE3" s="168">
        <v>0.67413579999999995</v>
      </c>
      <c r="CF3" s="169">
        <v>1.0993170000000001</v>
      </c>
      <c r="CG3" s="109">
        <v>164.55</v>
      </c>
      <c r="CH3" s="109">
        <v>-4.1639999999999997</v>
      </c>
      <c r="CI3" s="173">
        <v>1E-4</v>
      </c>
      <c r="CJ3" s="169">
        <v>0.55917930000000005</v>
      </c>
      <c r="CK3" s="169">
        <v>0.81272520000000004</v>
      </c>
    </row>
    <row r="4" spans="1:89" ht="43" thickBot="1">
      <c r="D4" s="106">
        <v>52.466999999999999</v>
      </c>
      <c r="F4" s="161" t="s">
        <v>47</v>
      </c>
      <c r="G4" s="111">
        <v>2008</v>
      </c>
      <c r="H4" s="112">
        <v>9.8320000000000007</v>
      </c>
      <c r="I4" s="113">
        <v>22.597000000000001</v>
      </c>
      <c r="K4" s="116">
        <v>5.9889999999999999</v>
      </c>
      <c r="L4" s="117">
        <v>142.38</v>
      </c>
      <c r="M4" s="118">
        <v>1.0649999999999999</v>
      </c>
      <c r="O4" s="119">
        <v>88.77</v>
      </c>
      <c r="P4" s="112">
        <v>0.30399999999999999</v>
      </c>
      <c r="Q4" s="112">
        <v>0.72</v>
      </c>
      <c r="S4" s="121">
        <v>143.79</v>
      </c>
      <c r="T4" s="122">
        <v>1.1060000000000001</v>
      </c>
      <c r="U4" s="122">
        <v>6.0209999999999999</v>
      </c>
      <c r="W4" s="124" t="s">
        <v>0</v>
      </c>
      <c r="X4" s="125" t="s">
        <v>137</v>
      </c>
      <c r="Y4" s="126" t="s">
        <v>217</v>
      </c>
      <c r="Z4" s="127" t="s">
        <v>218</v>
      </c>
      <c r="AA4" s="125" t="s">
        <v>137</v>
      </c>
      <c r="AB4" s="126" t="s">
        <v>217</v>
      </c>
      <c r="AC4" s="127" t="s">
        <v>218</v>
      </c>
      <c r="AD4" s="125" t="s">
        <v>137</v>
      </c>
      <c r="AE4" s="126" t="s">
        <v>217</v>
      </c>
      <c r="AF4" s="127" t="s">
        <v>218</v>
      </c>
      <c r="AH4" s="143" t="s">
        <v>48</v>
      </c>
      <c r="AI4" s="144" t="s">
        <v>15</v>
      </c>
      <c r="AJ4" s="134">
        <v>88.87</v>
      </c>
      <c r="AK4" s="136">
        <v>0.14699999999999999</v>
      </c>
      <c r="AL4" s="132">
        <v>0.30199999999999999</v>
      </c>
      <c r="AM4" s="134">
        <v>88.62</v>
      </c>
      <c r="AN4" s="136">
        <v>0.16600000000000001</v>
      </c>
      <c r="AO4" s="132">
        <v>0.311</v>
      </c>
      <c r="AQ4" s="143" t="s">
        <v>48</v>
      </c>
      <c r="AR4" s="144" t="s">
        <v>15</v>
      </c>
      <c r="AS4" s="134">
        <v>89.38</v>
      </c>
      <c r="AT4" s="136">
        <v>0.16200000000000001</v>
      </c>
      <c r="AU4" s="132">
        <v>0.315</v>
      </c>
      <c r="AV4" s="134">
        <v>88.36</v>
      </c>
      <c r="AW4" s="136">
        <v>0.16500000000000001</v>
      </c>
      <c r="AX4" s="132">
        <v>0.31900000000000001</v>
      </c>
      <c r="AZ4" s="143" t="s">
        <v>48</v>
      </c>
      <c r="BA4" s="151">
        <v>87.87</v>
      </c>
      <c r="BB4" s="154">
        <v>0.38100000000000001</v>
      </c>
      <c r="BC4" s="153">
        <v>0.307</v>
      </c>
      <c r="BD4" s="151">
        <v>87.84</v>
      </c>
      <c r="BE4" s="154">
        <v>0.38200000000000001</v>
      </c>
      <c r="BF4" s="153">
        <v>0.307</v>
      </c>
      <c r="BG4" s="151">
        <v>87.84</v>
      </c>
      <c r="BH4" s="154">
        <v>0.38</v>
      </c>
      <c r="BI4" s="153">
        <v>0.307</v>
      </c>
      <c r="BK4" s="145" t="s">
        <v>222</v>
      </c>
      <c r="BL4" s="150" t="s">
        <v>226</v>
      </c>
      <c r="BM4" s="150" t="s">
        <v>231</v>
      </c>
      <c r="BN4" s="150" t="s">
        <v>234</v>
      </c>
      <c r="BO4" s="159" t="s">
        <v>238</v>
      </c>
      <c r="BQ4" s="162">
        <v>0.35799999999999998</v>
      </c>
      <c r="BR4" s="113">
        <v>101.37</v>
      </c>
      <c r="BS4" s="112">
        <v>0.32300000000000001</v>
      </c>
      <c r="BT4" s="112">
        <v>9.2999999999999999E-2</v>
      </c>
      <c r="BU4" s="113">
        <v>76.650000000000006</v>
      </c>
      <c r="BW4" s="170">
        <v>0.29082000000000002</v>
      </c>
      <c r="BX4" s="118">
        <v>0.5393</v>
      </c>
      <c r="BZ4" s="167">
        <v>2.1879</v>
      </c>
      <c r="CA4" s="115">
        <v>2</v>
      </c>
      <c r="CB4" s="172">
        <v>137.149</v>
      </c>
      <c r="CC4" s="172">
        <v>0.11605</v>
      </c>
      <c r="CE4" s="170">
        <v>0.67413579999999995</v>
      </c>
      <c r="CF4" s="118">
        <v>1.0992390000000001</v>
      </c>
      <c r="CG4" s="115">
        <v>165</v>
      </c>
      <c r="CH4" s="115">
        <v>-4.1680000000000001</v>
      </c>
      <c r="CI4" s="115" t="s">
        <v>251</v>
      </c>
      <c r="CJ4" s="118">
        <v>0.55925959999999997</v>
      </c>
      <c r="CK4" s="118">
        <v>0.81260849999999996</v>
      </c>
    </row>
    <row r="5" spans="1:89" ht="57" thickBot="1">
      <c r="D5" s="106">
        <v>445.61599999999999</v>
      </c>
      <c r="F5" s="161" t="s">
        <v>47</v>
      </c>
      <c r="G5" s="111">
        <v>2009</v>
      </c>
      <c r="H5" s="112">
        <v>73.203999999999994</v>
      </c>
      <c r="I5" s="113">
        <v>73.805000000000007</v>
      </c>
      <c r="K5" s="116">
        <v>6.0380000000000003</v>
      </c>
      <c r="L5" s="117">
        <v>143.85</v>
      </c>
      <c r="M5" s="118">
        <v>1.0580000000000001</v>
      </c>
      <c r="S5" s="121">
        <v>143.88999999999999</v>
      </c>
      <c r="T5" s="122">
        <v>1.0580000000000001</v>
      </c>
      <c r="U5" s="122">
        <v>6.04</v>
      </c>
      <c r="W5" s="128" t="s">
        <v>47</v>
      </c>
      <c r="X5" s="134">
        <v>102.36</v>
      </c>
      <c r="Y5" s="136">
        <v>0.39900000000000002</v>
      </c>
      <c r="Z5" s="132">
        <v>0.40699999999999997</v>
      </c>
      <c r="AA5" s="134">
        <v>101.37</v>
      </c>
      <c r="AB5" s="136">
        <v>0.32300000000000001</v>
      </c>
      <c r="AC5" s="132">
        <v>0.35799999999999998</v>
      </c>
      <c r="AD5" s="134">
        <v>100.86</v>
      </c>
      <c r="AE5" s="136">
        <v>0.41799999999999998</v>
      </c>
      <c r="AF5" s="132">
        <v>0.35899999999999999</v>
      </c>
      <c r="AH5" s="143" t="s">
        <v>49</v>
      </c>
      <c r="AI5" s="144" t="s">
        <v>16</v>
      </c>
      <c r="AJ5" s="134">
        <v>91.43</v>
      </c>
      <c r="AK5" s="136">
        <v>0.314</v>
      </c>
      <c r="AL5" s="132">
        <v>0.35599999999999998</v>
      </c>
      <c r="AM5" s="134">
        <v>88.58</v>
      </c>
      <c r="AN5" s="136">
        <v>0.33400000000000002</v>
      </c>
      <c r="AO5" s="132">
        <v>0.32400000000000001</v>
      </c>
      <c r="AQ5" s="143" t="s">
        <v>49</v>
      </c>
      <c r="AR5" s="144" t="s">
        <v>16</v>
      </c>
      <c r="AS5" s="134">
        <v>91.89</v>
      </c>
      <c r="AT5" s="136">
        <v>0.34899999999999998</v>
      </c>
      <c r="AU5" s="132">
        <v>0.373</v>
      </c>
      <c r="AV5" s="123">
        <v>89.3</v>
      </c>
      <c r="AW5" s="136">
        <v>0.34399999999999997</v>
      </c>
      <c r="AX5" s="132">
        <v>0.34</v>
      </c>
      <c r="AZ5" s="143" t="s">
        <v>49</v>
      </c>
      <c r="BA5" s="151">
        <v>91.89</v>
      </c>
      <c r="BB5" s="154">
        <v>0.34899999999999998</v>
      </c>
      <c r="BC5" s="153">
        <v>0.373</v>
      </c>
      <c r="BD5" s="151">
        <v>91.93</v>
      </c>
      <c r="BE5" s="154">
        <v>0.34899999999999998</v>
      </c>
      <c r="BF5" s="153">
        <v>0.373</v>
      </c>
      <c r="BG5" s="151">
        <v>91.86</v>
      </c>
      <c r="BH5" s="154">
        <v>0.34899999999999998</v>
      </c>
      <c r="BI5" s="153">
        <v>0.373</v>
      </c>
      <c r="BK5" s="145" t="s">
        <v>223</v>
      </c>
      <c r="BL5" s="150" t="s">
        <v>227</v>
      </c>
      <c r="BM5" s="150" t="s">
        <v>230</v>
      </c>
      <c r="BN5" s="150" t="s">
        <v>235</v>
      </c>
      <c r="BO5" s="159" t="s">
        <v>239</v>
      </c>
      <c r="BQ5" s="162">
        <v>0.307</v>
      </c>
      <c r="BR5" s="113">
        <v>87.87</v>
      </c>
      <c r="BS5" s="112">
        <v>0.38100000000000001</v>
      </c>
      <c r="BT5" s="112">
        <v>0.25600000000000001</v>
      </c>
      <c r="BU5" s="113">
        <v>147.26</v>
      </c>
      <c r="BW5" s="170">
        <v>5.7180000000000002E-2</v>
      </c>
      <c r="BX5" s="118">
        <v>0.23910000000000001</v>
      </c>
      <c r="BZ5" s="167">
        <v>36.087899999999998</v>
      </c>
      <c r="CA5" s="115">
        <v>2</v>
      </c>
      <c r="CB5" s="172">
        <v>147.79</v>
      </c>
      <c r="CC5" s="172">
        <v>1.7280000000000001E-13</v>
      </c>
    </row>
    <row r="6" spans="1:89" ht="57" thickBot="1">
      <c r="F6" s="161" t="s">
        <v>47</v>
      </c>
      <c r="G6" s="111">
        <v>2010</v>
      </c>
      <c r="H6" s="112">
        <v>361.54899999999998</v>
      </c>
      <c r="I6" s="113">
        <v>232.22900000000001</v>
      </c>
      <c r="K6" s="116">
        <v>0.59299999999999997</v>
      </c>
      <c r="L6" s="117">
        <v>141.51</v>
      </c>
      <c r="M6" s="118">
        <v>0.94199999999999995</v>
      </c>
      <c r="S6" s="121">
        <v>144.44999999999999</v>
      </c>
      <c r="T6" s="122">
        <v>1.05</v>
      </c>
      <c r="U6" s="122">
        <v>6.1449999999999996</v>
      </c>
      <c r="W6" s="128" t="s">
        <v>48</v>
      </c>
      <c r="X6" s="134">
        <v>90.22</v>
      </c>
      <c r="Y6" s="136">
        <v>0.16900000000000001</v>
      </c>
      <c r="Z6" s="132">
        <v>0.36299999999999999</v>
      </c>
      <c r="AA6" s="134">
        <v>89.38</v>
      </c>
      <c r="AB6" s="136">
        <v>0.16200000000000001</v>
      </c>
      <c r="AC6" s="132">
        <v>0.315</v>
      </c>
      <c r="AD6" s="134">
        <v>89.12</v>
      </c>
      <c r="AE6" s="136">
        <v>0.17199999999999999</v>
      </c>
      <c r="AF6" s="132">
        <v>0.309</v>
      </c>
      <c r="AH6" s="143" t="s">
        <v>50</v>
      </c>
      <c r="AI6" s="144" t="s">
        <v>16</v>
      </c>
      <c r="AJ6" s="134">
        <v>87.84</v>
      </c>
      <c r="AK6" s="136">
        <v>0.628</v>
      </c>
      <c r="AL6" s="132">
        <v>0.377</v>
      </c>
      <c r="AM6" s="134">
        <v>88.41</v>
      </c>
      <c r="AN6" s="136">
        <v>0.60499999999999998</v>
      </c>
      <c r="AO6" s="132">
        <v>0.38500000000000001</v>
      </c>
      <c r="AQ6" s="143" t="s">
        <v>50</v>
      </c>
      <c r="AR6" s="144" t="s">
        <v>16</v>
      </c>
      <c r="AS6" s="134">
        <v>87.33</v>
      </c>
      <c r="AT6" s="136">
        <v>0.627</v>
      </c>
      <c r="AU6" s="132">
        <v>0.36799999999999999</v>
      </c>
      <c r="AV6" s="134">
        <v>87.45</v>
      </c>
      <c r="AW6" s="136">
        <v>0.48399999999999999</v>
      </c>
      <c r="AX6" s="132">
        <v>0.4</v>
      </c>
      <c r="AZ6" s="143" t="s">
        <v>50</v>
      </c>
      <c r="BA6" s="151">
        <v>87.33</v>
      </c>
      <c r="BB6" s="154">
        <v>0.627</v>
      </c>
      <c r="BC6" s="153">
        <v>0.36799999999999999</v>
      </c>
      <c r="BD6" s="151">
        <v>87.35</v>
      </c>
      <c r="BE6" s="154">
        <v>0.629</v>
      </c>
      <c r="BF6" s="153">
        <v>0.36799999999999999</v>
      </c>
      <c r="BG6" s="151">
        <v>87.29</v>
      </c>
      <c r="BH6" s="154">
        <v>0.626</v>
      </c>
      <c r="BI6" s="153">
        <v>0.36799999999999999</v>
      </c>
      <c r="BK6" s="145" t="s">
        <v>224</v>
      </c>
      <c r="BL6" s="150" t="s">
        <v>228</v>
      </c>
      <c r="BM6" s="150" t="s">
        <v>229</v>
      </c>
      <c r="BN6" s="150" t="s">
        <v>236</v>
      </c>
      <c r="BO6" s="159" t="s">
        <v>240</v>
      </c>
      <c r="BQ6" s="162">
        <v>0.373</v>
      </c>
      <c r="BR6" s="113">
        <v>91.89</v>
      </c>
      <c r="BS6" s="112">
        <v>0.34899999999999998</v>
      </c>
      <c r="BT6" s="112">
        <v>0.104</v>
      </c>
      <c r="BU6" s="113">
        <v>93.3</v>
      </c>
      <c r="BW6" s="170">
        <v>0.63380999999999998</v>
      </c>
      <c r="BX6" s="118">
        <v>0.79610000000000003</v>
      </c>
      <c r="BZ6" s="167">
        <v>0.40410000000000001</v>
      </c>
      <c r="CA6" s="115">
        <v>2</v>
      </c>
      <c r="CB6" s="172">
        <v>10.298999999999999</v>
      </c>
      <c r="CC6" s="172">
        <v>0.67773000000000005</v>
      </c>
    </row>
    <row r="7" spans="1:89" ht="43" thickBot="1">
      <c r="C7" t="s">
        <v>92</v>
      </c>
      <c r="D7">
        <f>AVERAGE(D2:D5)</f>
        <v>379.41325000000001</v>
      </c>
      <c r="F7" s="161" t="s">
        <v>47</v>
      </c>
      <c r="G7" s="111">
        <v>2011</v>
      </c>
      <c r="H7" s="112">
        <v>142.316</v>
      </c>
      <c r="I7" s="113">
        <v>94.712000000000003</v>
      </c>
      <c r="K7" s="116">
        <v>6.1760000000000002</v>
      </c>
      <c r="L7" s="117">
        <v>144.51</v>
      </c>
      <c r="M7" s="118">
        <v>1.054</v>
      </c>
      <c r="S7" s="121">
        <v>144.46</v>
      </c>
      <c r="T7" s="122">
        <v>1.0489999999999999</v>
      </c>
      <c r="U7" s="122">
        <v>6.141</v>
      </c>
      <c r="W7" s="128" t="s">
        <v>49</v>
      </c>
      <c r="X7" s="134">
        <v>93.79</v>
      </c>
      <c r="Y7" s="136">
        <v>0.35199999999999998</v>
      </c>
      <c r="Z7" s="132">
        <v>0.439</v>
      </c>
      <c r="AA7" s="134">
        <v>91.89</v>
      </c>
      <c r="AB7" s="136">
        <v>0.34899999999999998</v>
      </c>
      <c r="AC7" s="132">
        <v>0.373</v>
      </c>
      <c r="AD7" s="134">
        <v>91.93</v>
      </c>
      <c r="AE7" s="136">
        <v>0.34699999999999998</v>
      </c>
      <c r="AF7" s="132">
        <v>0.35899999999999999</v>
      </c>
      <c r="AH7" s="143" t="s">
        <v>51</v>
      </c>
      <c r="AI7" s="144" t="s">
        <v>15</v>
      </c>
      <c r="AJ7" s="134">
        <v>62.2</v>
      </c>
      <c r="AK7" s="136">
        <v>0.65100000000000002</v>
      </c>
      <c r="AL7" s="132">
        <v>0.21199999999999999</v>
      </c>
      <c r="AM7" s="134">
        <v>63.15</v>
      </c>
      <c r="AN7" s="136">
        <v>0.70499999999999996</v>
      </c>
      <c r="AO7" s="132">
        <v>0.26400000000000001</v>
      </c>
      <c r="AQ7" s="143" t="s">
        <v>51</v>
      </c>
      <c r="AR7" s="144" t="s">
        <v>15</v>
      </c>
      <c r="AS7" s="134">
        <v>62.58</v>
      </c>
      <c r="AT7" s="136">
        <v>0.63700000000000001</v>
      </c>
      <c r="AU7" s="132">
        <v>0.246</v>
      </c>
      <c r="AV7" s="134">
        <v>63.31</v>
      </c>
      <c r="AW7" s="136">
        <v>0.70499999999999996</v>
      </c>
      <c r="AX7" s="132">
        <v>0.26400000000000001</v>
      </c>
      <c r="AZ7" s="143" t="s">
        <v>51</v>
      </c>
      <c r="BA7" s="151">
        <v>62.58</v>
      </c>
      <c r="BB7" s="154">
        <v>0.63700000000000001</v>
      </c>
      <c r="BC7" s="153">
        <v>0.246</v>
      </c>
      <c r="BD7" s="151">
        <v>62.61</v>
      </c>
      <c r="BE7" s="154">
        <v>0.64500000000000002</v>
      </c>
      <c r="BF7" s="153">
        <v>0.247</v>
      </c>
      <c r="BG7" s="151">
        <v>62.55</v>
      </c>
      <c r="BH7" s="154">
        <v>0.64500000000000002</v>
      </c>
      <c r="BI7" s="153">
        <v>0.247</v>
      </c>
      <c r="BQ7" s="162">
        <v>0.36799999999999999</v>
      </c>
      <c r="BR7" s="113">
        <v>87.33</v>
      </c>
      <c r="BS7" s="112">
        <v>0.627</v>
      </c>
      <c r="BT7" s="112">
        <v>0.621</v>
      </c>
      <c r="BU7" s="113">
        <v>193.96</v>
      </c>
      <c r="BW7" s="170">
        <v>0.25051000000000001</v>
      </c>
      <c r="BX7" s="118">
        <v>0.50049999999999994</v>
      </c>
      <c r="BZ7" s="167">
        <v>0.59450000000000003</v>
      </c>
      <c r="CA7" s="115">
        <v>2</v>
      </c>
      <c r="CB7" s="172">
        <v>137.149</v>
      </c>
      <c r="CC7" s="172">
        <v>0.55325000000000002</v>
      </c>
    </row>
    <row r="8" spans="1:89" ht="17" thickBot="1">
      <c r="C8" t="s">
        <v>207</v>
      </c>
      <c r="D8">
        <f>D7/1000</f>
        <v>0.37941324999999998</v>
      </c>
      <c r="F8" s="161" t="s">
        <v>47</v>
      </c>
      <c r="G8" s="111">
        <v>2012</v>
      </c>
      <c r="H8" s="112">
        <v>79.391000000000005</v>
      </c>
      <c r="I8" s="113">
        <v>26.776</v>
      </c>
      <c r="K8" s="116">
        <v>0.58199999999999996</v>
      </c>
      <c r="L8" s="117">
        <v>140.32</v>
      </c>
      <c r="M8" s="118">
        <v>0.94599999999999995</v>
      </c>
      <c r="W8" s="128" t="s">
        <v>50</v>
      </c>
      <c r="X8" s="134">
        <v>88.9</v>
      </c>
      <c r="Y8" s="136">
        <v>0.65300000000000002</v>
      </c>
      <c r="Z8" s="132">
        <v>0.46899999999999997</v>
      </c>
      <c r="AA8" s="134">
        <v>87.33</v>
      </c>
      <c r="AB8" s="136">
        <v>0.627</v>
      </c>
      <c r="AC8" s="132">
        <v>0.36799999999999999</v>
      </c>
      <c r="AD8" s="134">
        <v>86.92</v>
      </c>
      <c r="AE8" s="136">
        <v>0.61599999999999999</v>
      </c>
      <c r="AF8" s="132">
        <v>0.34499999999999997</v>
      </c>
      <c r="AH8" s="143" t="s">
        <v>52</v>
      </c>
      <c r="AI8" s="144" t="s">
        <v>17</v>
      </c>
      <c r="AJ8" s="134">
        <v>109.59</v>
      </c>
      <c r="AK8" s="136">
        <v>1.0169999999999999</v>
      </c>
      <c r="AL8" s="132">
        <v>10.166</v>
      </c>
      <c r="AM8" s="123">
        <v>109.1</v>
      </c>
      <c r="AN8" s="136">
        <v>1.2569999999999999</v>
      </c>
      <c r="AO8" s="132">
        <v>12.57</v>
      </c>
      <c r="AQ8" s="143" t="s">
        <v>52</v>
      </c>
      <c r="AR8" s="144" t="s">
        <v>17</v>
      </c>
      <c r="AS8" s="134">
        <v>113.45</v>
      </c>
      <c r="AT8" s="136">
        <v>1.1919999999999999</v>
      </c>
      <c r="AU8" s="132">
        <v>11.923999999999999</v>
      </c>
      <c r="AV8" s="123">
        <v>109.6</v>
      </c>
      <c r="AW8" s="136">
        <v>1.2410000000000001</v>
      </c>
      <c r="AX8" s="132">
        <v>12.411</v>
      </c>
      <c r="AZ8" s="143" t="s">
        <v>53</v>
      </c>
      <c r="BA8" s="151">
        <v>111.35</v>
      </c>
      <c r="BB8" s="154">
        <v>0.57599999999999996</v>
      </c>
      <c r="BC8" s="153">
        <v>0.437</v>
      </c>
      <c r="BD8" s="151">
        <v>111.33</v>
      </c>
      <c r="BE8" s="154">
        <v>0.57499999999999996</v>
      </c>
      <c r="BF8" s="153">
        <v>0.435</v>
      </c>
      <c r="BG8" s="151">
        <v>111.28</v>
      </c>
      <c r="BH8" s="154">
        <v>0.57799999999999996</v>
      </c>
      <c r="BI8" s="153">
        <v>0.438</v>
      </c>
      <c r="BQ8" s="162">
        <v>0.246</v>
      </c>
      <c r="BR8" s="113">
        <v>62.58</v>
      </c>
      <c r="BS8" s="112">
        <v>0.63700000000000001</v>
      </c>
      <c r="BT8" s="112">
        <v>0.14399999999999999</v>
      </c>
      <c r="BU8" s="113">
        <v>115.82</v>
      </c>
    </row>
    <row r="9" spans="1:89" ht="85" thickBot="1">
      <c r="F9" s="161" t="s">
        <v>47</v>
      </c>
      <c r="G9" s="111">
        <v>2013</v>
      </c>
      <c r="H9" s="112">
        <v>32.832999999999998</v>
      </c>
      <c r="I9" s="113">
        <v>55.305</v>
      </c>
      <c r="W9" s="128" t="s">
        <v>51</v>
      </c>
      <c r="X9" s="134">
        <v>63.68</v>
      </c>
      <c r="Y9" s="136">
        <v>0.65400000000000003</v>
      </c>
      <c r="Z9" s="132">
        <v>0.28999999999999998</v>
      </c>
      <c r="AA9" s="134">
        <v>62.58</v>
      </c>
      <c r="AB9" s="136">
        <v>0.63700000000000001</v>
      </c>
      <c r="AC9" s="132">
        <v>0.246</v>
      </c>
      <c r="AD9" s="134">
        <v>62.63</v>
      </c>
      <c r="AE9" s="136">
        <v>0.627</v>
      </c>
      <c r="AF9" s="132">
        <v>0.22900000000000001</v>
      </c>
      <c r="AH9" s="143" t="s">
        <v>53</v>
      </c>
      <c r="AI9" s="144" t="s">
        <v>18</v>
      </c>
      <c r="AJ9" s="134">
        <v>110.8</v>
      </c>
      <c r="AK9" s="136">
        <v>0.56200000000000006</v>
      </c>
      <c r="AL9" s="132">
        <v>0.32500000000000001</v>
      </c>
      <c r="AM9" s="123">
        <v>110.7</v>
      </c>
      <c r="AN9" s="136">
        <v>0.48499999999999999</v>
      </c>
      <c r="AO9" s="132">
        <v>0.32</v>
      </c>
      <c r="AQ9" s="143" t="s">
        <v>53</v>
      </c>
      <c r="AR9" s="144" t="s">
        <v>18</v>
      </c>
      <c r="AS9" s="134">
        <v>111.35</v>
      </c>
      <c r="AT9" s="136">
        <v>0.57599999999999996</v>
      </c>
      <c r="AU9" s="132">
        <v>0.437</v>
      </c>
      <c r="AV9" s="123">
        <v>111.1</v>
      </c>
      <c r="AW9" s="136">
        <v>0.48599999999999999</v>
      </c>
      <c r="AX9" s="132">
        <v>0.33600000000000002</v>
      </c>
      <c r="AZ9" s="143" t="s">
        <v>54</v>
      </c>
      <c r="BA9" s="151">
        <v>113.47</v>
      </c>
      <c r="BB9" s="154">
        <v>0.32</v>
      </c>
      <c r="BC9" s="153">
        <v>0.317</v>
      </c>
      <c r="BD9" s="151">
        <v>113.43</v>
      </c>
      <c r="BE9" s="154">
        <v>0.32100000000000001</v>
      </c>
      <c r="BF9" s="153">
        <v>0.317</v>
      </c>
      <c r="BG9" s="151">
        <v>113.59</v>
      </c>
      <c r="BH9" s="154">
        <v>0.31900000000000001</v>
      </c>
      <c r="BI9" s="153">
        <v>0.317</v>
      </c>
      <c r="BK9" s="163" t="s">
        <v>244</v>
      </c>
      <c r="BL9" s="164" t="s">
        <v>225</v>
      </c>
      <c r="BM9" s="164" t="s">
        <v>245</v>
      </c>
      <c r="BN9" s="164" t="s">
        <v>233</v>
      </c>
      <c r="BO9" s="158" t="s">
        <v>248</v>
      </c>
      <c r="BQ9" s="162">
        <v>11.923999999999999</v>
      </c>
      <c r="BR9" s="113">
        <v>113.45</v>
      </c>
      <c r="BS9" s="112">
        <v>1.1919999999999999</v>
      </c>
      <c r="BT9" s="112">
        <v>6.5789999999999997</v>
      </c>
      <c r="BU9" s="113">
        <v>245.86</v>
      </c>
    </row>
    <row r="10" spans="1:89" ht="29" thickBot="1">
      <c r="D10">
        <v>6.04</v>
      </c>
      <c r="F10" s="161" t="s">
        <v>47</v>
      </c>
      <c r="G10" s="111">
        <v>2014</v>
      </c>
      <c r="H10" s="112">
        <v>4.6900000000000004</v>
      </c>
      <c r="I10" s="113">
        <v>44.600999999999999</v>
      </c>
      <c r="W10" s="128" t="s">
        <v>53</v>
      </c>
      <c r="X10" s="134">
        <v>112.2</v>
      </c>
      <c r="Y10" s="136">
        <v>0.57799999999999996</v>
      </c>
      <c r="Z10" s="132">
        <v>0.46899999999999997</v>
      </c>
      <c r="AA10" s="134">
        <v>111.35</v>
      </c>
      <c r="AB10" s="136">
        <v>0.57599999999999996</v>
      </c>
      <c r="AC10" s="132">
        <v>0.437</v>
      </c>
      <c r="AD10" s="134">
        <v>110.93</v>
      </c>
      <c r="AE10" s="136">
        <v>0.57799999999999996</v>
      </c>
      <c r="AF10" s="132">
        <v>0.42699999999999999</v>
      </c>
      <c r="AH10" s="143" t="s">
        <v>54</v>
      </c>
      <c r="AI10" s="144" t="s">
        <v>14</v>
      </c>
      <c r="AJ10" s="134">
        <v>113.06</v>
      </c>
      <c r="AK10" s="136">
        <v>0.22700000000000001</v>
      </c>
      <c r="AL10" s="132">
        <v>0.307</v>
      </c>
      <c r="AM10" s="123">
        <v>113.1</v>
      </c>
      <c r="AN10" s="136">
        <v>0.23899999999999999</v>
      </c>
      <c r="AO10" s="132">
        <v>0.25800000000000001</v>
      </c>
      <c r="AQ10" s="143" t="s">
        <v>54</v>
      </c>
      <c r="AR10" s="144" t="s">
        <v>14</v>
      </c>
      <c r="AS10" s="134">
        <v>113.47</v>
      </c>
      <c r="AT10" s="136">
        <v>0.32</v>
      </c>
      <c r="AU10" s="132">
        <v>0.317</v>
      </c>
      <c r="AV10" s="134">
        <v>114</v>
      </c>
      <c r="AW10" s="136">
        <v>0.39</v>
      </c>
      <c r="AX10" s="132">
        <v>0.26700000000000002</v>
      </c>
      <c r="AZ10" s="143" t="s">
        <v>56</v>
      </c>
      <c r="BA10" s="151">
        <v>77.62</v>
      </c>
      <c r="BB10" s="154">
        <v>0.61899999999999999</v>
      </c>
      <c r="BC10" s="153">
        <v>0.312</v>
      </c>
      <c r="BD10" s="151">
        <v>77.680000000000007</v>
      </c>
      <c r="BE10" s="154">
        <v>0.621</v>
      </c>
      <c r="BF10" s="153">
        <v>0.312</v>
      </c>
      <c r="BG10" s="151">
        <v>77.58</v>
      </c>
      <c r="BH10" s="154">
        <v>0.61499999999999999</v>
      </c>
      <c r="BI10" s="153">
        <v>0.312</v>
      </c>
      <c r="BK10" s="165" t="s">
        <v>243</v>
      </c>
      <c r="BL10" s="166" t="s">
        <v>226</v>
      </c>
      <c r="BM10" s="166" t="s">
        <v>246</v>
      </c>
      <c r="BN10" s="150" t="s">
        <v>234</v>
      </c>
      <c r="BO10" s="159" t="s">
        <v>249</v>
      </c>
      <c r="BQ10" s="162">
        <v>0.437</v>
      </c>
      <c r="BR10" s="113">
        <v>111.35</v>
      </c>
      <c r="BS10" s="112">
        <v>0.57599999999999996</v>
      </c>
      <c r="BT10" s="112">
        <v>0.35199999999999998</v>
      </c>
      <c r="BU10" s="113">
        <v>62.08</v>
      </c>
    </row>
    <row r="11" spans="1:89" ht="17" thickBot="1">
      <c r="D11">
        <f>(D10-D8)/D8*100</f>
        <v>1491.9317525152326</v>
      </c>
      <c r="F11" s="161" t="s">
        <v>48</v>
      </c>
      <c r="G11" s="111">
        <v>2007</v>
      </c>
      <c r="H11" s="112">
        <v>0</v>
      </c>
      <c r="I11" s="113">
        <v>6.9</v>
      </c>
      <c r="W11" s="128" t="s">
        <v>54</v>
      </c>
      <c r="X11" s="134">
        <v>113.92</v>
      </c>
      <c r="Y11" s="136">
        <v>0.33700000000000002</v>
      </c>
      <c r="Z11" s="132">
        <v>0.34499999999999997</v>
      </c>
      <c r="AA11" s="134">
        <v>113.47</v>
      </c>
      <c r="AB11" s="136">
        <v>0.32</v>
      </c>
      <c r="AC11" s="132">
        <v>0.317</v>
      </c>
      <c r="AD11" s="134">
        <v>113.52</v>
      </c>
      <c r="AE11" s="136">
        <v>0.29899999999999999</v>
      </c>
      <c r="AF11" s="132">
        <v>0.28699999999999998</v>
      </c>
      <c r="AH11" s="143" t="s">
        <v>55</v>
      </c>
      <c r="AI11" s="144" t="s">
        <v>17</v>
      </c>
      <c r="AJ11" s="134">
        <v>126.64</v>
      </c>
      <c r="AK11" s="136">
        <v>0.69899999999999995</v>
      </c>
      <c r="AL11" s="132">
        <v>6.9909999999999997</v>
      </c>
      <c r="AM11" s="123">
        <v>129.1</v>
      </c>
      <c r="AN11" s="136">
        <v>0.66</v>
      </c>
      <c r="AO11" s="132">
        <v>6.6</v>
      </c>
      <c r="AQ11" s="143" t="s">
        <v>55</v>
      </c>
      <c r="AR11" s="144" t="s">
        <v>17</v>
      </c>
      <c r="AS11" s="134">
        <v>122.25</v>
      </c>
      <c r="AT11" s="136">
        <v>0.88300000000000001</v>
      </c>
      <c r="AU11" s="132">
        <v>8.8290000000000006</v>
      </c>
      <c r="AV11" s="123">
        <v>127.8</v>
      </c>
      <c r="AW11" s="136">
        <v>0.76700000000000002</v>
      </c>
      <c r="AX11" s="132">
        <v>7.673</v>
      </c>
      <c r="AZ11" s="145" t="s">
        <v>57</v>
      </c>
      <c r="BA11" s="152">
        <v>92.78</v>
      </c>
      <c r="BB11" s="155">
        <v>0.14199999999999999</v>
      </c>
      <c r="BC11" s="156">
        <v>0.20499999999999999</v>
      </c>
      <c r="BD11" s="152">
        <v>92.98</v>
      </c>
      <c r="BE11" s="155">
        <v>0.14299999999999999</v>
      </c>
      <c r="BF11" s="156">
        <v>0.20300000000000001</v>
      </c>
      <c r="BG11" s="152">
        <v>92.92</v>
      </c>
      <c r="BH11" s="155">
        <v>0.14099999999999999</v>
      </c>
      <c r="BI11" s="156">
        <v>0.20499999999999999</v>
      </c>
      <c r="BK11" s="165" t="s">
        <v>242</v>
      </c>
      <c r="BL11" s="166" t="s">
        <v>227</v>
      </c>
      <c r="BM11" s="166" t="s">
        <v>247</v>
      </c>
      <c r="BN11" s="150" t="s">
        <v>235</v>
      </c>
      <c r="BO11" s="159" t="s">
        <v>250</v>
      </c>
      <c r="BQ11" s="162">
        <v>0.317</v>
      </c>
      <c r="BR11" s="113">
        <v>113.47</v>
      </c>
      <c r="BS11" s="112">
        <v>0.32</v>
      </c>
      <c r="BT11" s="112">
        <v>0.35899999999999999</v>
      </c>
      <c r="BU11" s="113">
        <v>70.2</v>
      </c>
    </row>
    <row r="12" spans="1:89" ht="29" thickBot="1">
      <c r="B12">
        <f>(A2-D8)/D8 * 100</f>
        <v>56.293961794955763</v>
      </c>
      <c r="F12" s="161" t="s">
        <v>48</v>
      </c>
      <c r="G12" s="111">
        <v>2008</v>
      </c>
      <c r="H12" s="112">
        <v>1289.3420000000001</v>
      </c>
      <c r="I12" s="113">
        <v>323.74799999999999</v>
      </c>
      <c r="W12" s="128" t="s">
        <v>56</v>
      </c>
      <c r="X12" s="134">
        <v>78.48</v>
      </c>
      <c r="Y12" s="136">
        <v>0.54100000000000004</v>
      </c>
      <c r="Z12" s="132">
        <v>0.35399999999999998</v>
      </c>
      <c r="AA12" s="134">
        <v>77.62</v>
      </c>
      <c r="AB12" s="136">
        <v>0.61899999999999999</v>
      </c>
      <c r="AC12" s="132">
        <v>0.312</v>
      </c>
      <c r="AD12" s="134">
        <v>77.680000000000007</v>
      </c>
      <c r="AE12" s="136">
        <v>0.57999999999999996</v>
      </c>
      <c r="AF12" s="132">
        <v>0.29799999999999999</v>
      </c>
      <c r="AH12" s="143" t="s">
        <v>56</v>
      </c>
      <c r="AI12" s="144" t="s">
        <v>19</v>
      </c>
      <c r="AJ12" s="134">
        <v>77.34</v>
      </c>
      <c r="AK12" s="136">
        <v>0.39800000000000002</v>
      </c>
      <c r="AL12" s="132">
        <v>0.14099999999999999</v>
      </c>
      <c r="AM12" s="134">
        <v>77.88</v>
      </c>
      <c r="AN12" s="136">
        <v>0.46500000000000002</v>
      </c>
      <c r="AO12" s="132">
        <v>0.13500000000000001</v>
      </c>
      <c r="AQ12" s="143" t="s">
        <v>56</v>
      </c>
      <c r="AR12" s="144" t="s">
        <v>19</v>
      </c>
      <c r="AS12" s="134">
        <v>77.62</v>
      </c>
      <c r="AT12" s="136">
        <v>0.61899999999999999</v>
      </c>
      <c r="AU12" s="132">
        <v>0.312</v>
      </c>
      <c r="AV12" s="134">
        <v>77.349999999999994</v>
      </c>
      <c r="AW12" s="136">
        <v>0.65600000000000003</v>
      </c>
      <c r="AX12" s="132">
        <v>0.2</v>
      </c>
      <c r="BQ12" s="162">
        <v>8.8290000000000006</v>
      </c>
      <c r="BR12" s="113">
        <v>122.25</v>
      </c>
      <c r="BS12" s="112">
        <v>0.88300000000000001</v>
      </c>
      <c r="BT12" s="112">
        <v>7.2939999999999996</v>
      </c>
      <c r="BU12" s="113">
        <v>160.30000000000001</v>
      </c>
    </row>
    <row r="13" spans="1:89" ht="85" thickBot="1">
      <c r="F13" s="161" t="s">
        <v>48</v>
      </c>
      <c r="G13" s="111">
        <v>2009</v>
      </c>
      <c r="H13" s="112">
        <v>154.54</v>
      </c>
      <c r="I13" s="113">
        <v>154.08799999999999</v>
      </c>
      <c r="W13" s="129" t="s">
        <v>57</v>
      </c>
      <c r="X13" s="135">
        <v>93.62</v>
      </c>
      <c r="Y13" s="137">
        <v>0.14399999999999999</v>
      </c>
      <c r="Z13" s="133">
        <v>0.23</v>
      </c>
      <c r="AA13" s="135">
        <v>92.78</v>
      </c>
      <c r="AB13" s="137">
        <v>0.14199999999999999</v>
      </c>
      <c r="AC13" s="133">
        <v>0.20499999999999999</v>
      </c>
      <c r="AD13" s="135">
        <v>92.92</v>
      </c>
      <c r="AE13" s="137">
        <v>0.14199999999999999</v>
      </c>
      <c r="AF13" s="133">
        <v>0.18</v>
      </c>
      <c r="AH13" s="143" t="s">
        <v>57</v>
      </c>
      <c r="AI13" s="144" t="s">
        <v>20</v>
      </c>
      <c r="AJ13" s="134">
        <v>92.87</v>
      </c>
      <c r="AK13" s="136">
        <v>0.126</v>
      </c>
      <c r="AL13" s="132">
        <v>0.20300000000000001</v>
      </c>
      <c r="AM13" s="134">
        <v>92.93</v>
      </c>
      <c r="AN13" s="136">
        <v>0.17499999999999999</v>
      </c>
      <c r="AO13" s="132">
        <v>0.19500000000000001</v>
      </c>
      <c r="AQ13" s="143" t="s">
        <v>57</v>
      </c>
      <c r="AR13" s="144" t="s">
        <v>20</v>
      </c>
      <c r="AS13" s="134">
        <v>92.78</v>
      </c>
      <c r="AT13" s="136">
        <v>0.14199999999999999</v>
      </c>
      <c r="AU13" s="132">
        <v>0.20499999999999999</v>
      </c>
      <c r="AV13" s="134">
        <v>93.21</v>
      </c>
      <c r="AW13" s="136">
        <v>0.23400000000000001</v>
      </c>
      <c r="AX13" s="132">
        <v>0.23599999999999999</v>
      </c>
      <c r="BQ13" s="162">
        <v>0.312</v>
      </c>
      <c r="BR13" s="113">
        <v>77.62</v>
      </c>
      <c r="BS13" s="112">
        <v>0.61899999999999999</v>
      </c>
      <c r="BT13" s="112">
        <v>0.152</v>
      </c>
      <c r="BU13" s="113">
        <v>51.63</v>
      </c>
    </row>
    <row r="14" spans="1:89" ht="17" thickBot="1">
      <c r="F14" s="161" t="s">
        <v>48</v>
      </c>
      <c r="G14" s="111">
        <v>2010</v>
      </c>
      <c r="H14" s="112">
        <v>386.08</v>
      </c>
      <c r="I14" s="113">
        <v>476.44099999999997</v>
      </c>
      <c r="AH14" s="145" t="s">
        <v>58</v>
      </c>
      <c r="AI14" s="146" t="s">
        <v>17</v>
      </c>
      <c r="AJ14" s="135">
        <v>132.32</v>
      </c>
      <c r="AK14" s="137">
        <v>1.7689999999999999</v>
      </c>
      <c r="AL14" s="133">
        <v>17.686</v>
      </c>
      <c r="AM14" s="131">
        <v>134.69999999999999</v>
      </c>
      <c r="AN14" s="137">
        <v>1.169</v>
      </c>
      <c r="AO14" s="133">
        <v>11.686999999999999</v>
      </c>
      <c r="AQ14" s="145" t="s">
        <v>58</v>
      </c>
      <c r="AR14" s="146" t="s">
        <v>17</v>
      </c>
      <c r="AS14" s="135">
        <v>134.99</v>
      </c>
      <c r="AT14" s="137">
        <v>1.323</v>
      </c>
      <c r="AU14" s="133">
        <v>13.234</v>
      </c>
      <c r="AV14" s="131">
        <v>135.19999999999999</v>
      </c>
      <c r="AW14" s="137">
        <v>1.4379999999999999</v>
      </c>
      <c r="AX14" s="133">
        <v>14.378</v>
      </c>
      <c r="BQ14" s="162">
        <v>0.20499999999999999</v>
      </c>
      <c r="BR14" s="113">
        <v>92.78</v>
      </c>
      <c r="BS14" s="112">
        <v>0.14199999999999999</v>
      </c>
      <c r="BT14" s="112">
        <v>0.17399999999999999</v>
      </c>
      <c r="BU14" s="113">
        <v>57</v>
      </c>
    </row>
    <row r="15" spans="1:89" ht="17" thickBot="1">
      <c r="F15" s="161" t="s">
        <v>48</v>
      </c>
      <c r="G15" s="111">
        <v>2011</v>
      </c>
      <c r="H15" s="112">
        <v>199.90600000000001</v>
      </c>
      <c r="I15" s="113">
        <v>111.68300000000001</v>
      </c>
      <c r="BQ15" s="162">
        <v>13.234</v>
      </c>
      <c r="BR15" s="113">
        <v>134.99</v>
      </c>
      <c r="BS15" s="112">
        <v>1.323</v>
      </c>
      <c r="BT15" s="112">
        <v>2.2120000000000002</v>
      </c>
      <c r="BU15" s="113">
        <v>101.81</v>
      </c>
    </row>
    <row r="16" spans="1:89" ht="17" thickBot="1">
      <c r="F16" s="161" t="s">
        <v>48</v>
      </c>
      <c r="G16" s="111">
        <v>2012</v>
      </c>
      <c r="H16" s="112">
        <v>5.0309999999999997</v>
      </c>
      <c r="I16" s="113">
        <v>5.8079999999999998</v>
      </c>
    </row>
    <row r="17" spans="6:9" ht="17" thickBot="1">
      <c r="F17" s="161" t="s">
        <v>48</v>
      </c>
      <c r="G17" s="111">
        <v>2013</v>
      </c>
      <c r="H17" s="112">
        <v>8.4960000000000004</v>
      </c>
      <c r="I17" s="113">
        <v>42.057000000000002</v>
      </c>
    </row>
    <row r="18" spans="6:9" ht="17" thickBot="1">
      <c r="F18" s="161" t="s">
        <v>48</v>
      </c>
      <c r="G18" s="111">
        <v>2014</v>
      </c>
      <c r="H18" s="112">
        <v>8.5850000000000009</v>
      </c>
      <c r="I18" s="113">
        <v>57.381999999999998</v>
      </c>
    </row>
    <row r="19" spans="6:9" ht="17" thickBot="1">
      <c r="F19" s="161" t="s">
        <v>49</v>
      </c>
      <c r="G19" s="111">
        <v>2007</v>
      </c>
      <c r="H19" s="112">
        <v>89.492000000000004</v>
      </c>
      <c r="I19" s="113">
        <v>35.421999999999997</v>
      </c>
    </row>
    <row r="20" spans="6:9" ht="17" thickBot="1">
      <c r="F20" s="161" t="s">
        <v>49</v>
      </c>
      <c r="G20" s="111">
        <v>2008</v>
      </c>
      <c r="H20" s="112">
        <v>107.399</v>
      </c>
      <c r="I20" s="113">
        <v>77.706999999999994</v>
      </c>
    </row>
    <row r="21" spans="6:9" ht="17" thickBot="1">
      <c r="F21" s="161" t="s">
        <v>49</v>
      </c>
      <c r="G21" s="111">
        <v>2009</v>
      </c>
      <c r="H21" s="112">
        <v>18.518000000000001</v>
      </c>
      <c r="I21" s="113">
        <v>48.274000000000001</v>
      </c>
    </row>
    <row r="22" spans="6:9" ht="17" thickBot="1">
      <c r="F22" s="161" t="s">
        <v>49</v>
      </c>
      <c r="G22" s="111">
        <v>2010</v>
      </c>
      <c r="H22" s="112">
        <v>416.67599999999999</v>
      </c>
      <c r="I22" s="113">
        <v>309.38099999999997</v>
      </c>
    </row>
    <row r="23" spans="6:9" ht="17" thickBot="1">
      <c r="F23" s="161" t="s">
        <v>49</v>
      </c>
      <c r="G23" s="111">
        <v>2011</v>
      </c>
      <c r="H23" s="112">
        <v>136.10900000000001</v>
      </c>
      <c r="I23" s="113">
        <v>74.915000000000006</v>
      </c>
    </row>
    <row r="24" spans="6:9" ht="17" thickBot="1">
      <c r="F24" s="161" t="s">
        <v>49</v>
      </c>
      <c r="G24" s="111">
        <v>2012</v>
      </c>
      <c r="H24" s="112">
        <v>0.56699999999999995</v>
      </c>
      <c r="I24" s="113">
        <v>12.643000000000001</v>
      </c>
    </row>
    <row r="25" spans="6:9" ht="17" thickBot="1">
      <c r="F25" s="161" t="s">
        <v>49</v>
      </c>
      <c r="G25" s="111">
        <v>2013</v>
      </c>
      <c r="H25" s="112">
        <v>56.622999999999998</v>
      </c>
      <c r="I25" s="113">
        <v>85.760999999999996</v>
      </c>
    </row>
    <row r="26" spans="6:9" ht="17" thickBot="1">
      <c r="F26" s="161" t="s">
        <v>49</v>
      </c>
      <c r="G26" s="111">
        <v>2014</v>
      </c>
      <c r="H26" s="112">
        <v>6.9489999999999998</v>
      </c>
      <c r="I26" s="113">
        <v>102.312</v>
      </c>
    </row>
    <row r="27" spans="6:9" ht="17" thickBot="1">
      <c r="F27" s="161" t="s">
        <v>50</v>
      </c>
      <c r="G27" s="111">
        <v>2007</v>
      </c>
      <c r="H27" s="112">
        <v>211.35300000000001</v>
      </c>
      <c r="I27" s="113">
        <v>77.274000000000001</v>
      </c>
    </row>
    <row r="28" spans="6:9" ht="17" thickBot="1">
      <c r="F28" s="161" t="s">
        <v>50</v>
      </c>
      <c r="G28" s="111">
        <v>2008</v>
      </c>
      <c r="H28" s="112">
        <v>2405.5230000000001</v>
      </c>
      <c r="I28" s="113">
        <v>278.20100000000002</v>
      </c>
    </row>
    <row r="29" spans="6:9" ht="17" thickBot="1">
      <c r="F29" s="161" t="s">
        <v>50</v>
      </c>
      <c r="G29" s="111">
        <v>2009</v>
      </c>
      <c r="H29" s="112">
        <v>334.30200000000002</v>
      </c>
      <c r="I29" s="113">
        <v>154.69999999999999</v>
      </c>
    </row>
    <row r="30" spans="6:9" ht="17" thickBot="1">
      <c r="F30" s="161" t="s">
        <v>50</v>
      </c>
      <c r="G30" s="111">
        <v>2010</v>
      </c>
      <c r="H30" s="112">
        <v>1352.816</v>
      </c>
      <c r="I30" s="113">
        <v>569.74099999999999</v>
      </c>
    </row>
    <row r="31" spans="6:9" ht="17" thickBot="1">
      <c r="F31" s="161" t="s">
        <v>50</v>
      </c>
      <c r="G31" s="111">
        <v>2011</v>
      </c>
      <c r="H31" s="112">
        <v>181.36500000000001</v>
      </c>
      <c r="I31" s="113">
        <v>177.94300000000001</v>
      </c>
    </row>
    <row r="32" spans="6:9" ht="17" thickBot="1">
      <c r="F32" s="161" t="s">
        <v>50</v>
      </c>
      <c r="G32" s="111">
        <v>2012</v>
      </c>
      <c r="H32" s="112">
        <v>106.678</v>
      </c>
      <c r="I32" s="113">
        <v>21.419</v>
      </c>
    </row>
    <row r="33" spans="6:9" ht="17" thickBot="1">
      <c r="F33" s="161" t="s">
        <v>50</v>
      </c>
      <c r="G33" s="111">
        <v>2013</v>
      </c>
      <c r="H33" s="112">
        <v>315.73099999999999</v>
      </c>
      <c r="I33" s="113">
        <v>110.07599999999999</v>
      </c>
    </row>
    <row r="34" spans="6:9" ht="17" thickBot="1">
      <c r="F34" s="161" t="s">
        <v>50</v>
      </c>
      <c r="G34" s="111">
        <v>2014</v>
      </c>
      <c r="H34" s="112">
        <v>59.783000000000001</v>
      </c>
      <c r="I34" s="113">
        <v>162.29900000000001</v>
      </c>
    </row>
    <row r="35" spans="6:9" ht="17" thickBot="1">
      <c r="F35" s="161" t="s">
        <v>51</v>
      </c>
      <c r="G35" s="111">
        <v>2007</v>
      </c>
      <c r="H35" s="112">
        <v>111.071</v>
      </c>
      <c r="I35" s="113">
        <v>81.277000000000001</v>
      </c>
    </row>
    <row r="36" spans="6:9" ht="17" thickBot="1">
      <c r="F36" s="161" t="s">
        <v>51</v>
      </c>
      <c r="G36" s="111">
        <v>2008</v>
      </c>
      <c r="H36" s="112">
        <v>656.851</v>
      </c>
      <c r="I36" s="113">
        <v>143.45599999999999</v>
      </c>
    </row>
    <row r="37" spans="6:9" ht="17" thickBot="1">
      <c r="F37" s="161" t="s">
        <v>51</v>
      </c>
      <c r="G37" s="111">
        <v>2009</v>
      </c>
      <c r="H37" s="112">
        <v>0</v>
      </c>
      <c r="I37" s="113">
        <v>99.278999999999996</v>
      </c>
    </row>
    <row r="38" spans="6:9" ht="17" thickBot="1">
      <c r="F38" s="161" t="s">
        <v>51</v>
      </c>
      <c r="G38" s="111">
        <v>2010</v>
      </c>
      <c r="H38" s="112">
        <v>158.65100000000001</v>
      </c>
      <c r="I38" s="113">
        <v>334.351</v>
      </c>
    </row>
    <row r="39" spans="6:9" ht="17" thickBot="1">
      <c r="F39" s="161" t="s">
        <v>51</v>
      </c>
      <c r="G39" s="111">
        <v>2011</v>
      </c>
      <c r="H39" s="112">
        <v>118.93899999999999</v>
      </c>
      <c r="I39" s="113">
        <v>134.87799999999999</v>
      </c>
    </row>
    <row r="40" spans="6:9" ht="17" thickBot="1">
      <c r="F40" s="161" t="s">
        <v>51</v>
      </c>
      <c r="G40" s="111">
        <v>2012</v>
      </c>
      <c r="H40" s="112">
        <v>71.122</v>
      </c>
      <c r="I40" s="113">
        <v>13.972</v>
      </c>
    </row>
    <row r="41" spans="6:9" ht="17" thickBot="1">
      <c r="F41" s="161" t="s">
        <v>51</v>
      </c>
      <c r="G41" s="111">
        <v>2013</v>
      </c>
      <c r="H41" s="112">
        <v>13.195</v>
      </c>
      <c r="I41" s="113">
        <v>50.151000000000003</v>
      </c>
    </row>
    <row r="42" spans="6:9" ht="17" thickBot="1">
      <c r="F42" s="161" t="s">
        <v>51</v>
      </c>
      <c r="G42" s="111">
        <v>2014</v>
      </c>
      <c r="H42" s="112">
        <v>23.257999999999999</v>
      </c>
      <c r="I42" s="113">
        <v>69.227999999999994</v>
      </c>
    </row>
    <row r="43" spans="6:9" ht="17" thickBot="1">
      <c r="F43" s="161" t="s">
        <v>52</v>
      </c>
      <c r="G43" s="111">
        <v>2007</v>
      </c>
      <c r="H43" s="112">
        <v>139.65899999999999</v>
      </c>
      <c r="I43" s="113">
        <v>80.171000000000006</v>
      </c>
    </row>
    <row r="44" spans="6:9" ht="17" thickBot="1">
      <c r="F44" s="161" t="s">
        <v>52</v>
      </c>
      <c r="G44" s="111">
        <v>2008</v>
      </c>
      <c r="H44" s="112">
        <v>24702.517</v>
      </c>
      <c r="I44" s="113">
        <v>302.02600000000001</v>
      </c>
    </row>
    <row r="45" spans="6:9" ht="17" thickBot="1">
      <c r="F45" s="161" t="s">
        <v>52</v>
      </c>
      <c r="G45" s="111">
        <v>2009</v>
      </c>
      <c r="H45" s="112">
        <v>2730.951</v>
      </c>
      <c r="I45" s="113">
        <v>187.00399999999999</v>
      </c>
    </row>
    <row r="46" spans="6:9" ht="17" thickBot="1">
      <c r="F46" s="161" t="s">
        <v>52</v>
      </c>
      <c r="G46" s="111">
        <v>2010</v>
      </c>
      <c r="H46" s="112">
        <v>14472.073</v>
      </c>
      <c r="I46" s="113">
        <v>714.524</v>
      </c>
    </row>
    <row r="47" spans="6:9" ht="17" thickBot="1">
      <c r="F47" s="161" t="s">
        <v>52</v>
      </c>
      <c r="G47" s="111">
        <v>2011</v>
      </c>
      <c r="H47" s="112">
        <v>1242.2080000000001</v>
      </c>
      <c r="I47" s="113">
        <v>262.79199999999997</v>
      </c>
    </row>
    <row r="48" spans="6:9" ht="17" thickBot="1">
      <c r="F48" s="161" t="s">
        <v>52</v>
      </c>
      <c r="G48" s="111">
        <v>2012</v>
      </c>
      <c r="H48" s="112">
        <v>1790.251</v>
      </c>
      <c r="I48" s="113">
        <v>44.872999999999998</v>
      </c>
    </row>
    <row r="49" spans="6:9" ht="17" thickBot="1">
      <c r="F49" s="161" t="s">
        <v>52</v>
      </c>
      <c r="G49" s="111">
        <v>2013</v>
      </c>
      <c r="H49" s="112">
        <v>6951.0039999999999</v>
      </c>
      <c r="I49" s="113">
        <v>233.62100000000001</v>
      </c>
    </row>
    <row r="50" spans="6:9" ht="17" thickBot="1">
      <c r="F50" s="161" t="s">
        <v>52</v>
      </c>
      <c r="G50" s="111">
        <v>2014</v>
      </c>
      <c r="H50" s="112">
        <v>603.42499999999995</v>
      </c>
      <c r="I50" s="113">
        <v>141.89099999999999</v>
      </c>
    </row>
    <row r="51" spans="6:9" ht="17" thickBot="1">
      <c r="F51" s="161" t="s">
        <v>53</v>
      </c>
      <c r="G51" s="111">
        <v>2007</v>
      </c>
      <c r="H51" s="112">
        <v>4.3150000000000004</v>
      </c>
      <c r="I51" s="113">
        <v>9.6920000000000002</v>
      </c>
    </row>
    <row r="52" spans="6:9" ht="17" thickBot="1">
      <c r="F52" s="161" t="s">
        <v>53</v>
      </c>
      <c r="G52" s="111">
        <v>2008</v>
      </c>
      <c r="H52" s="112">
        <v>1015.255</v>
      </c>
      <c r="I52" s="113">
        <v>66.971000000000004</v>
      </c>
    </row>
    <row r="53" spans="6:9" ht="17" thickBot="1">
      <c r="F53" s="161" t="s">
        <v>53</v>
      </c>
      <c r="G53" s="111">
        <v>2009</v>
      </c>
      <c r="H53" s="112">
        <v>52.466999999999999</v>
      </c>
      <c r="I53" s="113">
        <v>36.170999999999999</v>
      </c>
    </row>
    <row r="54" spans="6:9" ht="17" thickBot="1">
      <c r="F54" s="161" t="s">
        <v>53</v>
      </c>
      <c r="G54" s="111">
        <v>2010</v>
      </c>
      <c r="H54" s="112">
        <v>445.61599999999999</v>
      </c>
      <c r="I54" s="113">
        <v>178.28200000000001</v>
      </c>
    </row>
    <row r="55" spans="6:9" ht="17" thickBot="1">
      <c r="F55" s="161" t="s">
        <v>53</v>
      </c>
      <c r="G55" s="111">
        <v>2011</v>
      </c>
      <c r="H55" s="112">
        <v>1142.191</v>
      </c>
      <c r="I55" s="113">
        <v>95.177999999999997</v>
      </c>
    </row>
    <row r="56" spans="6:9" ht="17" thickBot="1">
      <c r="F56" s="161" t="s">
        <v>53</v>
      </c>
      <c r="G56" s="111">
        <v>2012</v>
      </c>
      <c r="H56" s="112">
        <v>7.577</v>
      </c>
      <c r="I56" s="113">
        <v>4.609</v>
      </c>
    </row>
    <row r="57" spans="6:9" ht="17" thickBot="1">
      <c r="F57" s="161" t="s">
        <v>53</v>
      </c>
      <c r="G57" s="111">
        <v>2013</v>
      </c>
      <c r="H57" s="112">
        <v>148.94200000000001</v>
      </c>
      <c r="I57" s="113">
        <v>52.279000000000003</v>
      </c>
    </row>
    <row r="58" spans="6:9" ht="17" thickBot="1">
      <c r="F58" s="161" t="s">
        <v>53</v>
      </c>
      <c r="G58" s="111">
        <v>2014</v>
      </c>
      <c r="H58" s="112">
        <v>1.982</v>
      </c>
      <c r="I58" s="113">
        <v>53.417999999999999</v>
      </c>
    </row>
    <row r="59" spans="6:9" ht="17" thickBot="1">
      <c r="F59" s="161" t="s">
        <v>54</v>
      </c>
      <c r="G59" s="111">
        <v>2007</v>
      </c>
      <c r="H59" s="112">
        <v>9.3819999999999997</v>
      </c>
      <c r="I59" s="113">
        <v>10.065</v>
      </c>
    </row>
    <row r="60" spans="6:9" ht="17" thickBot="1">
      <c r="F60" s="161" t="s">
        <v>54</v>
      </c>
      <c r="G60" s="111">
        <v>2008</v>
      </c>
      <c r="H60" s="112">
        <v>1228.127</v>
      </c>
      <c r="I60" s="113">
        <v>82.706000000000003</v>
      </c>
    </row>
    <row r="61" spans="6:9" ht="17" thickBot="1">
      <c r="F61" s="161" t="s">
        <v>54</v>
      </c>
      <c r="G61" s="111">
        <v>2009</v>
      </c>
      <c r="H61" s="112">
        <v>165.202</v>
      </c>
      <c r="I61" s="113">
        <v>63.737000000000002</v>
      </c>
    </row>
    <row r="62" spans="6:9" ht="17" thickBot="1">
      <c r="F62" s="161" t="s">
        <v>54</v>
      </c>
      <c r="G62" s="111">
        <v>2010</v>
      </c>
      <c r="H62" s="112">
        <v>228.87799999999999</v>
      </c>
      <c r="I62" s="113">
        <v>219.93</v>
      </c>
    </row>
    <row r="63" spans="6:9" ht="17" thickBot="1">
      <c r="F63" s="161" t="s">
        <v>54</v>
      </c>
      <c r="G63" s="111">
        <v>2011</v>
      </c>
      <c r="H63" s="112">
        <v>1143.278</v>
      </c>
      <c r="I63" s="113">
        <v>89.721999999999994</v>
      </c>
    </row>
    <row r="64" spans="6:9" ht="17" thickBot="1">
      <c r="F64" s="161" t="s">
        <v>54</v>
      </c>
      <c r="G64" s="111">
        <v>2012</v>
      </c>
      <c r="H64" s="112">
        <v>51.850999999999999</v>
      </c>
      <c r="I64" s="113">
        <v>6.2519999999999998</v>
      </c>
    </row>
    <row r="65" spans="6:9" ht="17" thickBot="1">
      <c r="F65" s="161" t="s">
        <v>54</v>
      </c>
      <c r="G65" s="111">
        <v>2013</v>
      </c>
      <c r="H65" s="112">
        <v>44.76</v>
      </c>
      <c r="I65" s="113">
        <v>54.473999999999997</v>
      </c>
    </row>
    <row r="66" spans="6:9" ht="17" thickBot="1">
      <c r="F66" s="161" t="s">
        <v>54</v>
      </c>
      <c r="G66" s="111">
        <v>2014</v>
      </c>
      <c r="H66" s="112">
        <v>1.4630000000000001</v>
      </c>
      <c r="I66" s="113">
        <v>34.750999999999998</v>
      </c>
    </row>
    <row r="67" spans="6:9" ht="17" thickBot="1">
      <c r="F67" s="161" t="s">
        <v>55</v>
      </c>
      <c r="G67" s="111">
        <v>2007</v>
      </c>
      <c r="H67" s="112">
        <v>25.588999999999999</v>
      </c>
      <c r="I67" s="113">
        <v>32.213000000000001</v>
      </c>
    </row>
    <row r="68" spans="6:9" ht="17" thickBot="1">
      <c r="F68" s="161" t="s">
        <v>55</v>
      </c>
      <c r="G68" s="111">
        <v>2008</v>
      </c>
      <c r="H68" s="112">
        <v>38920.966999999997</v>
      </c>
      <c r="I68" s="113">
        <v>206.38900000000001</v>
      </c>
    </row>
    <row r="69" spans="6:9" ht="17" thickBot="1">
      <c r="F69" s="161" t="s">
        <v>55</v>
      </c>
      <c r="G69" s="111">
        <v>2009</v>
      </c>
      <c r="H69" s="112">
        <v>5764.3630000000003</v>
      </c>
      <c r="I69" s="113">
        <v>148.00700000000001</v>
      </c>
    </row>
    <row r="70" spans="6:9" ht="17" thickBot="1">
      <c r="F70" s="161" t="s">
        <v>55</v>
      </c>
      <c r="G70" s="111">
        <v>2010</v>
      </c>
      <c r="H70" s="112">
        <v>7894.9309999999996</v>
      </c>
      <c r="I70" s="113">
        <v>410.64100000000002</v>
      </c>
    </row>
    <row r="71" spans="6:9" ht="17" thickBot="1">
      <c r="F71" s="161" t="s">
        <v>55</v>
      </c>
      <c r="G71" s="111">
        <v>2011</v>
      </c>
      <c r="H71" s="112">
        <v>861.38400000000001</v>
      </c>
      <c r="I71" s="113">
        <v>161.405</v>
      </c>
    </row>
    <row r="72" spans="6:9" ht="17" thickBot="1">
      <c r="F72" s="161" t="s">
        <v>55</v>
      </c>
      <c r="G72" s="111">
        <v>2012</v>
      </c>
      <c r="H72" s="112">
        <v>1626.992</v>
      </c>
      <c r="I72" s="113">
        <v>41.54</v>
      </c>
    </row>
    <row r="73" spans="6:9" ht="17" thickBot="1">
      <c r="F73" s="161" t="s">
        <v>55</v>
      </c>
      <c r="G73" s="111">
        <v>2013</v>
      </c>
      <c r="H73" s="112">
        <v>2676.0659999999998</v>
      </c>
      <c r="I73" s="113">
        <v>129.655</v>
      </c>
    </row>
    <row r="74" spans="6:9" ht="17" thickBot="1">
      <c r="F74" s="161" t="s">
        <v>55</v>
      </c>
      <c r="G74" s="111">
        <v>2014</v>
      </c>
      <c r="H74" s="112">
        <v>581.74300000000005</v>
      </c>
      <c r="I74" s="113">
        <v>152.535</v>
      </c>
    </row>
    <row r="75" spans="6:9" ht="17" thickBot="1">
      <c r="F75" s="161" t="s">
        <v>56</v>
      </c>
      <c r="G75" s="111">
        <v>2007</v>
      </c>
      <c r="H75" s="112">
        <v>0</v>
      </c>
      <c r="I75" s="113">
        <v>1.3320000000000001</v>
      </c>
    </row>
    <row r="76" spans="6:9" ht="17" thickBot="1">
      <c r="F76" s="161" t="s">
        <v>56</v>
      </c>
      <c r="G76" s="111">
        <v>2008</v>
      </c>
      <c r="H76" s="112">
        <v>735.59699999999998</v>
      </c>
      <c r="I76" s="113">
        <v>78.08</v>
      </c>
    </row>
    <row r="77" spans="6:9" ht="17" thickBot="1">
      <c r="F77" s="161" t="s">
        <v>56</v>
      </c>
      <c r="G77" s="111">
        <v>2009</v>
      </c>
      <c r="H77" s="112">
        <v>27.45</v>
      </c>
      <c r="I77" s="113">
        <v>23.009</v>
      </c>
    </row>
    <row r="78" spans="6:9" ht="17" thickBot="1">
      <c r="F78" s="161" t="s">
        <v>56</v>
      </c>
      <c r="G78" s="111">
        <v>2010</v>
      </c>
      <c r="H78" s="112">
        <v>0</v>
      </c>
      <c r="I78" s="113">
        <v>75.888000000000005</v>
      </c>
    </row>
    <row r="79" spans="6:9" ht="17" thickBot="1">
      <c r="F79" s="161" t="s">
        <v>56</v>
      </c>
      <c r="G79" s="111">
        <v>2011</v>
      </c>
      <c r="H79" s="112">
        <v>252.05099999999999</v>
      </c>
      <c r="I79" s="113">
        <v>77.569999999999993</v>
      </c>
    </row>
    <row r="80" spans="6:9" ht="17" thickBot="1">
      <c r="F80" s="161" t="s">
        <v>56</v>
      </c>
      <c r="G80" s="111">
        <v>2012</v>
      </c>
      <c r="H80" s="112">
        <v>35.738</v>
      </c>
      <c r="I80" s="113">
        <v>6.2130000000000001</v>
      </c>
    </row>
    <row r="81" spans="6:9" ht="17" thickBot="1">
      <c r="F81" s="161" t="s">
        <v>56</v>
      </c>
      <c r="G81" s="111">
        <v>2013</v>
      </c>
      <c r="H81" s="112">
        <v>138.15899999999999</v>
      </c>
      <c r="I81" s="113">
        <v>78</v>
      </c>
    </row>
    <row r="82" spans="6:9" ht="17" thickBot="1">
      <c r="F82" s="161" t="s">
        <v>56</v>
      </c>
      <c r="G82" s="111">
        <v>2014</v>
      </c>
      <c r="H82" s="112">
        <v>25.96</v>
      </c>
      <c r="I82" s="113">
        <v>72.918999999999997</v>
      </c>
    </row>
    <row r="83" spans="6:9" ht="17" thickBot="1">
      <c r="F83" s="161" t="s">
        <v>57</v>
      </c>
      <c r="G83" s="111">
        <v>2007</v>
      </c>
      <c r="H83" s="112">
        <v>0</v>
      </c>
      <c r="I83" s="113">
        <v>11.007</v>
      </c>
    </row>
    <row r="84" spans="6:9" ht="17" thickBot="1">
      <c r="F84" s="161" t="s">
        <v>57</v>
      </c>
      <c r="G84" s="111">
        <v>2008</v>
      </c>
      <c r="H84" s="112">
        <v>713.71299999999997</v>
      </c>
      <c r="I84" s="113">
        <v>66.7</v>
      </c>
    </row>
    <row r="85" spans="6:9" ht="17" thickBot="1">
      <c r="F85" s="161" t="s">
        <v>57</v>
      </c>
      <c r="G85" s="111">
        <v>2009</v>
      </c>
      <c r="H85" s="112">
        <v>57.207000000000001</v>
      </c>
      <c r="I85" s="113">
        <v>19.405999999999999</v>
      </c>
    </row>
    <row r="86" spans="6:9" ht="17" thickBot="1">
      <c r="F86" s="161" t="s">
        <v>57</v>
      </c>
      <c r="G86" s="111">
        <v>2010</v>
      </c>
      <c r="H86" s="112">
        <v>212.14400000000001</v>
      </c>
      <c r="I86" s="113">
        <v>198.36</v>
      </c>
    </row>
    <row r="87" spans="6:9" ht="17" thickBot="1">
      <c r="F87" s="161" t="s">
        <v>57</v>
      </c>
      <c r="G87" s="111">
        <v>2011</v>
      </c>
      <c r="H87" s="112">
        <v>314.64600000000002</v>
      </c>
      <c r="I87" s="113">
        <v>85.292000000000002</v>
      </c>
    </row>
    <row r="88" spans="6:9" ht="17" thickBot="1">
      <c r="F88" s="161" t="s">
        <v>57</v>
      </c>
      <c r="G88" s="111">
        <v>2012</v>
      </c>
      <c r="H88" s="112">
        <v>0.36199999999999999</v>
      </c>
      <c r="I88" s="113">
        <v>1.512</v>
      </c>
    </row>
    <row r="89" spans="6:9" ht="17" thickBot="1">
      <c r="F89" s="161" t="s">
        <v>57</v>
      </c>
      <c r="G89" s="111">
        <v>2013</v>
      </c>
      <c r="H89" s="112">
        <v>89.694999999999993</v>
      </c>
      <c r="I89" s="113">
        <v>48.116</v>
      </c>
    </row>
    <row r="90" spans="6:9" ht="17" thickBot="1">
      <c r="F90" s="161" t="s">
        <v>57</v>
      </c>
      <c r="G90" s="111">
        <v>2014</v>
      </c>
      <c r="H90" s="112">
        <v>1.758</v>
      </c>
      <c r="I90" s="113">
        <v>25.609000000000002</v>
      </c>
    </row>
    <row r="91" spans="6:9" ht="17" thickBot="1">
      <c r="F91" s="161" t="s">
        <v>58</v>
      </c>
      <c r="G91" s="111">
        <v>2007</v>
      </c>
      <c r="H91" s="112">
        <v>0</v>
      </c>
      <c r="I91" s="113">
        <v>5</v>
      </c>
    </row>
    <row r="92" spans="6:9" ht="17" thickBot="1">
      <c r="F92" s="161" t="s">
        <v>58</v>
      </c>
      <c r="G92" s="111">
        <v>2008</v>
      </c>
      <c r="H92" s="112">
        <v>8156.098</v>
      </c>
      <c r="I92" s="113">
        <v>71.12</v>
      </c>
    </row>
    <row r="93" spans="6:9" ht="17" thickBot="1">
      <c r="F93" s="161" t="s">
        <v>58</v>
      </c>
      <c r="G93" s="111">
        <v>2009</v>
      </c>
      <c r="H93" s="112">
        <v>347.16699999999997</v>
      </c>
      <c r="I93" s="113">
        <v>51.988999999999997</v>
      </c>
    </row>
    <row r="94" spans="6:9" ht="17" thickBot="1">
      <c r="F94" s="161" t="s">
        <v>58</v>
      </c>
      <c r="G94" s="111">
        <v>2010</v>
      </c>
      <c r="H94" s="112">
        <v>5470.8620000000001</v>
      </c>
      <c r="I94" s="113">
        <v>308.29599999999999</v>
      </c>
    </row>
    <row r="95" spans="6:9" ht="17" thickBot="1">
      <c r="F95" s="161" t="s">
        <v>58</v>
      </c>
      <c r="G95" s="111">
        <v>2011</v>
      </c>
      <c r="H95" s="112">
        <v>1868.9739999999999</v>
      </c>
      <c r="I95" s="113">
        <v>101.76900000000001</v>
      </c>
    </row>
    <row r="96" spans="6:9" ht="17" thickBot="1">
      <c r="F96" s="161" t="s">
        <v>58</v>
      </c>
      <c r="G96" s="111">
        <v>2012</v>
      </c>
      <c r="H96" s="112">
        <v>117.883</v>
      </c>
      <c r="I96" s="113">
        <v>4.0090000000000003</v>
      </c>
    </row>
    <row r="97" spans="6:9" ht="17" thickBot="1">
      <c r="F97" s="161" t="s">
        <v>58</v>
      </c>
      <c r="G97" s="111">
        <v>2013</v>
      </c>
      <c r="H97" s="112">
        <v>1698.8230000000001</v>
      </c>
      <c r="I97" s="113">
        <v>238.70599999999999</v>
      </c>
    </row>
    <row r="98" spans="6:9" ht="17" thickBot="1">
      <c r="F98" s="161" t="s">
        <v>58</v>
      </c>
      <c r="G98" s="111">
        <v>2014</v>
      </c>
      <c r="H98" s="112">
        <v>39.927</v>
      </c>
      <c r="I98" s="113">
        <v>33.627000000000002</v>
      </c>
    </row>
  </sheetData>
  <mergeCells count="16">
    <mergeCell ref="W2:W3"/>
    <mergeCell ref="X2:Z3"/>
    <mergeCell ref="AA2:AC2"/>
    <mergeCell ref="AD2:AF3"/>
    <mergeCell ref="BQ2:BQ3"/>
    <mergeCell ref="BS2:BS3"/>
    <mergeCell ref="BT2:BT3"/>
    <mergeCell ref="AA3:AC3"/>
    <mergeCell ref="AJ1:AL1"/>
    <mergeCell ref="AM1:AO1"/>
    <mergeCell ref="AS1:AU1"/>
    <mergeCell ref="AV1:AX1"/>
    <mergeCell ref="BA1:BC1"/>
    <mergeCell ref="BD1:BF1"/>
    <mergeCell ref="BG1:BI1"/>
    <mergeCell ref="BR2:BR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16A3-F5FD-0549-8425-D591B29A721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D5C4-0565-DB45-9623-B6A95661F9D1}">
  <sheetPr filterMode="1"/>
  <dimension ref="A1:K109"/>
  <sheetViews>
    <sheetView workbookViewId="0">
      <selection activeCell="D2" sqref="D2"/>
    </sheetView>
  </sheetViews>
  <sheetFormatPr baseColWidth="10" defaultRowHeight="16"/>
  <cols>
    <col min="3" max="3" width="25.83203125" bestFit="1" customWidth="1"/>
    <col min="4" max="4" width="25.83203125" customWidth="1"/>
    <col min="5" max="5" width="16.83203125" customWidth="1"/>
    <col min="6" max="6" width="22.6640625" customWidth="1"/>
    <col min="7" max="8" width="11" customWidth="1"/>
    <col min="9" max="9" width="11.6640625" bestFit="1" customWidth="1"/>
    <col min="10" max="10" width="11" bestFit="1" customWidth="1"/>
    <col min="12" max="12" width="11.6640625" bestFit="1" customWidth="1"/>
  </cols>
  <sheetData>
    <row r="1" spans="1:11">
      <c r="A1" t="s">
        <v>93</v>
      </c>
      <c r="B1" t="s">
        <v>94</v>
      </c>
      <c r="C1" t="s">
        <v>256</v>
      </c>
      <c r="D1" t="s">
        <v>257</v>
      </c>
      <c r="E1" t="s">
        <v>254</v>
      </c>
      <c r="F1" t="s">
        <v>255</v>
      </c>
      <c r="G1" t="s">
        <v>95</v>
      </c>
      <c r="H1" t="s">
        <v>96</v>
      </c>
      <c r="J1" t="s">
        <v>254</v>
      </c>
      <c r="K1" t="s">
        <v>93</v>
      </c>
    </row>
    <row r="2" spans="1:11">
      <c r="A2" t="s">
        <v>75</v>
      </c>
      <c r="B2">
        <v>2007</v>
      </c>
      <c r="C2">
        <v>63.173511779999998</v>
      </c>
      <c r="D2">
        <v>39.370146823049517</v>
      </c>
      <c r="E2">
        <f>AVERAGE(C2:C10)</f>
        <v>76.649769161250006</v>
      </c>
      <c r="F2">
        <f>AVERAGE(D2:D10)</f>
        <v>95.875399978856393</v>
      </c>
      <c r="G2">
        <f>STDEV(C2:C9)</f>
        <v>67.201950230405885</v>
      </c>
      <c r="H2">
        <f>STDEV(D2:D10)</f>
        <v>110.10072367451991</v>
      </c>
      <c r="J2">
        <v>76.649769161250006</v>
      </c>
      <c r="K2" t="s">
        <v>75</v>
      </c>
    </row>
    <row r="3" spans="1:11">
      <c r="A3" t="s">
        <v>75</v>
      </c>
      <c r="B3">
        <v>2008</v>
      </c>
      <c r="C3">
        <v>22.596913860000001</v>
      </c>
      <c r="D3">
        <v>9.8323516180354407</v>
      </c>
      <c r="J3">
        <v>147.26353546175002</v>
      </c>
      <c r="K3" t="s">
        <v>79</v>
      </c>
    </row>
    <row r="4" spans="1:11">
      <c r="A4" t="s">
        <v>75</v>
      </c>
      <c r="B4">
        <v>2009</v>
      </c>
      <c r="C4">
        <v>73.804622300000005</v>
      </c>
      <c r="D4">
        <v>73.204260546682363</v>
      </c>
      <c r="J4">
        <v>93.301888823749991</v>
      </c>
      <c r="K4" t="s">
        <v>80</v>
      </c>
    </row>
    <row r="5" spans="1:11">
      <c r="A5" t="s">
        <v>75</v>
      </c>
      <c r="B5">
        <v>2010</v>
      </c>
      <c r="C5">
        <v>232.22898860000001</v>
      </c>
      <c r="D5">
        <v>361.54892996179922</v>
      </c>
      <c r="J5">
        <v>193.95679718874999</v>
      </c>
      <c r="K5" t="s">
        <v>81</v>
      </c>
    </row>
    <row r="6" spans="1:11">
      <c r="A6" t="s">
        <v>75</v>
      </c>
      <c r="B6">
        <v>2011</v>
      </c>
      <c r="C6">
        <v>94.712360559999993</v>
      </c>
      <c r="D6">
        <v>142.31637776682464</v>
      </c>
      <c r="J6">
        <v>115.82392241375</v>
      </c>
      <c r="K6" t="s">
        <v>82</v>
      </c>
    </row>
    <row r="7" spans="1:11">
      <c r="A7" t="s">
        <v>75</v>
      </c>
      <c r="B7">
        <v>2012</v>
      </c>
      <c r="C7">
        <v>26.775788309999999</v>
      </c>
      <c r="D7">
        <v>79.391327037201293</v>
      </c>
      <c r="J7">
        <v>245.86282503625</v>
      </c>
      <c r="K7" t="s">
        <v>83</v>
      </c>
    </row>
    <row r="8" spans="1:11">
      <c r="A8" t="s">
        <v>75</v>
      </c>
      <c r="B8">
        <v>2013</v>
      </c>
      <c r="C8">
        <v>55.305454679999997</v>
      </c>
      <c r="D8">
        <v>32.833386449757981</v>
      </c>
      <c r="J8">
        <v>62.075048986249996</v>
      </c>
      <c r="K8" t="s">
        <v>84</v>
      </c>
    </row>
    <row r="9" spans="1:11">
      <c r="A9" t="s">
        <v>75</v>
      </c>
      <c r="B9">
        <v>2014</v>
      </c>
      <c r="C9">
        <v>44.600513200000002</v>
      </c>
      <c r="D9">
        <v>4.69036362400412</v>
      </c>
      <c r="J9">
        <v>70.204591839374999</v>
      </c>
      <c r="K9" t="s">
        <v>85</v>
      </c>
    </row>
    <row r="10" spans="1:11" hidden="1">
      <c r="A10" t="s">
        <v>75</v>
      </c>
      <c r="B10">
        <v>2015</v>
      </c>
      <c r="C10" s="5"/>
      <c r="D10">
        <v>119.69145598235286</v>
      </c>
      <c r="J10">
        <v>160.29824898625</v>
      </c>
      <c r="K10" t="s">
        <v>86</v>
      </c>
    </row>
    <row r="11" spans="1:11">
      <c r="A11" t="s">
        <v>79</v>
      </c>
      <c r="B11">
        <v>2007</v>
      </c>
      <c r="C11">
        <v>6.9003851950000001</v>
      </c>
      <c r="D11">
        <v>2.9370296064035119E-4</v>
      </c>
      <c r="E11">
        <f>AVERAGE(C11:C19)</f>
        <v>147.26353546175002</v>
      </c>
      <c r="F11">
        <f>AVERAGE(D11:D19)</f>
        <v>241.54961914468666</v>
      </c>
      <c r="G11">
        <f>STDEV(C11:C18)</f>
        <v>168.8937193912721</v>
      </c>
      <c r="H11">
        <f>STDEV(D11:D19)</f>
        <v>413.10363154916303</v>
      </c>
      <c r="J11">
        <v>51.626432230124998</v>
      </c>
      <c r="K11" t="s">
        <v>87</v>
      </c>
    </row>
    <row r="12" spans="1:11">
      <c r="A12" t="s">
        <v>79</v>
      </c>
      <c r="B12">
        <v>2008</v>
      </c>
      <c r="C12">
        <v>323.74844760000002</v>
      </c>
      <c r="D12">
        <v>1289.3422835143012</v>
      </c>
      <c r="J12">
        <v>57.000212849374996</v>
      </c>
      <c r="K12" t="s">
        <v>88</v>
      </c>
    </row>
    <row r="13" spans="1:11">
      <c r="A13" t="s">
        <v>79</v>
      </c>
      <c r="B13">
        <v>2009</v>
      </c>
      <c r="C13">
        <v>154.0879879</v>
      </c>
      <c r="D13">
        <v>154.54007913899022</v>
      </c>
      <c r="J13">
        <v>101.81445999924999</v>
      </c>
      <c r="K13" t="s">
        <v>89</v>
      </c>
    </row>
    <row r="14" spans="1:11">
      <c r="A14" t="s">
        <v>79</v>
      </c>
      <c r="B14">
        <v>2010</v>
      </c>
      <c r="C14">
        <v>476.44080450000001</v>
      </c>
      <c r="D14">
        <v>386.07968756559001</v>
      </c>
      <c r="K14" t="s">
        <v>75</v>
      </c>
    </row>
    <row r="15" spans="1:11">
      <c r="A15" t="s">
        <v>79</v>
      </c>
      <c r="B15">
        <v>2011</v>
      </c>
      <c r="C15">
        <v>111.6832033</v>
      </c>
      <c r="D15">
        <v>199.90554757125017</v>
      </c>
      <c r="K15" t="s">
        <v>75</v>
      </c>
    </row>
    <row r="16" spans="1:11">
      <c r="A16" t="s">
        <v>79</v>
      </c>
      <c r="B16">
        <v>2012</v>
      </c>
      <c r="C16">
        <v>5.8081888289999997</v>
      </c>
      <c r="D16">
        <v>5.0311113935041547</v>
      </c>
      <c r="K16" t="s">
        <v>75</v>
      </c>
    </row>
    <row r="17" spans="1:11">
      <c r="A17" t="s">
        <v>79</v>
      </c>
      <c r="B17">
        <v>2013</v>
      </c>
      <c r="C17">
        <v>42.056979910000003</v>
      </c>
      <c r="D17">
        <v>8.4964211422057829</v>
      </c>
      <c r="K17" t="s">
        <v>75</v>
      </c>
    </row>
    <row r="18" spans="1:11">
      <c r="A18" t="s">
        <v>79</v>
      </c>
      <c r="B18">
        <v>2014</v>
      </c>
      <c r="C18">
        <v>57.382286460000003</v>
      </c>
      <c r="D18">
        <v>8.5850363778872509</v>
      </c>
      <c r="K18" t="s">
        <v>75</v>
      </c>
    </row>
    <row r="19" spans="1:11" hidden="1">
      <c r="A19" t="s">
        <v>79</v>
      </c>
      <c r="B19">
        <v>2015</v>
      </c>
      <c r="C19" s="5"/>
      <c r="D19">
        <v>121.96611189549043</v>
      </c>
      <c r="K19" t="s">
        <v>75</v>
      </c>
    </row>
    <row r="20" spans="1:11">
      <c r="A20" t="s">
        <v>80</v>
      </c>
      <c r="B20">
        <v>2007</v>
      </c>
      <c r="C20">
        <v>35.421668879999999</v>
      </c>
      <c r="D20">
        <v>89.492206199714246</v>
      </c>
      <c r="E20">
        <f>AVERAGE(C20:C28)</f>
        <v>93.301888823749991</v>
      </c>
      <c r="F20">
        <f>AVERAGE(D20:D28)</f>
        <v>121.05243057145582</v>
      </c>
      <c r="G20">
        <f>STDEV(C20:C27)</f>
        <v>92.034875824924697</v>
      </c>
      <c r="H20">
        <f>STDEV(D20:D28)</f>
        <v>136.71261879510431</v>
      </c>
      <c r="K20" t="s">
        <v>75</v>
      </c>
    </row>
    <row r="21" spans="1:11">
      <c r="A21" t="s">
        <v>80</v>
      </c>
      <c r="B21">
        <v>2008</v>
      </c>
      <c r="C21">
        <v>77.706859510000001</v>
      </c>
      <c r="D21">
        <v>107.39885448877961</v>
      </c>
      <c r="K21" t="s">
        <v>75</v>
      </c>
    </row>
    <row r="22" spans="1:11">
      <c r="A22" t="s">
        <v>80</v>
      </c>
      <c r="B22">
        <v>2009</v>
      </c>
      <c r="C22">
        <v>48.273914929999997</v>
      </c>
      <c r="D22">
        <v>18.518142273180292</v>
      </c>
      <c r="K22" t="s">
        <v>79</v>
      </c>
    </row>
    <row r="23" spans="1:11">
      <c r="A23" t="s">
        <v>80</v>
      </c>
      <c r="B23">
        <v>2010</v>
      </c>
      <c r="C23">
        <v>309.38093609999999</v>
      </c>
      <c r="D23">
        <v>416.67592573804262</v>
      </c>
      <c r="K23" t="s">
        <v>79</v>
      </c>
    </row>
    <row r="24" spans="1:11">
      <c r="A24" t="s">
        <v>80</v>
      </c>
      <c r="B24">
        <v>2011</v>
      </c>
      <c r="C24">
        <v>74.914931559999999</v>
      </c>
      <c r="D24">
        <v>136.1087674368847</v>
      </c>
      <c r="K24" t="s">
        <v>79</v>
      </c>
    </row>
    <row r="25" spans="1:11">
      <c r="A25" t="s">
        <v>80</v>
      </c>
      <c r="B25">
        <v>2012</v>
      </c>
      <c r="C25">
        <v>12.643386189999999</v>
      </c>
      <c r="D25">
        <v>0.56704931746467635</v>
      </c>
      <c r="K25" t="s">
        <v>79</v>
      </c>
    </row>
    <row r="26" spans="1:11">
      <c r="A26" t="s">
        <v>80</v>
      </c>
      <c r="B26">
        <v>2013</v>
      </c>
      <c r="C26">
        <v>85.760943519999998</v>
      </c>
      <c r="D26">
        <v>56.623109838772002</v>
      </c>
      <c r="K26" t="s">
        <v>79</v>
      </c>
    </row>
    <row r="27" spans="1:11">
      <c r="A27" t="s">
        <v>80</v>
      </c>
      <c r="B27">
        <v>2014</v>
      </c>
      <c r="C27">
        <v>102.3124699</v>
      </c>
      <c r="D27">
        <v>6.9488679642762214</v>
      </c>
      <c r="K27" t="s">
        <v>79</v>
      </c>
    </row>
    <row r="28" spans="1:11" hidden="1">
      <c r="A28" t="s">
        <v>80</v>
      </c>
      <c r="B28">
        <v>2015</v>
      </c>
      <c r="C28" s="5"/>
      <c r="D28">
        <v>257.13895188598792</v>
      </c>
      <c r="K28" t="s">
        <v>79</v>
      </c>
    </row>
    <row r="29" spans="1:11">
      <c r="A29" t="s">
        <v>81</v>
      </c>
      <c r="B29">
        <v>2007</v>
      </c>
      <c r="C29">
        <v>77.274049610000006</v>
      </c>
      <c r="D29">
        <v>211.35271653615791</v>
      </c>
      <c r="E29">
        <f>AVERAGE(C29:C37)</f>
        <v>193.95679718874999</v>
      </c>
      <c r="F29">
        <f>AVERAGE(D29:D37)</f>
        <v>572.99180194041969</v>
      </c>
      <c r="G29">
        <f>STDEV(C29:C36)</f>
        <v>169.67652691778727</v>
      </c>
      <c r="H29">
        <f>STDEV(D29:D37)</f>
        <v>790.69588254827556</v>
      </c>
      <c r="K29" t="s">
        <v>79</v>
      </c>
    </row>
    <row r="30" spans="1:11">
      <c r="A30" t="s">
        <v>81</v>
      </c>
      <c r="B30">
        <v>2008</v>
      </c>
      <c r="C30">
        <v>278.20133679999998</v>
      </c>
      <c r="D30">
        <v>2405.5228556873217</v>
      </c>
      <c r="K30" t="s">
        <v>80</v>
      </c>
    </row>
    <row r="31" spans="1:11">
      <c r="A31" t="s">
        <v>81</v>
      </c>
      <c r="B31">
        <v>2009</v>
      </c>
      <c r="C31">
        <v>154.7000797</v>
      </c>
      <c r="D31">
        <v>334.3015776724086</v>
      </c>
      <c r="K31" t="s">
        <v>80</v>
      </c>
    </row>
    <row r="32" spans="1:11">
      <c r="A32" t="s">
        <v>81</v>
      </c>
      <c r="B32">
        <v>2010</v>
      </c>
      <c r="C32">
        <v>569.74130930000001</v>
      </c>
      <c r="D32">
        <v>1352.816226851081</v>
      </c>
      <c r="K32" t="s">
        <v>80</v>
      </c>
    </row>
    <row r="33" spans="1:11">
      <c r="A33" t="s">
        <v>81</v>
      </c>
      <c r="B33">
        <v>2011</v>
      </c>
      <c r="C33">
        <v>177.94301279999999</v>
      </c>
      <c r="D33">
        <v>181.36512076419024</v>
      </c>
      <c r="K33" t="s">
        <v>80</v>
      </c>
    </row>
    <row r="34" spans="1:11">
      <c r="A34" t="s">
        <v>81</v>
      </c>
      <c r="B34">
        <v>2012</v>
      </c>
      <c r="C34">
        <v>21.419474600000001</v>
      </c>
      <c r="D34">
        <v>106.67849687162712</v>
      </c>
      <c r="K34" t="s">
        <v>80</v>
      </c>
    </row>
    <row r="35" spans="1:11">
      <c r="A35" t="s">
        <v>81</v>
      </c>
      <c r="B35">
        <v>2013</v>
      </c>
      <c r="C35">
        <v>110.0759513</v>
      </c>
      <c r="D35">
        <v>315.73111893314677</v>
      </c>
      <c r="K35" t="s">
        <v>80</v>
      </c>
    </row>
    <row r="36" spans="1:11">
      <c r="A36" t="s">
        <v>81</v>
      </c>
      <c r="B36">
        <v>2014</v>
      </c>
      <c r="C36">
        <v>162.2991634</v>
      </c>
      <c r="D36">
        <v>59.782531554188132</v>
      </c>
      <c r="K36" t="s">
        <v>80</v>
      </c>
    </row>
    <row r="37" spans="1:11" hidden="1">
      <c r="A37" t="s">
        <v>81</v>
      </c>
      <c r="B37">
        <v>2015</v>
      </c>
      <c r="C37" s="5"/>
      <c r="D37">
        <v>189.37557259365488</v>
      </c>
      <c r="K37" t="s">
        <v>80</v>
      </c>
    </row>
    <row r="38" spans="1:11">
      <c r="A38" t="s">
        <v>82</v>
      </c>
      <c r="B38">
        <v>2007</v>
      </c>
      <c r="C38">
        <v>81.277162050000001</v>
      </c>
      <c r="D38">
        <v>111.07055137899997</v>
      </c>
      <c r="E38">
        <f>AVERAGE(C38:C46)</f>
        <v>115.82392241375</v>
      </c>
      <c r="F38">
        <f>AVERAGE(D38:D46)</f>
        <v>182.43487448908425</v>
      </c>
      <c r="G38">
        <f>STDEV(C38:C45)</f>
        <v>97.98376833957299</v>
      </c>
      <c r="H38">
        <f>STDEV(D38:D46)</f>
        <v>231.37932327173959</v>
      </c>
      <c r="K38" t="s">
        <v>81</v>
      </c>
    </row>
    <row r="39" spans="1:11">
      <c r="A39" t="s">
        <v>82</v>
      </c>
      <c r="B39">
        <v>2008</v>
      </c>
      <c r="C39">
        <v>143.456402</v>
      </c>
      <c r="D39">
        <v>656.85109501685383</v>
      </c>
      <c r="K39" t="s">
        <v>81</v>
      </c>
    </row>
    <row r="40" spans="1:11">
      <c r="A40" t="s">
        <v>82</v>
      </c>
      <c r="B40">
        <v>2009</v>
      </c>
      <c r="C40">
        <v>99.278600729999994</v>
      </c>
      <c r="D40">
        <v>0</v>
      </c>
      <c r="K40" t="s">
        <v>81</v>
      </c>
    </row>
    <row r="41" spans="1:11">
      <c r="A41" t="s">
        <v>82</v>
      </c>
      <c r="B41">
        <v>2010</v>
      </c>
      <c r="C41">
        <v>334.3506142</v>
      </c>
      <c r="D41">
        <v>158.65076159302697</v>
      </c>
      <c r="K41" t="s">
        <v>81</v>
      </c>
    </row>
    <row r="42" spans="1:11">
      <c r="A42" t="s">
        <v>82</v>
      </c>
      <c r="B42">
        <v>2011</v>
      </c>
      <c r="C42">
        <v>134.87782960000001</v>
      </c>
      <c r="D42">
        <v>118.93858618069767</v>
      </c>
      <c r="K42" t="s">
        <v>81</v>
      </c>
    </row>
    <row r="43" spans="1:11">
      <c r="A43" t="s">
        <v>82</v>
      </c>
      <c r="B43">
        <v>2012</v>
      </c>
      <c r="C43">
        <v>13.97169055</v>
      </c>
      <c r="D43">
        <v>71.121845312655466</v>
      </c>
      <c r="K43" t="s">
        <v>81</v>
      </c>
    </row>
    <row r="44" spans="1:11">
      <c r="A44" t="s">
        <v>82</v>
      </c>
      <c r="B44">
        <v>2013</v>
      </c>
      <c r="C44">
        <v>50.150922229999999</v>
      </c>
      <c r="D44">
        <v>13.19453548042967</v>
      </c>
      <c r="K44" t="s">
        <v>81</v>
      </c>
    </row>
    <row r="45" spans="1:11">
      <c r="A45" t="s">
        <v>82</v>
      </c>
      <c r="B45">
        <v>2014</v>
      </c>
      <c r="C45">
        <v>69.228157949999996</v>
      </c>
      <c r="D45">
        <v>23.257617930912623</v>
      </c>
      <c r="K45" t="s">
        <v>81</v>
      </c>
    </row>
    <row r="46" spans="1:11" hidden="1">
      <c r="A46" t="s">
        <v>82</v>
      </c>
      <c r="B46">
        <v>2015</v>
      </c>
      <c r="C46" s="5"/>
      <c r="D46">
        <v>488.82887750818185</v>
      </c>
      <c r="K46" t="s">
        <v>82</v>
      </c>
    </row>
    <row r="47" spans="1:11">
      <c r="A47" t="s">
        <v>83</v>
      </c>
      <c r="B47">
        <v>2007</v>
      </c>
      <c r="C47">
        <v>80.171025049999997</v>
      </c>
      <c r="D47">
        <v>139.65881842114217</v>
      </c>
      <c r="E47">
        <f>AVERAGE(C47:C55)</f>
        <v>245.86282503625</v>
      </c>
      <c r="F47">
        <f>AVERAGE(D47:D55)</f>
        <v>5974.1012160880418</v>
      </c>
      <c r="G47">
        <f>STDEV(C47:C54)</f>
        <v>208.86049196150353</v>
      </c>
      <c r="H47">
        <f>STDEV(D47:D55)</f>
        <v>8371.3825917188642</v>
      </c>
      <c r="K47" t="s">
        <v>82</v>
      </c>
    </row>
    <row r="48" spans="1:11">
      <c r="A48" t="s">
        <v>83</v>
      </c>
      <c r="B48">
        <v>2008</v>
      </c>
      <c r="C48">
        <v>302.02617359999999</v>
      </c>
      <c r="D48">
        <v>24702.517466374225</v>
      </c>
      <c r="K48" t="s">
        <v>82</v>
      </c>
    </row>
    <row r="49" spans="1:11">
      <c r="A49" t="s">
        <v>83</v>
      </c>
      <c r="B49">
        <v>2009</v>
      </c>
      <c r="C49">
        <v>187.00424340000001</v>
      </c>
      <c r="D49">
        <v>2730.9510491821716</v>
      </c>
      <c r="K49" t="s">
        <v>82</v>
      </c>
    </row>
    <row r="50" spans="1:11">
      <c r="A50" t="s">
        <v>83</v>
      </c>
      <c r="B50">
        <v>2010</v>
      </c>
      <c r="C50">
        <v>714.52386019999994</v>
      </c>
      <c r="D50">
        <v>14472.072962451623</v>
      </c>
      <c r="K50" t="s">
        <v>82</v>
      </c>
    </row>
    <row r="51" spans="1:11">
      <c r="A51" t="s">
        <v>83</v>
      </c>
      <c r="B51">
        <v>2011</v>
      </c>
      <c r="C51">
        <v>262.79203430000001</v>
      </c>
      <c r="D51">
        <v>1242.2077702048739</v>
      </c>
      <c r="K51" t="s">
        <v>82</v>
      </c>
    </row>
    <row r="52" spans="1:11">
      <c r="A52" t="s">
        <v>83</v>
      </c>
      <c r="B52">
        <v>2012</v>
      </c>
      <c r="C52">
        <v>44.873343339999998</v>
      </c>
      <c r="D52">
        <v>1790.2507935912442</v>
      </c>
      <c r="K52" t="s">
        <v>82</v>
      </c>
    </row>
    <row r="53" spans="1:11">
      <c r="A53" t="s">
        <v>83</v>
      </c>
      <c r="B53">
        <v>2013</v>
      </c>
      <c r="C53">
        <v>233.62074809999999</v>
      </c>
      <c r="D53">
        <v>6951.0037721337831</v>
      </c>
      <c r="K53" t="s">
        <v>82</v>
      </c>
    </row>
    <row r="54" spans="1:11">
      <c r="A54" t="s">
        <v>83</v>
      </c>
      <c r="B54">
        <v>2014</v>
      </c>
      <c r="C54">
        <v>141.89117229999999</v>
      </c>
      <c r="D54">
        <v>603.42533796222733</v>
      </c>
      <c r="K54" t="s">
        <v>83</v>
      </c>
    </row>
    <row r="55" spans="1:11" hidden="1">
      <c r="A55" t="s">
        <v>83</v>
      </c>
      <c r="B55">
        <v>2015</v>
      </c>
      <c r="C55" s="5"/>
      <c r="D55">
        <v>1134.822974471092</v>
      </c>
      <c r="K55" t="s">
        <v>83</v>
      </c>
    </row>
    <row r="56" spans="1:11">
      <c r="A56" t="s">
        <v>84</v>
      </c>
      <c r="B56">
        <v>2007</v>
      </c>
      <c r="C56">
        <v>9.6920919330000004</v>
      </c>
      <c r="D56">
        <v>4.3152724999999998</v>
      </c>
      <c r="E56">
        <f>AVERAGE(C56:C64)</f>
        <v>62.075048986249996</v>
      </c>
      <c r="F56">
        <f>AVERAGE(D56:D64)</f>
        <v>342.94334337192203</v>
      </c>
      <c r="G56">
        <f>STDEV(C56:C63)</f>
        <v>55.435916599161722</v>
      </c>
      <c r="H56">
        <f>STDEV(D56:D64)</f>
        <v>443.33159242799053</v>
      </c>
      <c r="K56" t="s">
        <v>83</v>
      </c>
    </row>
    <row r="57" spans="1:11">
      <c r="A57" t="s">
        <v>84</v>
      </c>
      <c r="B57">
        <v>2008</v>
      </c>
      <c r="C57">
        <v>66.970599359999994</v>
      </c>
      <c r="D57">
        <v>1015.2547215000001</v>
      </c>
      <c r="K57" t="s">
        <v>83</v>
      </c>
    </row>
    <row r="58" spans="1:11">
      <c r="A58" t="s">
        <v>84</v>
      </c>
      <c r="B58">
        <v>2009</v>
      </c>
      <c r="C58">
        <v>36.17131165</v>
      </c>
      <c r="D58">
        <v>52.466988500000006</v>
      </c>
      <c r="K58" t="s">
        <v>83</v>
      </c>
    </row>
    <row r="59" spans="1:11">
      <c r="A59" t="s">
        <v>84</v>
      </c>
      <c r="B59">
        <v>2010</v>
      </c>
      <c r="C59">
        <v>178.28189549999999</v>
      </c>
      <c r="D59">
        <v>445.61633449999999</v>
      </c>
      <c r="K59" t="s">
        <v>83</v>
      </c>
    </row>
    <row r="60" spans="1:11">
      <c r="A60" t="s">
        <v>84</v>
      </c>
      <c r="B60">
        <v>2011</v>
      </c>
      <c r="C60">
        <v>95.1780933</v>
      </c>
      <c r="D60">
        <v>1142.1909840000001</v>
      </c>
      <c r="K60" t="s">
        <v>83</v>
      </c>
    </row>
    <row r="61" spans="1:11">
      <c r="A61" t="s">
        <v>84</v>
      </c>
      <c r="B61">
        <v>2012</v>
      </c>
      <c r="C61">
        <v>4.6094844669999997</v>
      </c>
      <c r="D61">
        <v>7.5769460000000004</v>
      </c>
      <c r="K61" t="s">
        <v>83</v>
      </c>
    </row>
    <row r="62" spans="1:11">
      <c r="A62" t="s">
        <v>84</v>
      </c>
      <c r="B62">
        <v>2013</v>
      </c>
      <c r="C62">
        <v>52.279274280000003</v>
      </c>
      <c r="D62">
        <v>148.94159771018306</v>
      </c>
      <c r="K62" t="s">
        <v>84</v>
      </c>
    </row>
    <row r="63" spans="1:11">
      <c r="A63" t="s">
        <v>84</v>
      </c>
      <c r="B63">
        <v>2014</v>
      </c>
      <c r="C63">
        <v>53.417641400000001</v>
      </c>
      <c r="D63">
        <v>1.9821701704537256</v>
      </c>
      <c r="K63" t="s">
        <v>84</v>
      </c>
    </row>
    <row r="64" spans="1:11" hidden="1">
      <c r="A64" t="s">
        <v>84</v>
      </c>
      <c r="B64">
        <v>2015</v>
      </c>
      <c r="C64" s="5"/>
      <c r="D64">
        <v>268.1450754666613</v>
      </c>
      <c r="K64" t="s">
        <v>84</v>
      </c>
    </row>
    <row r="65" spans="1:11">
      <c r="A65" t="s">
        <v>85</v>
      </c>
      <c r="B65">
        <v>2007</v>
      </c>
      <c r="C65">
        <v>10.064684979999999</v>
      </c>
      <c r="D65">
        <v>9.3815144999999998</v>
      </c>
      <c r="E65">
        <f>AVERAGE(C65:C73)</f>
        <v>70.204591839374999</v>
      </c>
      <c r="F65">
        <f>AVERAGE(D65:D73)</f>
        <v>340.7576934486126</v>
      </c>
      <c r="G65">
        <f>STDEV(C65:C72)</f>
        <v>67.831692017641203</v>
      </c>
      <c r="H65">
        <f>STDEV(D65:D73)</f>
        <v>486.3622650504937</v>
      </c>
      <c r="K65" t="s">
        <v>84</v>
      </c>
    </row>
    <row r="66" spans="1:11">
      <c r="A66" t="s">
        <v>85</v>
      </c>
      <c r="B66">
        <v>2008</v>
      </c>
      <c r="C66">
        <v>82.706114900000003</v>
      </c>
      <c r="D66">
        <v>1228.1265535</v>
      </c>
      <c r="K66" t="s">
        <v>84</v>
      </c>
    </row>
    <row r="67" spans="1:11">
      <c r="A67" t="s">
        <v>85</v>
      </c>
      <c r="B67">
        <v>2009</v>
      </c>
      <c r="C67">
        <v>63.736938350000003</v>
      </c>
      <c r="D67">
        <v>165.20208149999999</v>
      </c>
      <c r="K67" t="s">
        <v>84</v>
      </c>
    </row>
    <row r="68" spans="1:11">
      <c r="A68" t="s">
        <v>85</v>
      </c>
      <c r="B68">
        <v>2010</v>
      </c>
      <c r="C68">
        <v>219.93004099999999</v>
      </c>
      <c r="D68">
        <v>228.87756999999999</v>
      </c>
      <c r="K68" t="s">
        <v>84</v>
      </c>
    </row>
    <row r="69" spans="1:11">
      <c r="A69" t="s">
        <v>85</v>
      </c>
      <c r="B69">
        <v>2011</v>
      </c>
      <c r="C69">
        <v>89.722435869999998</v>
      </c>
      <c r="D69">
        <v>1143.2782084999999</v>
      </c>
      <c r="K69" t="s">
        <v>84</v>
      </c>
    </row>
    <row r="70" spans="1:11">
      <c r="A70" t="s">
        <v>85</v>
      </c>
      <c r="B70">
        <v>2012</v>
      </c>
      <c r="C70">
        <v>6.2516135449999997</v>
      </c>
      <c r="D70">
        <v>51.850521000000001</v>
      </c>
      <c r="K70" t="s">
        <v>85</v>
      </c>
    </row>
    <row r="71" spans="1:11">
      <c r="A71" t="s">
        <v>85</v>
      </c>
      <c r="B71">
        <v>2013</v>
      </c>
      <c r="C71">
        <v>54.473668590000003</v>
      </c>
      <c r="D71">
        <v>44.759533949460582</v>
      </c>
      <c r="K71" t="s">
        <v>85</v>
      </c>
    </row>
    <row r="72" spans="1:11">
      <c r="A72" t="s">
        <v>85</v>
      </c>
      <c r="B72">
        <v>2014</v>
      </c>
      <c r="C72">
        <v>34.75123748</v>
      </c>
      <c r="D72">
        <v>1.4627130474824486</v>
      </c>
      <c r="K72" t="s">
        <v>85</v>
      </c>
    </row>
    <row r="73" spans="1:11" hidden="1">
      <c r="A73" t="s">
        <v>85</v>
      </c>
      <c r="B73">
        <v>2015</v>
      </c>
      <c r="C73" s="5"/>
      <c r="D73">
        <v>193.88054504057078</v>
      </c>
      <c r="K73" t="s">
        <v>85</v>
      </c>
    </row>
    <row r="74" spans="1:11">
      <c r="A74" t="s">
        <v>86</v>
      </c>
      <c r="B74">
        <v>2007</v>
      </c>
      <c r="C74">
        <v>32.213012640000002</v>
      </c>
      <c r="D74">
        <v>25.589005499999999</v>
      </c>
      <c r="E74">
        <f>AVERAGE(C74:C82)</f>
        <v>160.29824898625</v>
      </c>
      <c r="F74">
        <f>AVERAGE(D74:D82)</f>
        <v>6549.6685094763825</v>
      </c>
      <c r="G74">
        <f>STDEV(C74:C81)</f>
        <v>117.38633485484843</v>
      </c>
      <c r="H74">
        <f>STDEV(D74:D82)</f>
        <v>12427.588158284667</v>
      </c>
      <c r="K74" t="s">
        <v>85</v>
      </c>
    </row>
    <row r="75" spans="1:11">
      <c r="A75" t="s">
        <v>86</v>
      </c>
      <c r="B75">
        <v>2008</v>
      </c>
      <c r="C75">
        <v>206.38943879999999</v>
      </c>
      <c r="D75">
        <v>38920.967033500005</v>
      </c>
      <c r="K75" t="s">
        <v>85</v>
      </c>
    </row>
    <row r="76" spans="1:11">
      <c r="A76" t="s">
        <v>86</v>
      </c>
      <c r="B76">
        <v>2009</v>
      </c>
      <c r="C76">
        <v>148.00683459999999</v>
      </c>
      <c r="D76">
        <v>5764.3634225000005</v>
      </c>
      <c r="K76" t="s">
        <v>85</v>
      </c>
    </row>
    <row r="77" spans="1:11">
      <c r="A77" t="s">
        <v>86</v>
      </c>
      <c r="B77">
        <v>2010</v>
      </c>
      <c r="C77">
        <v>410.64132769999998</v>
      </c>
      <c r="D77">
        <v>7894.9311450000005</v>
      </c>
      <c r="K77" t="s">
        <v>85</v>
      </c>
    </row>
    <row r="78" spans="1:11">
      <c r="A78" t="s">
        <v>86</v>
      </c>
      <c r="B78">
        <v>2011</v>
      </c>
      <c r="C78">
        <v>161.4046257</v>
      </c>
      <c r="D78">
        <v>861.3844335</v>
      </c>
      <c r="K78" t="s">
        <v>86</v>
      </c>
    </row>
    <row r="79" spans="1:11">
      <c r="A79" t="s">
        <v>86</v>
      </c>
      <c r="B79">
        <v>2012</v>
      </c>
      <c r="C79">
        <v>41.540483250000001</v>
      </c>
      <c r="D79">
        <v>1626.9922345</v>
      </c>
      <c r="K79" t="s">
        <v>86</v>
      </c>
    </row>
    <row r="80" spans="1:11">
      <c r="A80" t="s">
        <v>86</v>
      </c>
      <c r="B80">
        <v>2013</v>
      </c>
      <c r="C80">
        <v>129.65508209999999</v>
      </c>
      <c r="D80">
        <v>2676.0664899909816</v>
      </c>
      <c r="K80" t="s">
        <v>86</v>
      </c>
    </row>
    <row r="81" spans="1:11">
      <c r="A81" t="s">
        <v>86</v>
      </c>
      <c r="B81">
        <v>2014</v>
      </c>
      <c r="C81">
        <v>152.5351871</v>
      </c>
      <c r="D81">
        <v>581.74287392122449</v>
      </c>
      <c r="K81" t="s">
        <v>86</v>
      </c>
    </row>
    <row r="82" spans="1:11" hidden="1">
      <c r="A82" t="s">
        <v>86</v>
      </c>
      <c r="B82">
        <v>2015</v>
      </c>
      <c r="C82" s="5"/>
      <c r="D82">
        <v>594.97994687522373</v>
      </c>
      <c r="K82" t="s">
        <v>86</v>
      </c>
    </row>
    <row r="83" spans="1:11">
      <c r="A83" t="s">
        <v>87</v>
      </c>
      <c r="B83">
        <v>2007</v>
      </c>
      <c r="C83">
        <v>1.3323756179999999</v>
      </c>
      <c r="D83">
        <v>0</v>
      </c>
      <c r="E83">
        <f>AVERAGE(C83:C91)</f>
        <v>51.626432230124998</v>
      </c>
      <c r="F83">
        <f>AVERAGE(D83:D91)</f>
        <v>184.04781166677279</v>
      </c>
      <c r="G83">
        <f>STDEV(C83:C90)</f>
        <v>34.890015552007981</v>
      </c>
      <c r="H83">
        <f>STDEV(D83:D91)</f>
        <v>254.08240924675286</v>
      </c>
      <c r="K83" t="s">
        <v>86</v>
      </c>
    </row>
    <row r="84" spans="1:11">
      <c r="A84" t="s">
        <v>87</v>
      </c>
      <c r="B84">
        <v>2008</v>
      </c>
      <c r="C84">
        <v>78.08</v>
      </c>
      <c r="D84">
        <v>735.59663791885669</v>
      </c>
      <c r="K84" t="s">
        <v>86</v>
      </c>
    </row>
    <row r="85" spans="1:11">
      <c r="A85" t="s">
        <v>87</v>
      </c>
      <c r="B85">
        <v>2009</v>
      </c>
      <c r="C85">
        <v>23.00911404</v>
      </c>
      <c r="D85">
        <v>27.449980464969979</v>
      </c>
      <c r="K85" t="s">
        <v>86</v>
      </c>
    </row>
    <row r="86" spans="1:11">
      <c r="A86" t="s">
        <v>87</v>
      </c>
      <c r="B86">
        <v>2010</v>
      </c>
      <c r="C86">
        <v>75.887513389999995</v>
      </c>
      <c r="D86">
        <v>0</v>
      </c>
      <c r="K86" t="s">
        <v>87</v>
      </c>
    </row>
    <row r="87" spans="1:11">
      <c r="A87" t="s">
        <v>87</v>
      </c>
      <c r="B87">
        <v>2011</v>
      </c>
      <c r="C87">
        <v>77.570064169999995</v>
      </c>
      <c r="D87">
        <v>252.05089526632318</v>
      </c>
      <c r="K87" t="s">
        <v>87</v>
      </c>
    </row>
    <row r="88" spans="1:11">
      <c r="A88" t="s">
        <v>87</v>
      </c>
      <c r="B88">
        <v>2012</v>
      </c>
      <c r="C88">
        <v>6.2133720429999997</v>
      </c>
      <c r="D88">
        <v>35.738421386747746</v>
      </c>
      <c r="K88" t="s">
        <v>87</v>
      </c>
    </row>
    <row r="89" spans="1:11">
      <c r="A89" t="s">
        <v>87</v>
      </c>
      <c r="B89">
        <v>2013</v>
      </c>
      <c r="C89">
        <v>78.000056549999996</v>
      </c>
      <c r="D89">
        <v>138.15932382769441</v>
      </c>
      <c r="K89" t="s">
        <v>87</v>
      </c>
    </row>
    <row r="90" spans="1:11">
      <c r="A90" t="s">
        <v>87</v>
      </c>
      <c r="B90">
        <v>2014</v>
      </c>
      <c r="C90">
        <v>72.918962030000003</v>
      </c>
      <c r="D90">
        <v>25.959521210944054</v>
      </c>
      <c r="K90" t="s">
        <v>87</v>
      </c>
    </row>
    <row r="91" spans="1:11" hidden="1">
      <c r="A91" t="s">
        <v>87</v>
      </c>
      <c r="B91">
        <v>2015</v>
      </c>
      <c r="C91" s="5"/>
      <c r="D91">
        <v>441.47552492541905</v>
      </c>
      <c r="K91" t="s">
        <v>87</v>
      </c>
    </row>
    <row r="92" spans="1:11">
      <c r="A92" t="s">
        <v>88</v>
      </c>
      <c r="B92">
        <v>2007</v>
      </c>
      <c r="C92">
        <v>11.00669244</v>
      </c>
      <c r="D92">
        <v>0</v>
      </c>
      <c r="E92">
        <f>AVERAGE(C92:C100)</f>
        <v>57.000212849374996</v>
      </c>
      <c r="F92">
        <f>AVERAGE(D92:D100)</f>
        <v>155.59252564465316</v>
      </c>
      <c r="G92">
        <f>STDEV(C92:C99)</f>
        <v>63.862784362289879</v>
      </c>
      <c r="H92">
        <f>STDEV(D92:D100)</f>
        <v>236.36586005680309</v>
      </c>
      <c r="K92" t="s">
        <v>87</v>
      </c>
    </row>
    <row r="93" spans="1:11">
      <c r="A93" t="s">
        <v>88</v>
      </c>
      <c r="B93">
        <v>2008</v>
      </c>
      <c r="C93">
        <v>66.7</v>
      </c>
      <c r="D93">
        <v>713.71345288349949</v>
      </c>
      <c r="K93" t="s">
        <v>87</v>
      </c>
    </row>
    <row r="94" spans="1:11">
      <c r="A94" t="s">
        <v>88</v>
      </c>
      <c r="B94">
        <v>2009</v>
      </c>
      <c r="C94">
        <v>19.405642870000001</v>
      </c>
      <c r="D94">
        <v>57.206995257035764</v>
      </c>
      <c r="K94" t="s">
        <v>88</v>
      </c>
    </row>
    <row r="95" spans="1:11">
      <c r="A95" t="s">
        <v>88</v>
      </c>
      <c r="B95">
        <v>2010</v>
      </c>
      <c r="C95">
        <v>198.36017229999999</v>
      </c>
      <c r="D95">
        <v>212.14426116039894</v>
      </c>
      <c r="K95" t="s">
        <v>88</v>
      </c>
    </row>
    <row r="96" spans="1:11">
      <c r="A96" t="s">
        <v>88</v>
      </c>
      <c r="B96">
        <v>2011</v>
      </c>
      <c r="C96">
        <v>85.292450090000003</v>
      </c>
      <c r="D96">
        <v>314.64576106046667</v>
      </c>
      <c r="K96" t="s">
        <v>88</v>
      </c>
    </row>
    <row r="97" spans="1:11">
      <c r="A97" t="s">
        <v>88</v>
      </c>
      <c r="B97">
        <v>2012</v>
      </c>
      <c r="C97">
        <v>1.5123754149999999</v>
      </c>
      <c r="D97">
        <v>0.36205666756008531</v>
      </c>
      <c r="K97" t="s">
        <v>88</v>
      </c>
    </row>
    <row r="98" spans="1:11">
      <c r="A98" t="s">
        <v>88</v>
      </c>
      <c r="B98">
        <v>2013</v>
      </c>
      <c r="C98">
        <v>48.115536159999998</v>
      </c>
      <c r="D98">
        <v>89.694819279963355</v>
      </c>
      <c r="K98" t="s">
        <v>88</v>
      </c>
    </row>
    <row r="99" spans="1:11">
      <c r="A99" t="s">
        <v>88</v>
      </c>
      <c r="B99">
        <v>2014</v>
      </c>
      <c r="C99">
        <v>25.608833520000001</v>
      </c>
      <c r="D99">
        <v>1.7575973737140544</v>
      </c>
      <c r="K99" t="s">
        <v>88</v>
      </c>
    </row>
    <row r="100" spans="1:11" hidden="1">
      <c r="A100" t="s">
        <v>88</v>
      </c>
      <c r="B100">
        <v>2015</v>
      </c>
      <c r="C100" s="5"/>
      <c r="D100">
        <v>10.807787119239871</v>
      </c>
      <c r="K100" t="s">
        <v>88</v>
      </c>
    </row>
    <row r="101" spans="1:11">
      <c r="A101" t="s">
        <v>89</v>
      </c>
      <c r="B101">
        <v>2007</v>
      </c>
      <c r="C101">
        <v>4.9997244649999999</v>
      </c>
      <c r="D101">
        <v>0</v>
      </c>
      <c r="E101">
        <f>AVERAGE(C101:C109)</f>
        <v>101.81445999924999</v>
      </c>
      <c r="F101">
        <f>AVERAGE(D101:D109)</f>
        <v>1989.3390564565113</v>
      </c>
      <c r="G101">
        <f>STDEV(C101:C108)</f>
        <v>112.368920938957</v>
      </c>
      <c r="H101">
        <f>STDEV(D101:D109)</f>
        <v>2902.4098031101989</v>
      </c>
      <c r="K101" t="s">
        <v>88</v>
      </c>
    </row>
    <row r="102" spans="1:11">
      <c r="A102" t="s">
        <v>89</v>
      </c>
      <c r="B102">
        <v>2008</v>
      </c>
      <c r="C102">
        <v>71.12</v>
      </c>
      <c r="D102">
        <v>8156.0983365131306</v>
      </c>
      <c r="K102" t="s">
        <v>89</v>
      </c>
    </row>
    <row r="103" spans="1:11">
      <c r="A103" t="s">
        <v>89</v>
      </c>
      <c r="B103">
        <v>2009</v>
      </c>
      <c r="C103">
        <v>51.989022169999998</v>
      </c>
      <c r="D103">
        <v>347.16679944938971</v>
      </c>
      <c r="K103" t="s">
        <v>89</v>
      </c>
    </row>
    <row r="104" spans="1:11">
      <c r="A104" t="s">
        <v>89</v>
      </c>
      <c r="B104">
        <v>2010</v>
      </c>
      <c r="C104">
        <v>308.29636269999997</v>
      </c>
      <c r="D104">
        <v>5470.8616373165632</v>
      </c>
      <c r="K104" t="s">
        <v>89</v>
      </c>
    </row>
    <row r="105" spans="1:11">
      <c r="A105" t="s">
        <v>89</v>
      </c>
      <c r="B105">
        <v>2011</v>
      </c>
      <c r="C105">
        <v>101.7690149</v>
      </c>
      <c r="D105">
        <v>1868.9736449212846</v>
      </c>
      <c r="K105" t="s">
        <v>89</v>
      </c>
    </row>
    <row r="106" spans="1:11">
      <c r="A106" t="s">
        <v>89</v>
      </c>
      <c r="B106">
        <v>2012</v>
      </c>
      <c r="C106">
        <v>4.0088068889999997</v>
      </c>
      <c r="D106">
        <v>117.88311911802715</v>
      </c>
      <c r="K106" t="s">
        <v>89</v>
      </c>
    </row>
    <row r="107" spans="1:11">
      <c r="A107" t="s">
        <v>89</v>
      </c>
      <c r="B107">
        <v>2013</v>
      </c>
      <c r="C107">
        <v>238.7060535</v>
      </c>
      <c r="D107">
        <v>1698.8229671933923</v>
      </c>
      <c r="K107" t="s">
        <v>89</v>
      </c>
    </row>
    <row r="108" spans="1:11">
      <c r="A108" t="s">
        <v>89</v>
      </c>
      <c r="B108">
        <v>2014</v>
      </c>
      <c r="C108">
        <v>33.62669537</v>
      </c>
      <c r="D108">
        <v>39.927187763381177</v>
      </c>
      <c r="K108" t="s">
        <v>89</v>
      </c>
    </row>
    <row r="109" spans="1:11" hidden="1">
      <c r="A109" t="s">
        <v>89</v>
      </c>
      <c r="B109">
        <v>2015</v>
      </c>
      <c r="C109" s="5"/>
      <c r="D109">
        <v>204.31781583343269</v>
      </c>
      <c r="K109" t="s">
        <v>89</v>
      </c>
    </row>
  </sheetData>
  <autoFilter ref="B1:B109" xr:uid="{379B9379-97B5-3C48-AAAC-46EFDFA9222D}">
    <filterColumn colId="0">
      <filters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sortState ref="J2:K13">
    <sortCondition ref="K2:K13"/>
  </sortState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BD41-9CBE-EA43-8066-FCCD93C60161}">
  <dimension ref="A1:D98"/>
  <sheetViews>
    <sheetView workbookViewId="0">
      <selection activeCell="D2" sqref="D2"/>
    </sheetView>
  </sheetViews>
  <sheetFormatPr baseColWidth="10" defaultRowHeight="16"/>
  <cols>
    <col min="3" max="3" width="30.33203125" customWidth="1"/>
    <col min="4" max="4" width="25" customWidth="1"/>
  </cols>
  <sheetData>
    <row r="1" spans="1:4">
      <c r="A1" t="s">
        <v>112</v>
      </c>
    </row>
    <row r="2" spans="1:4" ht="51">
      <c r="A2" s="31" t="s">
        <v>77</v>
      </c>
      <c r="B2" s="31" t="s">
        <v>78</v>
      </c>
      <c r="C2" s="32" t="s">
        <v>253</v>
      </c>
      <c r="D2" t="s">
        <v>252</v>
      </c>
    </row>
    <row r="3" spans="1:4">
      <c r="A3" s="31" t="s">
        <v>75</v>
      </c>
      <c r="B3" s="31">
        <v>2007</v>
      </c>
      <c r="C3" s="33">
        <v>39.370146823049517</v>
      </c>
      <c r="D3" s="33">
        <v>63.173511779999998</v>
      </c>
    </row>
    <row r="4" spans="1:4">
      <c r="A4" s="31" t="s">
        <v>75</v>
      </c>
      <c r="B4" s="31">
        <v>2008</v>
      </c>
      <c r="C4" s="33">
        <v>9.8323516180354407</v>
      </c>
      <c r="D4" s="33">
        <v>22.596913860000001</v>
      </c>
    </row>
    <row r="5" spans="1:4">
      <c r="A5" s="31" t="s">
        <v>75</v>
      </c>
      <c r="B5" s="31">
        <v>2009</v>
      </c>
      <c r="C5" s="33">
        <v>73.204260546682363</v>
      </c>
      <c r="D5" s="33">
        <v>73.804622300000005</v>
      </c>
    </row>
    <row r="6" spans="1:4">
      <c r="A6" s="31" t="s">
        <v>75</v>
      </c>
      <c r="B6" s="31">
        <v>2010</v>
      </c>
      <c r="C6" s="33">
        <v>361.54892996179922</v>
      </c>
      <c r="D6" s="33">
        <v>232.22898860000001</v>
      </c>
    </row>
    <row r="7" spans="1:4">
      <c r="A7" s="31" t="s">
        <v>75</v>
      </c>
      <c r="B7" s="31">
        <v>2011</v>
      </c>
      <c r="C7" s="33">
        <v>142.31637776682464</v>
      </c>
      <c r="D7" s="33">
        <v>94.712360559999993</v>
      </c>
    </row>
    <row r="8" spans="1:4">
      <c r="A8" s="31" t="s">
        <v>75</v>
      </c>
      <c r="B8" s="31">
        <v>2012</v>
      </c>
      <c r="C8" s="33">
        <v>79.391327037201293</v>
      </c>
      <c r="D8" s="33">
        <v>26.775788309999999</v>
      </c>
    </row>
    <row r="9" spans="1:4">
      <c r="A9" s="31" t="s">
        <v>75</v>
      </c>
      <c r="B9" s="31">
        <v>2013</v>
      </c>
      <c r="C9" s="33">
        <v>32.833386449757981</v>
      </c>
      <c r="D9" s="33">
        <v>55.305454679999997</v>
      </c>
    </row>
    <row r="10" spans="1:4">
      <c r="A10" s="31" t="s">
        <v>75</v>
      </c>
      <c r="B10" s="31">
        <v>2014</v>
      </c>
      <c r="C10" s="33">
        <v>4.69036362400412</v>
      </c>
      <c r="D10" s="33">
        <v>44.600513200000002</v>
      </c>
    </row>
    <row r="11" spans="1:4">
      <c r="A11" s="31" t="s">
        <v>79</v>
      </c>
      <c r="B11" s="31">
        <v>2007</v>
      </c>
      <c r="C11" s="33">
        <v>2.9370296064035119E-4</v>
      </c>
      <c r="D11" s="33">
        <v>6.9003851950000001</v>
      </c>
    </row>
    <row r="12" spans="1:4">
      <c r="A12" s="31" t="s">
        <v>79</v>
      </c>
      <c r="B12" s="31">
        <v>2008</v>
      </c>
      <c r="C12" s="33">
        <v>1289.3422835143012</v>
      </c>
      <c r="D12" s="33">
        <v>323.74844760000002</v>
      </c>
    </row>
    <row r="13" spans="1:4">
      <c r="A13" s="31" t="s">
        <v>79</v>
      </c>
      <c r="B13" s="31">
        <v>2009</v>
      </c>
      <c r="C13" s="33">
        <v>154.54007913899022</v>
      </c>
      <c r="D13" s="33">
        <v>154.0879879</v>
      </c>
    </row>
    <row r="14" spans="1:4">
      <c r="A14" s="31" t="s">
        <v>79</v>
      </c>
      <c r="B14" s="31">
        <v>2010</v>
      </c>
      <c r="C14" s="33">
        <v>386.07968756559001</v>
      </c>
      <c r="D14" s="33">
        <v>476.44080450000001</v>
      </c>
    </row>
    <row r="15" spans="1:4">
      <c r="A15" s="31" t="s">
        <v>79</v>
      </c>
      <c r="B15" s="31">
        <v>2011</v>
      </c>
      <c r="C15" s="33">
        <v>199.90554757125017</v>
      </c>
      <c r="D15" s="33">
        <v>111.6832033</v>
      </c>
    </row>
    <row r="16" spans="1:4">
      <c r="A16" s="31" t="s">
        <v>79</v>
      </c>
      <c r="B16" s="31">
        <v>2012</v>
      </c>
      <c r="C16" s="33">
        <v>5.0311113935041547</v>
      </c>
      <c r="D16" s="33">
        <v>5.8081888289999997</v>
      </c>
    </row>
    <row r="17" spans="1:4">
      <c r="A17" s="31" t="s">
        <v>79</v>
      </c>
      <c r="B17" s="31">
        <v>2013</v>
      </c>
      <c r="C17" s="33">
        <v>8.4964211422057829</v>
      </c>
      <c r="D17" s="33">
        <v>42.056979910000003</v>
      </c>
    </row>
    <row r="18" spans="1:4">
      <c r="A18" s="31" t="s">
        <v>79</v>
      </c>
      <c r="B18" s="31">
        <v>2014</v>
      </c>
      <c r="C18" s="33">
        <v>8.5850363778872509</v>
      </c>
      <c r="D18" s="33">
        <v>57.382286460000003</v>
      </c>
    </row>
    <row r="19" spans="1:4">
      <c r="A19" s="31" t="s">
        <v>80</v>
      </c>
      <c r="B19" s="31">
        <v>2007</v>
      </c>
      <c r="C19" s="33">
        <v>89.492206199714246</v>
      </c>
      <c r="D19" s="33">
        <v>35.421668879999999</v>
      </c>
    </row>
    <row r="20" spans="1:4">
      <c r="A20" s="31" t="s">
        <v>80</v>
      </c>
      <c r="B20" s="31">
        <v>2008</v>
      </c>
      <c r="C20" s="33">
        <v>107.39885448877961</v>
      </c>
      <c r="D20" s="33">
        <v>77.706859510000001</v>
      </c>
    </row>
    <row r="21" spans="1:4">
      <c r="A21" s="31" t="s">
        <v>80</v>
      </c>
      <c r="B21" s="31">
        <v>2009</v>
      </c>
      <c r="C21" s="33">
        <v>18.518142273180292</v>
      </c>
      <c r="D21" s="33">
        <v>48.273914929999997</v>
      </c>
    </row>
    <row r="22" spans="1:4">
      <c r="A22" s="31" t="s">
        <v>80</v>
      </c>
      <c r="B22" s="31">
        <v>2010</v>
      </c>
      <c r="C22" s="33">
        <v>416.67592573804262</v>
      </c>
      <c r="D22" s="33">
        <v>309.38093609999999</v>
      </c>
    </row>
    <row r="23" spans="1:4">
      <c r="A23" s="31" t="s">
        <v>80</v>
      </c>
      <c r="B23" s="31">
        <v>2011</v>
      </c>
      <c r="C23" s="33">
        <v>136.1087674368847</v>
      </c>
      <c r="D23" s="33">
        <v>74.914931559999999</v>
      </c>
    </row>
    <row r="24" spans="1:4">
      <c r="A24" s="31" t="s">
        <v>80</v>
      </c>
      <c r="B24" s="31">
        <v>2012</v>
      </c>
      <c r="C24" s="33">
        <v>0.56704931746467635</v>
      </c>
      <c r="D24" s="33">
        <v>12.643386189999999</v>
      </c>
    </row>
    <row r="25" spans="1:4">
      <c r="A25" s="31" t="s">
        <v>80</v>
      </c>
      <c r="B25" s="31">
        <v>2013</v>
      </c>
      <c r="C25" s="33">
        <v>56.623109838772002</v>
      </c>
      <c r="D25" s="33">
        <v>85.760943519999998</v>
      </c>
    </row>
    <row r="26" spans="1:4">
      <c r="A26" s="31" t="s">
        <v>80</v>
      </c>
      <c r="B26" s="31">
        <v>2014</v>
      </c>
      <c r="C26" s="33">
        <v>6.9488679642762214</v>
      </c>
      <c r="D26" s="33">
        <v>102.3124699</v>
      </c>
    </row>
    <row r="27" spans="1:4">
      <c r="A27" s="31" t="s">
        <v>81</v>
      </c>
      <c r="B27" s="31">
        <v>2007</v>
      </c>
      <c r="C27" s="33">
        <v>211.35271653615791</v>
      </c>
      <c r="D27" s="33">
        <v>77.274049610000006</v>
      </c>
    </row>
    <row r="28" spans="1:4">
      <c r="A28" s="31" t="s">
        <v>81</v>
      </c>
      <c r="B28" s="31">
        <v>2008</v>
      </c>
      <c r="C28" s="33">
        <v>2405.5228556873217</v>
      </c>
      <c r="D28" s="33">
        <v>278.20133679999998</v>
      </c>
    </row>
    <row r="29" spans="1:4">
      <c r="A29" s="31" t="s">
        <v>81</v>
      </c>
      <c r="B29" s="31">
        <v>2009</v>
      </c>
      <c r="C29" s="33">
        <v>334.3015776724086</v>
      </c>
      <c r="D29" s="33">
        <v>154.7000797</v>
      </c>
    </row>
    <row r="30" spans="1:4">
      <c r="A30" s="31" t="s">
        <v>81</v>
      </c>
      <c r="B30" s="31">
        <v>2010</v>
      </c>
      <c r="C30" s="33">
        <v>1352.816226851081</v>
      </c>
      <c r="D30" s="33">
        <v>569.74130930000001</v>
      </c>
    </row>
    <row r="31" spans="1:4">
      <c r="A31" s="31" t="s">
        <v>81</v>
      </c>
      <c r="B31" s="31">
        <v>2011</v>
      </c>
      <c r="C31" s="33">
        <v>181.36512076419024</v>
      </c>
      <c r="D31" s="33">
        <v>177.94301279999999</v>
      </c>
    </row>
    <row r="32" spans="1:4">
      <c r="A32" s="31" t="s">
        <v>81</v>
      </c>
      <c r="B32" s="31">
        <v>2012</v>
      </c>
      <c r="C32" s="33">
        <v>106.67849687162712</v>
      </c>
      <c r="D32" s="33">
        <v>21.419474600000001</v>
      </c>
    </row>
    <row r="33" spans="1:4">
      <c r="A33" s="31" t="s">
        <v>81</v>
      </c>
      <c r="B33" s="31">
        <v>2013</v>
      </c>
      <c r="C33" s="33">
        <v>315.73111893314677</v>
      </c>
      <c r="D33" s="33">
        <v>110.0759513</v>
      </c>
    </row>
    <row r="34" spans="1:4">
      <c r="A34" s="31" t="s">
        <v>81</v>
      </c>
      <c r="B34" s="31">
        <v>2014</v>
      </c>
      <c r="C34" s="33">
        <v>59.782531554188132</v>
      </c>
      <c r="D34" s="33">
        <v>162.2991634</v>
      </c>
    </row>
    <row r="35" spans="1:4">
      <c r="A35" s="31" t="s">
        <v>82</v>
      </c>
      <c r="B35" s="31">
        <v>2007</v>
      </c>
      <c r="C35" s="33">
        <v>111.07055137899997</v>
      </c>
      <c r="D35" s="33">
        <v>81.277162050000001</v>
      </c>
    </row>
    <row r="36" spans="1:4">
      <c r="A36" s="31" t="s">
        <v>82</v>
      </c>
      <c r="B36" s="31">
        <v>2008</v>
      </c>
      <c r="C36" s="33">
        <v>656.85109501685383</v>
      </c>
      <c r="D36" s="33">
        <v>143.456402</v>
      </c>
    </row>
    <row r="37" spans="1:4">
      <c r="A37" s="31" t="s">
        <v>82</v>
      </c>
      <c r="B37" s="31">
        <v>2009</v>
      </c>
      <c r="C37" s="33">
        <v>0</v>
      </c>
      <c r="D37" s="33">
        <v>99.278600729999994</v>
      </c>
    </row>
    <row r="38" spans="1:4">
      <c r="A38" s="31" t="s">
        <v>82</v>
      </c>
      <c r="B38" s="31">
        <v>2010</v>
      </c>
      <c r="C38" s="33">
        <v>158.65076159302697</v>
      </c>
      <c r="D38" s="33">
        <v>334.3506142</v>
      </c>
    </row>
    <row r="39" spans="1:4">
      <c r="A39" s="31" t="s">
        <v>82</v>
      </c>
      <c r="B39" s="31">
        <v>2011</v>
      </c>
      <c r="C39" s="33">
        <v>118.93858618069767</v>
      </c>
      <c r="D39" s="33">
        <v>134.87782960000001</v>
      </c>
    </row>
    <row r="40" spans="1:4">
      <c r="A40" s="31" t="s">
        <v>82</v>
      </c>
      <c r="B40" s="31">
        <v>2012</v>
      </c>
      <c r="C40" s="33">
        <v>71.121845312655466</v>
      </c>
      <c r="D40" s="33">
        <v>13.97169055</v>
      </c>
    </row>
    <row r="41" spans="1:4">
      <c r="A41" s="31" t="s">
        <v>82</v>
      </c>
      <c r="B41" s="31">
        <v>2013</v>
      </c>
      <c r="C41" s="33">
        <v>13.19453548042967</v>
      </c>
      <c r="D41" s="33">
        <v>50.150922229999999</v>
      </c>
    </row>
    <row r="42" spans="1:4">
      <c r="A42" s="31" t="s">
        <v>82</v>
      </c>
      <c r="B42" s="31">
        <v>2014</v>
      </c>
      <c r="C42" s="33">
        <v>23.257617930912623</v>
      </c>
      <c r="D42" s="33">
        <v>69.228157949999996</v>
      </c>
    </row>
    <row r="43" spans="1:4">
      <c r="A43" s="31" t="s">
        <v>83</v>
      </c>
      <c r="B43" s="31">
        <v>2007</v>
      </c>
      <c r="C43" s="33">
        <v>139.65881842114217</v>
      </c>
      <c r="D43" s="33">
        <v>80.171025049999997</v>
      </c>
    </row>
    <row r="44" spans="1:4">
      <c r="A44" s="31" t="s">
        <v>83</v>
      </c>
      <c r="B44" s="31">
        <v>2008</v>
      </c>
      <c r="C44" s="33">
        <v>24702.517466374225</v>
      </c>
      <c r="D44" s="33">
        <v>302.02617359999999</v>
      </c>
    </row>
    <row r="45" spans="1:4">
      <c r="A45" s="31" t="s">
        <v>83</v>
      </c>
      <c r="B45" s="31">
        <v>2009</v>
      </c>
      <c r="C45" s="33">
        <v>2730.9510491821716</v>
      </c>
      <c r="D45" s="33">
        <v>187.00424340000001</v>
      </c>
    </row>
    <row r="46" spans="1:4">
      <c r="A46" s="31" t="s">
        <v>83</v>
      </c>
      <c r="B46" s="31">
        <v>2010</v>
      </c>
      <c r="C46" s="33">
        <v>14472.072962451623</v>
      </c>
      <c r="D46" s="33">
        <v>714.52386019999994</v>
      </c>
    </row>
    <row r="47" spans="1:4">
      <c r="A47" s="31" t="s">
        <v>83</v>
      </c>
      <c r="B47" s="31">
        <v>2011</v>
      </c>
      <c r="C47" s="33">
        <v>1242.2077702048739</v>
      </c>
      <c r="D47" s="33">
        <v>262.79203430000001</v>
      </c>
    </row>
    <row r="48" spans="1:4">
      <c r="A48" s="31" t="s">
        <v>83</v>
      </c>
      <c r="B48" s="31">
        <v>2012</v>
      </c>
      <c r="C48" s="33">
        <v>1790.2507935912442</v>
      </c>
      <c r="D48" s="33">
        <v>44.873343339999998</v>
      </c>
    </row>
    <row r="49" spans="1:4">
      <c r="A49" s="31" t="s">
        <v>83</v>
      </c>
      <c r="B49" s="31">
        <v>2013</v>
      </c>
      <c r="C49" s="33">
        <v>6951.0037721337831</v>
      </c>
      <c r="D49" s="33">
        <v>233.62074809999999</v>
      </c>
    </row>
    <row r="50" spans="1:4">
      <c r="A50" s="31" t="s">
        <v>83</v>
      </c>
      <c r="B50" s="31">
        <v>2014</v>
      </c>
      <c r="C50" s="33">
        <v>603.42533796222733</v>
      </c>
      <c r="D50" s="33">
        <v>141.89117229999999</v>
      </c>
    </row>
    <row r="51" spans="1:4">
      <c r="A51" s="31" t="s">
        <v>84</v>
      </c>
      <c r="B51" s="31">
        <v>2007</v>
      </c>
      <c r="C51" s="33">
        <v>4.3152724999999998</v>
      </c>
      <c r="D51" s="33">
        <v>9.6920919330000004</v>
      </c>
    </row>
    <row r="52" spans="1:4">
      <c r="A52" s="31" t="s">
        <v>84</v>
      </c>
      <c r="B52" s="31">
        <v>2008</v>
      </c>
      <c r="C52" s="33">
        <v>1015.2547215000001</v>
      </c>
      <c r="D52" s="33">
        <v>66.970599359999994</v>
      </c>
    </row>
    <row r="53" spans="1:4">
      <c r="A53" s="31" t="s">
        <v>84</v>
      </c>
      <c r="B53" s="31">
        <v>2009</v>
      </c>
      <c r="C53" s="33">
        <v>52.466988500000006</v>
      </c>
      <c r="D53" s="33">
        <v>36.17131165</v>
      </c>
    </row>
    <row r="54" spans="1:4">
      <c r="A54" s="31" t="s">
        <v>84</v>
      </c>
      <c r="B54" s="31">
        <v>2010</v>
      </c>
      <c r="C54" s="33">
        <v>445.61633449999999</v>
      </c>
      <c r="D54" s="33">
        <v>178.28189549999999</v>
      </c>
    </row>
    <row r="55" spans="1:4">
      <c r="A55" s="31" t="s">
        <v>84</v>
      </c>
      <c r="B55" s="31">
        <v>2011</v>
      </c>
      <c r="C55" s="33">
        <v>1142.1909840000001</v>
      </c>
      <c r="D55" s="33">
        <v>95.1780933</v>
      </c>
    </row>
    <row r="56" spans="1:4">
      <c r="A56" s="31" t="s">
        <v>84</v>
      </c>
      <c r="B56" s="31">
        <v>2012</v>
      </c>
      <c r="C56" s="33">
        <v>7.5769460000000004</v>
      </c>
      <c r="D56" s="33">
        <v>4.6094844669999997</v>
      </c>
    </row>
    <row r="57" spans="1:4">
      <c r="A57" s="31" t="s">
        <v>84</v>
      </c>
      <c r="B57" s="31">
        <v>2013</v>
      </c>
      <c r="C57" s="33">
        <v>148.94159771018306</v>
      </c>
      <c r="D57" s="33">
        <v>52.279274280000003</v>
      </c>
    </row>
    <row r="58" spans="1:4">
      <c r="A58" s="31" t="s">
        <v>84</v>
      </c>
      <c r="B58" s="31">
        <v>2014</v>
      </c>
      <c r="C58" s="33">
        <v>1.9821701704537256</v>
      </c>
      <c r="D58" s="33">
        <v>53.417641400000001</v>
      </c>
    </row>
    <row r="59" spans="1:4">
      <c r="A59" s="31" t="s">
        <v>85</v>
      </c>
      <c r="B59" s="31">
        <v>2007</v>
      </c>
      <c r="C59" s="33">
        <v>9.3815144999999998</v>
      </c>
      <c r="D59" s="33">
        <v>10.064684979999999</v>
      </c>
    </row>
    <row r="60" spans="1:4">
      <c r="A60" s="31" t="s">
        <v>85</v>
      </c>
      <c r="B60" s="31">
        <v>2008</v>
      </c>
      <c r="C60" s="33">
        <v>1228.1265535</v>
      </c>
      <c r="D60" s="33">
        <v>82.706114900000003</v>
      </c>
    </row>
    <row r="61" spans="1:4">
      <c r="A61" s="31" t="s">
        <v>85</v>
      </c>
      <c r="B61" s="31">
        <v>2009</v>
      </c>
      <c r="C61" s="33">
        <v>165.20208149999999</v>
      </c>
      <c r="D61" s="33">
        <v>63.736938350000003</v>
      </c>
    </row>
    <row r="62" spans="1:4">
      <c r="A62" s="31" t="s">
        <v>85</v>
      </c>
      <c r="B62" s="31">
        <v>2010</v>
      </c>
      <c r="C62" s="33">
        <v>228.87756999999999</v>
      </c>
      <c r="D62" s="33">
        <v>219.93004099999999</v>
      </c>
    </row>
    <row r="63" spans="1:4">
      <c r="A63" s="31" t="s">
        <v>85</v>
      </c>
      <c r="B63" s="31">
        <v>2011</v>
      </c>
      <c r="C63" s="33">
        <v>1143.2782084999999</v>
      </c>
      <c r="D63" s="33">
        <v>89.722435869999998</v>
      </c>
    </row>
    <row r="64" spans="1:4">
      <c r="A64" s="31" t="s">
        <v>85</v>
      </c>
      <c r="B64" s="31">
        <v>2012</v>
      </c>
      <c r="C64" s="33">
        <v>51.850521000000001</v>
      </c>
      <c r="D64" s="33">
        <v>6.2516135449999997</v>
      </c>
    </row>
    <row r="65" spans="1:4">
      <c r="A65" s="31" t="s">
        <v>85</v>
      </c>
      <c r="B65" s="31">
        <v>2013</v>
      </c>
      <c r="C65" s="33">
        <v>44.759533949460582</v>
      </c>
      <c r="D65" s="33">
        <v>54.473668590000003</v>
      </c>
    </row>
    <row r="66" spans="1:4">
      <c r="A66" s="31" t="s">
        <v>85</v>
      </c>
      <c r="B66" s="31">
        <v>2014</v>
      </c>
      <c r="C66" s="33">
        <v>1.4627130474824486</v>
      </c>
      <c r="D66" s="33">
        <v>34.75123748</v>
      </c>
    </row>
    <row r="67" spans="1:4">
      <c r="A67" s="31" t="s">
        <v>86</v>
      </c>
      <c r="B67" s="31">
        <v>2007</v>
      </c>
      <c r="C67" s="33">
        <v>25.589005499999999</v>
      </c>
      <c r="D67" s="33">
        <v>32.213012640000002</v>
      </c>
    </row>
    <row r="68" spans="1:4">
      <c r="A68" s="31" t="s">
        <v>86</v>
      </c>
      <c r="B68" s="31">
        <v>2008</v>
      </c>
      <c r="C68" s="33">
        <v>38920.967033500005</v>
      </c>
      <c r="D68" s="33">
        <v>206.38943879999999</v>
      </c>
    </row>
    <row r="69" spans="1:4">
      <c r="A69" s="31" t="s">
        <v>86</v>
      </c>
      <c r="B69" s="31">
        <v>2009</v>
      </c>
      <c r="C69" s="33">
        <v>5764.3634225000005</v>
      </c>
      <c r="D69" s="33">
        <v>148.00683459999999</v>
      </c>
    </row>
    <row r="70" spans="1:4">
      <c r="A70" s="31" t="s">
        <v>86</v>
      </c>
      <c r="B70" s="31">
        <v>2010</v>
      </c>
      <c r="C70" s="33">
        <v>7894.9311450000005</v>
      </c>
      <c r="D70" s="33">
        <v>410.64132769999998</v>
      </c>
    </row>
    <row r="71" spans="1:4">
      <c r="A71" s="31" t="s">
        <v>86</v>
      </c>
      <c r="B71" s="31">
        <v>2011</v>
      </c>
      <c r="C71" s="33">
        <v>861.3844335</v>
      </c>
      <c r="D71" s="33">
        <v>161.4046257</v>
      </c>
    </row>
    <row r="72" spans="1:4">
      <c r="A72" s="31" t="s">
        <v>86</v>
      </c>
      <c r="B72" s="31">
        <v>2012</v>
      </c>
      <c r="C72" s="33">
        <v>1626.9922345</v>
      </c>
      <c r="D72" s="33">
        <v>41.540483250000001</v>
      </c>
    </row>
    <row r="73" spans="1:4">
      <c r="A73" s="31" t="s">
        <v>86</v>
      </c>
      <c r="B73" s="31">
        <v>2013</v>
      </c>
      <c r="C73" s="33">
        <v>2676.0664899909816</v>
      </c>
      <c r="D73" s="33">
        <v>129.65508209999999</v>
      </c>
    </row>
    <row r="74" spans="1:4">
      <c r="A74" s="31" t="s">
        <v>86</v>
      </c>
      <c r="B74" s="31">
        <v>2014</v>
      </c>
      <c r="C74" s="33">
        <v>581.74287392122449</v>
      </c>
      <c r="D74" s="33">
        <v>152.5351871</v>
      </c>
    </row>
    <row r="75" spans="1:4">
      <c r="A75" s="31" t="s">
        <v>87</v>
      </c>
      <c r="B75" s="31">
        <v>2007</v>
      </c>
      <c r="C75" s="33">
        <v>0</v>
      </c>
      <c r="D75" s="33">
        <v>1.3323756179999999</v>
      </c>
    </row>
    <row r="76" spans="1:4">
      <c r="A76" s="31" t="s">
        <v>87</v>
      </c>
      <c r="B76" s="31">
        <v>2008</v>
      </c>
      <c r="C76" s="33">
        <v>735.59663791885669</v>
      </c>
      <c r="D76" s="33">
        <v>78.08</v>
      </c>
    </row>
    <row r="77" spans="1:4">
      <c r="A77" s="31" t="s">
        <v>87</v>
      </c>
      <c r="B77" s="31">
        <v>2009</v>
      </c>
      <c r="C77" s="33">
        <v>27.449980464969979</v>
      </c>
      <c r="D77" s="33">
        <v>23.00911404</v>
      </c>
    </row>
    <row r="78" spans="1:4">
      <c r="A78" s="31" t="s">
        <v>87</v>
      </c>
      <c r="B78" s="31">
        <v>2010</v>
      </c>
      <c r="C78" s="33">
        <v>0</v>
      </c>
      <c r="D78" s="33">
        <v>75.887513389999995</v>
      </c>
    </row>
    <row r="79" spans="1:4">
      <c r="A79" s="31" t="s">
        <v>87</v>
      </c>
      <c r="B79" s="31">
        <v>2011</v>
      </c>
      <c r="C79" s="33">
        <v>252.05089526632318</v>
      </c>
      <c r="D79" s="33">
        <v>77.570064169999995</v>
      </c>
    </row>
    <row r="80" spans="1:4">
      <c r="A80" s="31" t="s">
        <v>87</v>
      </c>
      <c r="B80" s="31">
        <v>2012</v>
      </c>
      <c r="C80" s="33">
        <v>35.738421386747746</v>
      </c>
      <c r="D80" s="33">
        <v>6.2133720429999997</v>
      </c>
    </row>
    <row r="81" spans="1:4">
      <c r="A81" s="31" t="s">
        <v>87</v>
      </c>
      <c r="B81" s="31">
        <v>2013</v>
      </c>
      <c r="C81" s="33">
        <v>138.15932382769441</v>
      </c>
      <c r="D81" s="33">
        <v>78.000056549999996</v>
      </c>
    </row>
    <row r="82" spans="1:4">
      <c r="A82" s="31" t="s">
        <v>87</v>
      </c>
      <c r="B82" s="31">
        <v>2014</v>
      </c>
      <c r="C82" s="33">
        <v>25.959521210944054</v>
      </c>
      <c r="D82" s="33">
        <v>72.918962030000003</v>
      </c>
    </row>
    <row r="83" spans="1:4">
      <c r="A83" s="31" t="s">
        <v>88</v>
      </c>
      <c r="B83" s="31">
        <v>2007</v>
      </c>
      <c r="C83" s="33">
        <v>0</v>
      </c>
      <c r="D83" s="33">
        <v>11.00669244</v>
      </c>
    </row>
    <row r="84" spans="1:4">
      <c r="A84" s="31" t="s">
        <v>88</v>
      </c>
      <c r="B84" s="31">
        <v>2008</v>
      </c>
      <c r="C84" s="33">
        <v>713.71345288349949</v>
      </c>
      <c r="D84" s="33">
        <v>66.7</v>
      </c>
    </row>
    <row r="85" spans="1:4">
      <c r="A85" s="31" t="s">
        <v>88</v>
      </c>
      <c r="B85" s="31">
        <v>2009</v>
      </c>
      <c r="C85" s="33">
        <v>57.206995257035764</v>
      </c>
      <c r="D85" s="33">
        <v>19.405642870000001</v>
      </c>
    </row>
    <row r="86" spans="1:4">
      <c r="A86" s="31" t="s">
        <v>88</v>
      </c>
      <c r="B86" s="31">
        <v>2010</v>
      </c>
      <c r="C86" s="33">
        <v>212.14426116039894</v>
      </c>
      <c r="D86" s="33">
        <v>198.36017229999999</v>
      </c>
    </row>
    <row r="87" spans="1:4">
      <c r="A87" s="31" t="s">
        <v>88</v>
      </c>
      <c r="B87" s="31">
        <v>2011</v>
      </c>
      <c r="C87" s="33">
        <v>314.64576106046667</v>
      </c>
      <c r="D87" s="33">
        <v>85.292450090000003</v>
      </c>
    </row>
    <row r="88" spans="1:4">
      <c r="A88" s="31" t="s">
        <v>88</v>
      </c>
      <c r="B88" s="31">
        <v>2012</v>
      </c>
      <c r="C88" s="33">
        <v>0.36205666756008531</v>
      </c>
      <c r="D88" s="33">
        <v>1.5123754149999999</v>
      </c>
    </row>
    <row r="89" spans="1:4">
      <c r="A89" s="31" t="s">
        <v>88</v>
      </c>
      <c r="B89" s="31">
        <v>2013</v>
      </c>
      <c r="C89" s="33">
        <v>89.694819279963355</v>
      </c>
      <c r="D89" s="33">
        <v>48.115536159999998</v>
      </c>
    </row>
    <row r="90" spans="1:4">
      <c r="A90" s="31" t="s">
        <v>88</v>
      </c>
      <c r="B90" s="31">
        <v>2014</v>
      </c>
      <c r="C90" s="33">
        <v>1.7575973737140544</v>
      </c>
      <c r="D90" s="33">
        <v>25.608833520000001</v>
      </c>
    </row>
    <row r="91" spans="1:4">
      <c r="A91" s="31" t="s">
        <v>89</v>
      </c>
      <c r="B91" s="31">
        <v>2007</v>
      </c>
      <c r="C91" s="33">
        <v>0</v>
      </c>
      <c r="D91" s="33">
        <v>4.9997244649999999</v>
      </c>
    </row>
    <row r="92" spans="1:4">
      <c r="A92" s="31" t="s">
        <v>89</v>
      </c>
      <c r="B92" s="31">
        <v>2008</v>
      </c>
      <c r="C92" s="33">
        <v>8156.0983365131306</v>
      </c>
      <c r="D92" s="33">
        <v>71.12</v>
      </c>
    </row>
    <row r="93" spans="1:4">
      <c r="A93" s="31" t="s">
        <v>89</v>
      </c>
      <c r="B93" s="31">
        <v>2009</v>
      </c>
      <c r="C93" s="33">
        <v>347.16679944938971</v>
      </c>
      <c r="D93" s="33">
        <v>51.989022169999998</v>
      </c>
    </row>
    <row r="94" spans="1:4">
      <c r="A94" s="31" t="s">
        <v>89</v>
      </c>
      <c r="B94" s="31">
        <v>2010</v>
      </c>
      <c r="C94" s="33">
        <v>5470.8616373165632</v>
      </c>
      <c r="D94" s="33">
        <v>308.29636269999997</v>
      </c>
    </row>
    <row r="95" spans="1:4">
      <c r="A95" s="31" t="s">
        <v>89</v>
      </c>
      <c r="B95" s="31">
        <v>2011</v>
      </c>
      <c r="C95" s="33">
        <v>1868.9736449212846</v>
      </c>
      <c r="D95" s="33">
        <v>101.7690149</v>
      </c>
    </row>
    <row r="96" spans="1:4">
      <c r="A96" s="31" t="s">
        <v>89</v>
      </c>
      <c r="B96" s="31">
        <v>2012</v>
      </c>
      <c r="C96" s="33">
        <v>117.88311911802715</v>
      </c>
      <c r="D96" s="33">
        <v>4.0088068889999997</v>
      </c>
    </row>
    <row r="97" spans="1:4">
      <c r="A97" s="31" t="s">
        <v>89</v>
      </c>
      <c r="B97" s="31">
        <v>2013</v>
      </c>
      <c r="C97" s="33">
        <v>1698.8229671933923</v>
      </c>
      <c r="D97" s="33">
        <v>238.7060535</v>
      </c>
    </row>
    <row r="98" spans="1:4">
      <c r="A98" s="31" t="s">
        <v>89</v>
      </c>
      <c r="B98" s="31">
        <v>2014</v>
      </c>
      <c r="C98" s="33">
        <v>39.927187763381177</v>
      </c>
      <c r="D98" s="33">
        <v>33.62669537</v>
      </c>
    </row>
  </sheetData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5664-AF93-EA41-AD25-9C8A63E8A4BD}">
  <dimension ref="A1:S112"/>
  <sheetViews>
    <sheetView workbookViewId="0">
      <selection activeCell="Q8" sqref="Q8"/>
    </sheetView>
  </sheetViews>
  <sheetFormatPr baseColWidth="10" defaultRowHeight="16"/>
  <cols>
    <col min="3" max="3" width="25.83203125" bestFit="1" customWidth="1"/>
    <col min="4" max="6" width="25.83203125" customWidth="1"/>
    <col min="7" max="7" width="13.33203125" customWidth="1"/>
    <col min="8" max="9" width="11" bestFit="1" customWidth="1"/>
    <col min="10" max="10" width="14.5" bestFit="1" customWidth="1"/>
    <col min="12" max="13" width="11" bestFit="1" customWidth="1"/>
    <col min="14" max="14" width="11.6640625" bestFit="1" customWidth="1"/>
    <col min="16" max="16" width="11" bestFit="1" customWidth="1"/>
    <col min="17" max="17" width="11.6640625" bestFit="1" customWidth="1"/>
  </cols>
  <sheetData>
    <row r="1" spans="1:19">
      <c r="A1" t="s">
        <v>90</v>
      </c>
      <c r="O1" t="s">
        <v>90</v>
      </c>
    </row>
    <row r="2" spans="1:19">
      <c r="O2" t="s">
        <v>77</v>
      </c>
      <c r="P2" t="s">
        <v>100</v>
      </c>
      <c r="Q2" t="s">
        <v>299</v>
      </c>
      <c r="R2" t="s">
        <v>207</v>
      </c>
      <c r="S2" t="s">
        <v>300</v>
      </c>
    </row>
    <row r="3" spans="1:19">
      <c r="O3" t="s">
        <v>75</v>
      </c>
      <c r="P3" s="5">
        <v>82.882092142944472</v>
      </c>
      <c r="Q3">
        <v>1.1208500000000001E-3</v>
      </c>
      <c r="R3">
        <f>P3*Q3</f>
        <v>9.2898392978419314E-2</v>
      </c>
      <c r="S3" s="11">
        <v>9.2898392978419314E-2</v>
      </c>
    </row>
    <row r="4" spans="1:19">
      <c r="A4" t="s">
        <v>77</v>
      </c>
      <c r="B4" t="s">
        <v>78</v>
      </c>
      <c r="C4" t="s">
        <v>76</v>
      </c>
      <c r="D4" t="s">
        <v>207</v>
      </c>
      <c r="E4" s="5" t="s">
        <v>92</v>
      </c>
      <c r="F4" s="5"/>
      <c r="G4" t="s">
        <v>296</v>
      </c>
      <c r="H4" t="s">
        <v>297</v>
      </c>
      <c r="J4" t="s">
        <v>298</v>
      </c>
      <c r="K4">
        <v>1.1208500000000001E-3</v>
      </c>
      <c r="L4" t="s">
        <v>207</v>
      </c>
      <c r="O4" t="s">
        <v>79</v>
      </c>
      <c r="P4" s="5">
        <v>228.84200165127913</v>
      </c>
      <c r="Q4">
        <v>1.1208500000000001E-3</v>
      </c>
      <c r="R4">
        <f t="shared" ref="R4:R14" si="0">P4*Q4</f>
        <v>0.25649755755083625</v>
      </c>
      <c r="S4" s="11">
        <v>0.25649755755083625</v>
      </c>
    </row>
    <row r="5" spans="1:19">
      <c r="A5" t="s">
        <v>75</v>
      </c>
      <c r="B5">
        <v>2007</v>
      </c>
      <c r="C5" s="5">
        <v>35.125259243475504</v>
      </c>
      <c r="D5" s="5">
        <f>C5*0.00112085</f>
        <v>3.9370146823049519E-2</v>
      </c>
      <c r="E5">
        <f>D5*1000</f>
        <v>39.370146823049517</v>
      </c>
      <c r="G5" s="5">
        <f>AVERAGE(C5:C12)</f>
        <v>82.882092142944472</v>
      </c>
      <c r="H5" s="5">
        <f>AVERAGE(C5:C10)</f>
        <v>104.92979937154725</v>
      </c>
      <c r="J5" s="5">
        <v>104.92979937154725</v>
      </c>
      <c r="K5">
        <v>1.1208500000000001E-3</v>
      </c>
      <c r="L5">
        <f t="shared" ref="L5:L16" si="1">J5*K5</f>
        <v>0.11761056562559874</v>
      </c>
      <c r="O5" t="s">
        <v>80</v>
      </c>
      <c r="P5" s="5">
        <v>92.823852796662607</v>
      </c>
      <c r="Q5">
        <v>1.1208500000000001E-3</v>
      </c>
      <c r="R5">
        <f t="shared" si="0"/>
        <v>0.10404161540713928</v>
      </c>
      <c r="S5" s="11">
        <v>0.10404161540713928</v>
      </c>
    </row>
    <row r="6" spans="1:19">
      <c r="A6" t="s">
        <v>75</v>
      </c>
      <c r="B6">
        <v>2008</v>
      </c>
      <c r="C6" s="5">
        <v>8.7722278788735686</v>
      </c>
      <c r="D6" s="5">
        <f t="shared" ref="D6:D69" si="2">C6*0.00112085</f>
        <v>9.8323516180354401E-3</v>
      </c>
      <c r="E6">
        <f t="shared" ref="E6:E69" si="3">D6*1000</f>
        <v>9.8323516180354407</v>
      </c>
      <c r="J6" s="5">
        <v>302.58271295394815</v>
      </c>
      <c r="K6">
        <v>1.1208500000000001E-3</v>
      </c>
      <c r="L6">
        <f t="shared" si="1"/>
        <v>0.33914983381443281</v>
      </c>
      <c r="O6" t="s">
        <v>81</v>
      </c>
      <c r="P6" s="5">
        <v>553.99369283023168</v>
      </c>
      <c r="Q6">
        <v>1.1208500000000001E-3</v>
      </c>
      <c r="R6">
        <f t="shared" si="0"/>
        <v>0.62094383060876523</v>
      </c>
      <c r="S6" s="11">
        <v>0.62094383060876523</v>
      </c>
    </row>
    <row r="7" spans="1:19">
      <c r="A7" t="s">
        <v>75</v>
      </c>
      <c r="B7">
        <v>2009</v>
      </c>
      <c r="C7" s="5">
        <v>65.311380244173932</v>
      </c>
      <c r="D7" s="5">
        <f t="shared" si="2"/>
        <v>7.3204260546682359E-2</v>
      </c>
      <c r="E7">
        <f t="shared" si="3"/>
        <v>73.204260546682363</v>
      </c>
      <c r="J7" s="5">
        <v>114.31219542520796</v>
      </c>
      <c r="K7">
        <v>1.1208500000000001E-3</v>
      </c>
      <c r="L7">
        <f t="shared" si="1"/>
        <v>0.12812682424234434</v>
      </c>
      <c r="O7" t="s">
        <v>82</v>
      </c>
      <c r="P7" s="5">
        <v>128.59492716393541</v>
      </c>
      <c r="Q7">
        <v>1.1208500000000001E-3</v>
      </c>
      <c r="R7">
        <f t="shared" si="0"/>
        <v>0.144135624111697</v>
      </c>
      <c r="S7" s="11">
        <v>0.144135624111697</v>
      </c>
    </row>
    <row r="8" spans="1:19">
      <c r="A8" t="s">
        <v>75</v>
      </c>
      <c r="B8">
        <v>2010</v>
      </c>
      <c r="C8" s="5">
        <v>322.56673949395474</v>
      </c>
      <c r="D8" s="5">
        <f t="shared" si="2"/>
        <v>0.36154892996179921</v>
      </c>
      <c r="E8">
        <f t="shared" si="3"/>
        <v>361.54892996179922</v>
      </c>
      <c r="J8" s="5">
        <v>682.82062636730859</v>
      </c>
      <c r="K8">
        <v>1.1208500000000001E-3</v>
      </c>
      <c r="L8">
        <f t="shared" si="1"/>
        <v>0.76533949906379783</v>
      </c>
      <c r="O8" t="s">
        <v>83</v>
      </c>
      <c r="P8" s="5">
        <v>5869.6623065442827</v>
      </c>
      <c r="Q8">
        <v>1.1208500000000001E-3</v>
      </c>
      <c r="R8">
        <f t="shared" si="0"/>
        <v>6.57901099629016</v>
      </c>
      <c r="S8" s="11">
        <v>6.57901099629016</v>
      </c>
    </row>
    <row r="9" spans="1:19">
      <c r="A9" t="s">
        <v>75</v>
      </c>
      <c r="B9">
        <v>2011</v>
      </c>
      <c r="C9" s="5">
        <v>126.97183188368172</v>
      </c>
      <c r="D9" s="5">
        <f t="shared" si="2"/>
        <v>0.14231637776682465</v>
      </c>
      <c r="E9">
        <f t="shared" si="3"/>
        <v>142.31637776682464</v>
      </c>
      <c r="J9" s="5">
        <v>166.03958892540388</v>
      </c>
      <c r="K9">
        <v>1.1208500000000001E-3</v>
      </c>
      <c r="L9">
        <f t="shared" si="1"/>
        <v>0.18610547324703894</v>
      </c>
      <c r="O9" t="s">
        <v>84</v>
      </c>
      <c r="P9" s="5">
        <v>314.30889669454399</v>
      </c>
      <c r="Q9">
        <v>1.1208500000000001E-3</v>
      </c>
      <c r="R9">
        <f t="shared" si="0"/>
        <v>0.35229312686007963</v>
      </c>
      <c r="S9" s="11">
        <v>0.35229312686007963</v>
      </c>
    </row>
    <row r="10" spans="1:19">
      <c r="A10" t="s">
        <v>75</v>
      </c>
      <c r="B10">
        <v>2012</v>
      </c>
      <c r="C10" s="5">
        <v>70.831357485124045</v>
      </c>
      <c r="D10" s="5">
        <f t="shared" si="2"/>
        <v>7.9391327037201295E-2</v>
      </c>
      <c r="E10">
        <f t="shared" si="3"/>
        <v>79.391327037201293</v>
      </c>
      <c r="J10" s="5">
        <v>6702.8979286888325</v>
      </c>
      <c r="K10">
        <v>1.1208500000000001E-3</v>
      </c>
      <c r="L10">
        <f t="shared" si="1"/>
        <v>7.5129431433708787</v>
      </c>
      <c r="O10" t="s">
        <v>85</v>
      </c>
      <c r="P10" s="5">
        <v>320.39732078299318</v>
      </c>
      <c r="Q10">
        <v>1.1208500000000001E-3</v>
      </c>
      <c r="R10">
        <f t="shared" si="0"/>
        <v>0.3591173369996179</v>
      </c>
      <c r="S10" s="11">
        <v>0.3591173369996179</v>
      </c>
    </row>
    <row r="11" spans="1:19">
      <c r="A11" t="s">
        <v>75</v>
      </c>
      <c r="B11">
        <v>2013</v>
      </c>
      <c r="C11" s="5">
        <v>29.293292099529801</v>
      </c>
      <c r="D11" s="5">
        <f t="shared" si="2"/>
        <v>3.283338644975798E-2</v>
      </c>
      <c r="E11">
        <f t="shared" si="3"/>
        <v>32.833386449757981</v>
      </c>
      <c r="J11" s="5">
        <v>396.63666666666671</v>
      </c>
      <c r="K11">
        <v>1.1208500000000001E-3</v>
      </c>
      <c r="L11">
        <f t="shared" si="1"/>
        <v>0.4445702078333334</v>
      </c>
      <c r="O11" t="s">
        <v>86</v>
      </c>
      <c r="P11" s="5">
        <v>6507.5653118628952</v>
      </c>
      <c r="Q11">
        <v>1.1208500000000001E-3</v>
      </c>
      <c r="R11">
        <f t="shared" si="0"/>
        <v>7.2940045798015261</v>
      </c>
      <c r="S11" s="11">
        <v>7.2940045798015261</v>
      </c>
    </row>
    <row r="12" spans="1:19">
      <c r="A12" t="s">
        <v>75</v>
      </c>
      <c r="B12">
        <v>2014</v>
      </c>
      <c r="C12" s="5">
        <v>4.1846488147424896</v>
      </c>
      <c r="D12" s="5">
        <f t="shared" si="2"/>
        <v>4.6903636240041196E-3</v>
      </c>
      <c r="E12">
        <f t="shared" si="3"/>
        <v>4.69036362400412</v>
      </c>
      <c r="J12" s="5">
        <v>420.32333333333332</v>
      </c>
      <c r="K12">
        <v>1.1208500000000001E-3</v>
      </c>
      <c r="L12">
        <f t="shared" si="1"/>
        <v>0.4711194081666667</v>
      </c>
      <c r="O12" t="s">
        <v>87</v>
      </c>
      <c r="P12" s="5">
        <v>135.4948008292296</v>
      </c>
      <c r="Q12">
        <v>1.1208500000000001E-3</v>
      </c>
      <c r="R12">
        <f t="shared" si="0"/>
        <v>0.151869347509442</v>
      </c>
      <c r="S12" s="11">
        <v>0.151869347509442</v>
      </c>
    </row>
    <row r="13" spans="1:19">
      <c r="A13" t="s">
        <v>75</v>
      </c>
      <c r="B13">
        <v>2015</v>
      </c>
      <c r="C13" s="5">
        <v>106.786328217293</v>
      </c>
      <c r="D13" s="5">
        <f t="shared" si="2"/>
        <v>0.11969145598235287</v>
      </c>
      <c r="E13">
        <f t="shared" si="3"/>
        <v>119.69145598235286</v>
      </c>
      <c r="J13" s="5">
        <v>8192.3283333333329</v>
      </c>
      <c r="K13">
        <v>1.1208500000000001E-3</v>
      </c>
      <c r="L13">
        <f t="shared" si="1"/>
        <v>9.1823712124166672</v>
      </c>
      <c r="O13" t="s">
        <v>88</v>
      </c>
      <c r="P13" s="5">
        <v>154.96330281512229</v>
      </c>
      <c r="Q13">
        <v>1.1208500000000001E-3</v>
      </c>
      <c r="R13">
        <f t="shared" si="0"/>
        <v>0.17369061796032984</v>
      </c>
      <c r="S13" s="11">
        <v>0.17369061796032984</v>
      </c>
    </row>
    <row r="14" spans="1:19">
      <c r="A14" t="s">
        <v>79</v>
      </c>
      <c r="B14">
        <v>2007</v>
      </c>
      <c r="C14" s="5">
        <v>2.6203591973979673E-4</v>
      </c>
      <c r="D14" s="5">
        <f t="shared" si="2"/>
        <v>2.9370296064035117E-7</v>
      </c>
      <c r="E14">
        <f t="shared" si="3"/>
        <v>2.9370296064035119E-4</v>
      </c>
      <c r="G14" s="5">
        <f>AVERAGE(C14:C21)</f>
        <v>228.84200165127913</v>
      </c>
      <c r="H14" s="5">
        <f>AVERAGE(C14:C19)</f>
        <v>302.58271295394815</v>
      </c>
      <c r="J14" s="5">
        <v>156.25580809755954</v>
      </c>
      <c r="K14">
        <v>1.1208500000000001E-3</v>
      </c>
      <c r="L14">
        <f t="shared" si="1"/>
        <v>0.17513932250614961</v>
      </c>
      <c r="O14" t="s">
        <v>89</v>
      </c>
      <c r="P14" s="5">
        <v>1973.9186434709334</v>
      </c>
      <c r="Q14">
        <v>1.1208500000000001E-3</v>
      </c>
      <c r="R14">
        <f t="shared" si="0"/>
        <v>2.2124667115343959</v>
      </c>
      <c r="S14" s="11">
        <v>2.2124667115343959</v>
      </c>
    </row>
    <row r="15" spans="1:19">
      <c r="A15" t="s">
        <v>79</v>
      </c>
      <c r="B15">
        <v>2008</v>
      </c>
      <c r="C15" s="5">
        <v>1150.3254525710854</v>
      </c>
      <c r="D15" s="5">
        <f t="shared" si="2"/>
        <v>1.2893422835143011</v>
      </c>
      <c r="E15">
        <f t="shared" si="3"/>
        <v>1289.3422835143012</v>
      </c>
      <c r="J15" s="5">
        <v>193.01906693267924</v>
      </c>
      <c r="K15">
        <v>1.1208500000000001E-3</v>
      </c>
      <c r="L15">
        <f t="shared" si="1"/>
        <v>0.21634542117149352</v>
      </c>
    </row>
    <row r="16" spans="1:19">
      <c r="A16" t="s">
        <v>79</v>
      </c>
      <c r="B16">
        <v>2009</v>
      </c>
      <c r="C16" s="5">
        <v>137.87757428647029</v>
      </c>
      <c r="D16" s="5">
        <f t="shared" si="2"/>
        <v>0.15454007913899023</v>
      </c>
      <c r="E16">
        <f t="shared" si="3"/>
        <v>154.54007913899022</v>
      </c>
      <c r="J16" s="5">
        <v>2373.3451602680097</v>
      </c>
      <c r="K16">
        <v>1.1208500000000001E-3</v>
      </c>
      <c r="L16">
        <f t="shared" si="1"/>
        <v>2.6601639228863987</v>
      </c>
    </row>
    <row r="17" spans="1:8">
      <c r="A17" t="s">
        <v>79</v>
      </c>
      <c r="B17">
        <v>2010</v>
      </c>
      <c r="C17" s="5">
        <v>344.45259184153991</v>
      </c>
      <c r="D17" s="5">
        <f t="shared" si="2"/>
        <v>0.38607968756559002</v>
      </c>
      <c r="E17">
        <f t="shared" si="3"/>
        <v>386.07968756559001</v>
      </c>
    </row>
    <row r="18" spans="1:8">
      <c r="A18" t="s">
        <v>79</v>
      </c>
      <c r="B18">
        <v>2011</v>
      </c>
      <c r="C18" s="5">
        <v>178.35173981464973</v>
      </c>
      <c r="D18" s="5">
        <f t="shared" si="2"/>
        <v>0.19990554757125018</v>
      </c>
      <c r="E18">
        <f t="shared" si="3"/>
        <v>199.90554757125017</v>
      </c>
    </row>
    <row r="19" spans="1:8">
      <c r="A19" t="s">
        <v>79</v>
      </c>
      <c r="B19">
        <v>2012</v>
      </c>
      <c r="C19" s="5">
        <v>4.488657174023424</v>
      </c>
      <c r="D19" s="5">
        <f t="shared" si="2"/>
        <v>5.031111393504155E-3</v>
      </c>
      <c r="E19">
        <f t="shared" si="3"/>
        <v>5.0311113935041547</v>
      </c>
    </row>
    <row r="20" spans="1:8">
      <c r="A20" t="s">
        <v>79</v>
      </c>
      <c r="B20">
        <v>2013</v>
      </c>
      <c r="C20" s="5">
        <v>7.5803373709290103</v>
      </c>
      <c r="D20" s="5">
        <f t="shared" si="2"/>
        <v>8.4964211422057824E-3</v>
      </c>
      <c r="E20">
        <f t="shared" si="3"/>
        <v>8.4964211422057829</v>
      </c>
    </row>
    <row r="21" spans="1:8">
      <c r="A21" t="s">
        <v>79</v>
      </c>
      <c r="B21">
        <v>2014</v>
      </c>
      <c r="C21" s="5">
        <v>7.6593981156151596</v>
      </c>
      <c r="D21" s="5">
        <f t="shared" si="2"/>
        <v>8.5850363778872518E-3</v>
      </c>
      <c r="E21">
        <f t="shared" si="3"/>
        <v>8.5850363778872509</v>
      </c>
    </row>
    <row r="22" spans="1:8">
      <c r="A22" t="s">
        <v>79</v>
      </c>
      <c r="B22">
        <v>2015</v>
      </c>
      <c r="C22" s="5">
        <v>108.815730825258</v>
      </c>
      <c r="D22" s="5">
        <f t="shared" si="2"/>
        <v>0.12196611189549043</v>
      </c>
      <c r="E22">
        <f t="shared" si="3"/>
        <v>121.96611189549043</v>
      </c>
    </row>
    <row r="23" spans="1:8">
      <c r="A23" t="s">
        <v>80</v>
      </c>
      <c r="B23">
        <v>2007</v>
      </c>
      <c r="C23" s="5">
        <v>79.843160279889588</v>
      </c>
      <c r="D23" s="5">
        <f t="shared" si="2"/>
        <v>8.949220619971425E-2</v>
      </c>
      <c r="E23">
        <f t="shared" si="3"/>
        <v>89.492206199714246</v>
      </c>
      <c r="G23" s="5">
        <f>AVERAGE(C23:C30)</f>
        <v>92.823852796662607</v>
      </c>
      <c r="H23" s="5">
        <f>AVERAGE(C23:C28)</f>
        <v>114.31219542520796</v>
      </c>
    </row>
    <row r="24" spans="1:8">
      <c r="A24" t="s">
        <v>80</v>
      </c>
      <c r="B24">
        <v>2008</v>
      </c>
      <c r="C24" s="5">
        <v>95.819114501297761</v>
      </c>
      <c r="D24" s="5">
        <f t="shared" si="2"/>
        <v>0.1073988544887796</v>
      </c>
      <c r="E24">
        <f t="shared" si="3"/>
        <v>107.39885448877961</v>
      </c>
    </row>
    <row r="25" spans="1:8">
      <c r="A25" t="s">
        <v>80</v>
      </c>
      <c r="B25">
        <v>2009</v>
      </c>
      <c r="C25" s="5">
        <v>16.521516949797288</v>
      </c>
      <c r="D25" s="5">
        <f t="shared" si="2"/>
        <v>1.8518142273180292E-2</v>
      </c>
      <c r="E25">
        <f t="shared" si="3"/>
        <v>18.518142273180292</v>
      </c>
    </row>
    <row r="26" spans="1:8">
      <c r="A26" t="s">
        <v>80</v>
      </c>
      <c r="B26">
        <v>2010</v>
      </c>
      <c r="C26" s="5">
        <v>371.74994489721428</v>
      </c>
      <c r="D26" s="5">
        <f t="shared" si="2"/>
        <v>0.41667592573804263</v>
      </c>
      <c r="E26">
        <f t="shared" si="3"/>
        <v>416.67592573804262</v>
      </c>
    </row>
    <row r="27" spans="1:8">
      <c r="A27" t="s">
        <v>80</v>
      </c>
      <c r="B27">
        <v>2011</v>
      </c>
      <c r="C27" s="5">
        <v>121.43352583921551</v>
      </c>
      <c r="D27" s="5">
        <f t="shared" si="2"/>
        <v>0.13610876743688471</v>
      </c>
      <c r="E27">
        <f t="shared" si="3"/>
        <v>136.1087674368847</v>
      </c>
    </row>
    <row r="28" spans="1:8">
      <c r="A28" t="s">
        <v>80</v>
      </c>
      <c r="B28">
        <v>2012</v>
      </c>
      <c r="C28" s="5">
        <v>0.50591008383340885</v>
      </c>
      <c r="D28" s="5">
        <f t="shared" si="2"/>
        <v>5.6704931746467632E-4</v>
      </c>
      <c r="E28">
        <f t="shared" si="3"/>
        <v>0.56704931746467635</v>
      </c>
    </row>
    <row r="29" spans="1:8">
      <c r="A29" t="s">
        <v>80</v>
      </c>
      <c r="B29">
        <v>2013</v>
      </c>
      <c r="C29" s="5">
        <v>50.518008510302003</v>
      </c>
      <c r="D29" s="5">
        <f t="shared" si="2"/>
        <v>5.6623109838772001E-2</v>
      </c>
      <c r="E29">
        <f t="shared" si="3"/>
        <v>56.623109838772002</v>
      </c>
    </row>
    <row r="30" spans="1:8">
      <c r="A30" t="s">
        <v>80</v>
      </c>
      <c r="B30">
        <v>2014</v>
      </c>
      <c r="C30" s="5">
        <v>6.1996413117511002</v>
      </c>
      <c r="D30" s="5">
        <f t="shared" si="2"/>
        <v>6.9488679642762214E-3</v>
      </c>
      <c r="E30">
        <f t="shared" si="3"/>
        <v>6.9488679642762214</v>
      </c>
    </row>
    <row r="31" spans="1:8">
      <c r="A31" t="s">
        <v>80</v>
      </c>
      <c r="B31">
        <v>2015</v>
      </c>
      <c r="C31" s="5">
        <v>229.41424087611</v>
      </c>
      <c r="D31" s="5">
        <f t="shared" si="2"/>
        <v>0.2571389518859879</v>
      </c>
      <c r="E31">
        <f t="shared" si="3"/>
        <v>257.13895188598792</v>
      </c>
    </row>
    <row r="32" spans="1:8">
      <c r="A32" t="s">
        <v>81</v>
      </c>
      <c r="B32">
        <v>2007</v>
      </c>
      <c r="C32" s="5">
        <v>188.5646755017691</v>
      </c>
      <c r="D32" s="5">
        <f t="shared" si="2"/>
        <v>0.21135271653615792</v>
      </c>
      <c r="E32">
        <f t="shared" si="3"/>
        <v>211.35271653615791</v>
      </c>
      <c r="G32" s="5">
        <f>AVERAGE(C32:C39)</f>
        <v>553.99369283023168</v>
      </c>
      <c r="H32" s="5">
        <f>AVERAGE(C32:C37)</f>
        <v>682.82062636730859</v>
      </c>
    </row>
    <row r="33" spans="1:11">
      <c r="A33" t="s">
        <v>81</v>
      </c>
      <c r="B33">
        <v>2008</v>
      </c>
      <c r="C33" s="5">
        <v>2146.1594822566103</v>
      </c>
      <c r="D33" s="5">
        <f t="shared" si="2"/>
        <v>2.4055228556873218</v>
      </c>
      <c r="E33">
        <f t="shared" si="3"/>
        <v>2405.5228556873217</v>
      </c>
    </row>
    <row r="34" spans="1:11">
      <c r="A34" t="s">
        <v>81</v>
      </c>
      <c r="B34">
        <v>2009</v>
      </c>
      <c r="C34" s="5">
        <v>298.25719558585769</v>
      </c>
      <c r="D34" s="5">
        <f t="shared" si="2"/>
        <v>0.33430157767240859</v>
      </c>
      <c r="E34">
        <f t="shared" si="3"/>
        <v>334.3015776724086</v>
      </c>
    </row>
    <row r="35" spans="1:11">
      <c r="A35" t="s">
        <v>81</v>
      </c>
      <c r="B35">
        <v>2010</v>
      </c>
      <c r="C35" s="5">
        <v>1206.9556379989124</v>
      </c>
      <c r="D35" s="5">
        <f t="shared" si="2"/>
        <v>1.352816226851081</v>
      </c>
      <c r="E35">
        <f t="shared" si="3"/>
        <v>1352.816226851081</v>
      </c>
    </row>
    <row r="36" spans="1:11">
      <c r="A36" t="s">
        <v>81</v>
      </c>
      <c r="B36">
        <v>2011</v>
      </c>
      <c r="C36" s="5">
        <v>161.81034104848126</v>
      </c>
      <c r="D36" s="5">
        <f t="shared" si="2"/>
        <v>0.18136512076419023</v>
      </c>
      <c r="E36">
        <f t="shared" si="3"/>
        <v>181.36512076419024</v>
      </c>
    </row>
    <row r="37" spans="1:11">
      <c r="A37" t="s">
        <v>81</v>
      </c>
      <c r="B37">
        <v>2012</v>
      </c>
      <c r="C37" s="5">
        <v>95.176425812220288</v>
      </c>
      <c r="D37" s="5">
        <f t="shared" si="2"/>
        <v>0.10667849687162712</v>
      </c>
      <c r="E37">
        <f t="shared" si="3"/>
        <v>106.67849687162712</v>
      </c>
    </row>
    <row r="38" spans="1:11">
      <c r="A38" t="s">
        <v>81</v>
      </c>
      <c r="B38">
        <v>2013</v>
      </c>
      <c r="C38" s="5">
        <v>281.68900292915799</v>
      </c>
      <c r="D38" s="5">
        <f t="shared" si="2"/>
        <v>0.31573111893314676</v>
      </c>
      <c r="E38">
        <f t="shared" si="3"/>
        <v>315.73111893314677</v>
      </c>
    </row>
    <row r="39" spans="1:11">
      <c r="A39" t="s">
        <v>81</v>
      </c>
      <c r="B39">
        <v>2014</v>
      </c>
      <c r="C39" s="5">
        <v>53.336781508844297</v>
      </c>
      <c r="D39" s="5">
        <f t="shared" si="2"/>
        <v>5.9782531554188133E-2</v>
      </c>
      <c r="E39">
        <f t="shared" si="3"/>
        <v>59.782531554188132</v>
      </c>
    </row>
    <row r="40" spans="1:11">
      <c r="A40" t="s">
        <v>81</v>
      </c>
      <c r="B40">
        <v>2015</v>
      </c>
      <c r="C40" s="5">
        <v>168.957106297591</v>
      </c>
      <c r="D40" s="5">
        <f t="shared" si="2"/>
        <v>0.18937557259365487</v>
      </c>
      <c r="E40">
        <f t="shared" si="3"/>
        <v>189.37557259365488</v>
      </c>
    </row>
    <row r="41" spans="1:11">
      <c r="A41" t="s">
        <v>82</v>
      </c>
      <c r="B41">
        <v>2007</v>
      </c>
      <c r="C41" s="5">
        <v>99.094929186777847</v>
      </c>
      <c r="D41" s="5">
        <f t="shared" si="2"/>
        <v>0.11107055137899996</v>
      </c>
      <c r="E41">
        <f t="shared" si="3"/>
        <v>111.07055137899997</v>
      </c>
      <c r="G41" s="5">
        <f>AVERAGE(C41:C48)</f>
        <v>128.59492716393541</v>
      </c>
      <c r="H41" s="5">
        <f>AVERAGE(C41:C46)</f>
        <v>166.03958892540388</v>
      </c>
    </row>
    <row r="42" spans="1:11">
      <c r="A42" t="s">
        <v>82</v>
      </c>
      <c r="B42">
        <v>2008</v>
      </c>
      <c r="C42" s="5">
        <v>586.02943749552014</v>
      </c>
      <c r="D42" s="5">
        <f t="shared" si="2"/>
        <v>0.65685109501685379</v>
      </c>
      <c r="E42">
        <f t="shared" si="3"/>
        <v>656.85109501685383</v>
      </c>
    </row>
    <row r="43" spans="1:11">
      <c r="A43" t="s">
        <v>82</v>
      </c>
      <c r="B43">
        <v>2009</v>
      </c>
      <c r="C43" s="5">
        <v>0</v>
      </c>
      <c r="D43" s="5">
        <f t="shared" si="2"/>
        <v>0</v>
      </c>
      <c r="E43">
        <f t="shared" si="3"/>
        <v>0</v>
      </c>
    </row>
    <row r="44" spans="1:11">
      <c r="A44" t="s">
        <v>82</v>
      </c>
      <c r="B44">
        <v>2010</v>
      </c>
      <c r="C44" s="5">
        <v>141.54504313068381</v>
      </c>
      <c r="D44" s="5">
        <f t="shared" si="2"/>
        <v>0.15865076159302696</v>
      </c>
      <c r="E44">
        <f t="shared" si="3"/>
        <v>158.65076159302697</v>
      </c>
    </row>
    <row r="45" spans="1:11">
      <c r="A45" t="s">
        <v>82</v>
      </c>
      <c r="B45">
        <v>2011</v>
      </c>
      <c r="C45" s="5">
        <v>106.11463280608258</v>
      </c>
      <c r="D45" s="5">
        <f t="shared" si="2"/>
        <v>0.11893858618069766</v>
      </c>
      <c r="E45">
        <f t="shared" si="3"/>
        <v>118.93858618069767</v>
      </c>
    </row>
    <row r="46" spans="1:11">
      <c r="A46" t="s">
        <v>82</v>
      </c>
      <c r="B46">
        <v>2012</v>
      </c>
      <c r="C46" s="5">
        <v>63.453490933359021</v>
      </c>
      <c r="D46" s="5">
        <f t="shared" si="2"/>
        <v>7.112184531265546E-2</v>
      </c>
      <c r="E46">
        <f t="shared" si="3"/>
        <v>71.121845312655466</v>
      </c>
    </row>
    <row r="47" spans="1:11">
      <c r="A47" t="s">
        <v>82</v>
      </c>
      <c r="B47">
        <v>2013</v>
      </c>
      <c r="C47" s="5">
        <v>11.7719012182091</v>
      </c>
      <c r="D47" s="5">
        <f t="shared" si="2"/>
        <v>1.319453548042967E-2</v>
      </c>
      <c r="E47">
        <f t="shared" si="3"/>
        <v>13.19453548042967</v>
      </c>
    </row>
    <row r="48" spans="1:11">
      <c r="A48" t="s">
        <v>82</v>
      </c>
      <c r="B48">
        <v>2014</v>
      </c>
      <c r="C48" s="5">
        <v>20.749982540850802</v>
      </c>
      <c r="D48" s="5">
        <f t="shared" si="2"/>
        <v>2.3257617930912623E-2</v>
      </c>
      <c r="E48">
        <f t="shared" si="3"/>
        <v>23.257617930912623</v>
      </c>
      <c r="K48" s="5"/>
    </row>
    <row r="49" spans="1:8">
      <c r="A49" t="s">
        <v>82</v>
      </c>
      <c r="B49">
        <v>2015</v>
      </c>
      <c r="C49" s="5">
        <v>436.12336843304797</v>
      </c>
      <c r="D49" s="5">
        <f t="shared" si="2"/>
        <v>0.48882887750818182</v>
      </c>
      <c r="E49">
        <f t="shared" si="3"/>
        <v>488.82887750818185</v>
      </c>
    </row>
    <row r="50" spans="1:8">
      <c r="A50" t="s">
        <v>83</v>
      </c>
      <c r="B50">
        <v>2007</v>
      </c>
      <c r="C50" s="5">
        <v>124.6008104752127</v>
      </c>
      <c r="D50" s="5">
        <f t="shared" si="2"/>
        <v>0.13965881842114217</v>
      </c>
      <c r="E50">
        <f t="shared" si="3"/>
        <v>139.65881842114217</v>
      </c>
      <c r="G50" s="5">
        <f>AVERAGE(C50:C57)</f>
        <v>5869.6623065442827</v>
      </c>
      <c r="H50" s="5">
        <f>AVERAGE(C50:C55)</f>
        <v>6702.8979286888325</v>
      </c>
    </row>
    <row r="51" spans="1:8">
      <c r="A51" t="s">
        <v>83</v>
      </c>
      <c r="B51">
        <v>2008</v>
      </c>
      <c r="C51" s="5">
        <v>22039.093068987127</v>
      </c>
      <c r="D51" s="5">
        <f t="shared" si="2"/>
        <v>24.702517466374225</v>
      </c>
      <c r="E51">
        <f t="shared" si="3"/>
        <v>24702.517466374225</v>
      </c>
    </row>
    <row r="52" spans="1:8">
      <c r="A52" t="s">
        <v>83</v>
      </c>
      <c r="B52">
        <v>2009</v>
      </c>
      <c r="C52" s="5">
        <v>2436.5000215748505</v>
      </c>
      <c r="D52" s="5">
        <f t="shared" si="2"/>
        <v>2.7309510491821714</v>
      </c>
      <c r="E52">
        <f t="shared" si="3"/>
        <v>2730.9510491821716</v>
      </c>
    </row>
    <row r="53" spans="1:8">
      <c r="A53" t="s">
        <v>83</v>
      </c>
      <c r="B53">
        <v>2010</v>
      </c>
      <c r="C53" s="5">
        <v>12911.694662489737</v>
      </c>
      <c r="D53" s="5">
        <f t="shared" si="2"/>
        <v>14.472072962451623</v>
      </c>
      <c r="E53">
        <f t="shared" si="3"/>
        <v>14472.072962451623</v>
      </c>
    </row>
    <row r="54" spans="1:8">
      <c r="A54" t="s">
        <v>83</v>
      </c>
      <c r="B54">
        <v>2011</v>
      </c>
      <c r="C54" s="5">
        <v>1108.2729805102144</v>
      </c>
      <c r="D54" s="5">
        <f t="shared" si="2"/>
        <v>1.2422077702048739</v>
      </c>
      <c r="E54">
        <f t="shared" si="3"/>
        <v>1242.2077702048739</v>
      </c>
    </row>
    <row r="55" spans="1:8">
      <c r="A55" t="s">
        <v>83</v>
      </c>
      <c r="B55">
        <v>2012</v>
      </c>
      <c r="C55" s="5">
        <v>1597.2260280958594</v>
      </c>
      <c r="D55" s="5">
        <f t="shared" si="2"/>
        <v>1.7902507935912442</v>
      </c>
      <c r="E55">
        <f t="shared" si="3"/>
        <v>1790.2507935912442</v>
      </c>
    </row>
    <row r="56" spans="1:8">
      <c r="A56" t="s">
        <v>83</v>
      </c>
      <c r="B56">
        <v>2013</v>
      </c>
      <c r="C56" s="5">
        <v>6201.5468368950196</v>
      </c>
      <c r="D56" s="5">
        <f t="shared" si="2"/>
        <v>6.9510037721337827</v>
      </c>
      <c r="E56">
        <f t="shared" si="3"/>
        <v>6951.0037721337831</v>
      </c>
    </row>
    <row r="57" spans="1:8">
      <c r="A57" t="s">
        <v>83</v>
      </c>
      <c r="B57">
        <v>2014</v>
      </c>
      <c r="C57" s="5">
        <v>538.36404332625</v>
      </c>
      <c r="D57" s="5">
        <f t="shared" si="2"/>
        <v>0.6034253379622273</v>
      </c>
      <c r="E57">
        <f t="shared" si="3"/>
        <v>603.42533796222733</v>
      </c>
    </row>
    <row r="58" spans="1:8">
      <c r="A58" t="s">
        <v>83</v>
      </c>
      <c r="B58">
        <v>2015</v>
      </c>
      <c r="C58" s="5">
        <v>1012.46640894954</v>
      </c>
      <c r="D58" s="5">
        <f t="shared" si="2"/>
        <v>1.134822974471092</v>
      </c>
      <c r="E58">
        <f t="shared" si="3"/>
        <v>1134.822974471092</v>
      </c>
    </row>
    <row r="59" spans="1:8">
      <c r="A59" t="s">
        <v>84</v>
      </c>
      <c r="B59">
        <v>2007</v>
      </c>
      <c r="C59" s="20">
        <v>3.85</v>
      </c>
      <c r="D59" s="5">
        <f t="shared" si="2"/>
        <v>4.3152724999999999E-3</v>
      </c>
      <c r="E59">
        <f t="shared" si="3"/>
        <v>4.3152724999999998</v>
      </c>
      <c r="G59" s="5">
        <f>AVERAGE(C59:C66)</f>
        <v>314.30889669454399</v>
      </c>
      <c r="H59" s="5">
        <f>AVERAGE(C59:C64)</f>
        <v>396.63666666666671</v>
      </c>
    </row>
    <row r="60" spans="1:8">
      <c r="A60" t="s">
        <v>84</v>
      </c>
      <c r="B60">
        <v>2008</v>
      </c>
      <c r="C60" s="20">
        <v>905.79</v>
      </c>
      <c r="D60" s="5">
        <f t="shared" si="2"/>
        <v>1.0152547215000001</v>
      </c>
      <c r="E60">
        <f t="shared" si="3"/>
        <v>1015.2547215000001</v>
      </c>
    </row>
    <row r="61" spans="1:8">
      <c r="A61" t="s">
        <v>84</v>
      </c>
      <c r="B61">
        <v>2009</v>
      </c>
      <c r="C61" s="20">
        <v>46.81</v>
      </c>
      <c r="D61" s="5">
        <f t="shared" si="2"/>
        <v>5.2466988500000006E-2</v>
      </c>
      <c r="E61">
        <f t="shared" si="3"/>
        <v>52.466988500000006</v>
      </c>
    </row>
    <row r="62" spans="1:8">
      <c r="A62" t="s">
        <v>84</v>
      </c>
      <c r="B62">
        <v>2010</v>
      </c>
      <c r="C62" s="20">
        <v>397.57</v>
      </c>
      <c r="D62" s="5">
        <f t="shared" si="2"/>
        <v>0.44561633449999999</v>
      </c>
      <c r="E62">
        <f t="shared" si="3"/>
        <v>445.61633449999999</v>
      </c>
    </row>
    <row r="63" spans="1:8">
      <c r="A63" t="s">
        <v>84</v>
      </c>
      <c r="B63">
        <v>2011</v>
      </c>
      <c r="C63" s="20">
        <v>1019.04</v>
      </c>
      <c r="D63" s="5">
        <f t="shared" si="2"/>
        <v>1.142190984</v>
      </c>
      <c r="E63">
        <f t="shared" si="3"/>
        <v>1142.1909840000001</v>
      </c>
    </row>
    <row r="64" spans="1:8">
      <c r="A64" t="s">
        <v>84</v>
      </c>
      <c r="B64">
        <v>2012</v>
      </c>
      <c r="C64" s="20">
        <v>6.76</v>
      </c>
      <c r="D64" s="5">
        <f t="shared" si="2"/>
        <v>7.5769460000000002E-3</v>
      </c>
      <c r="E64">
        <f t="shared" si="3"/>
        <v>7.5769460000000004</v>
      </c>
    </row>
    <row r="65" spans="1:8">
      <c r="A65" t="s">
        <v>84</v>
      </c>
      <c r="B65">
        <v>2013</v>
      </c>
      <c r="C65" s="5">
        <v>132.882720890559</v>
      </c>
      <c r="D65" s="5">
        <f t="shared" si="2"/>
        <v>0.14894159771018306</v>
      </c>
      <c r="E65">
        <f t="shared" si="3"/>
        <v>148.94159771018306</v>
      </c>
    </row>
    <row r="66" spans="1:8">
      <c r="A66" t="s">
        <v>84</v>
      </c>
      <c r="B66">
        <v>2014</v>
      </c>
      <c r="C66" s="5">
        <v>1.76845266579268</v>
      </c>
      <c r="D66" s="5">
        <f t="shared" si="2"/>
        <v>1.9821701704537255E-3</v>
      </c>
      <c r="E66">
        <f t="shared" si="3"/>
        <v>1.9821701704537256</v>
      </c>
    </row>
    <row r="67" spans="1:8">
      <c r="A67" t="s">
        <v>84</v>
      </c>
      <c r="B67">
        <v>2015</v>
      </c>
      <c r="C67" s="5">
        <v>239.233684673829</v>
      </c>
      <c r="D67" s="5">
        <f t="shared" si="2"/>
        <v>0.26814507546666128</v>
      </c>
      <c r="E67">
        <f t="shared" si="3"/>
        <v>268.1450754666613</v>
      </c>
    </row>
    <row r="68" spans="1:8">
      <c r="A68" t="s">
        <v>85</v>
      </c>
      <c r="B68">
        <v>2007</v>
      </c>
      <c r="C68" s="20">
        <v>8.3699999999999992</v>
      </c>
      <c r="D68" s="5">
        <f t="shared" si="2"/>
        <v>9.3815145000000003E-3</v>
      </c>
      <c r="E68">
        <f t="shared" si="3"/>
        <v>9.3815144999999998</v>
      </c>
      <c r="G68" s="5">
        <f>AVERAGE(C68:C75)</f>
        <v>320.39732078299318</v>
      </c>
      <c r="H68" s="5">
        <f>AVERAGE(C68:C73)</f>
        <v>420.32333333333332</v>
      </c>
    </row>
    <row r="69" spans="1:8">
      <c r="A69" t="s">
        <v>85</v>
      </c>
      <c r="B69">
        <v>2008</v>
      </c>
      <c r="C69" s="20">
        <v>1095.71</v>
      </c>
      <c r="D69" s="5">
        <f t="shared" si="2"/>
        <v>1.2281265535000001</v>
      </c>
      <c r="E69">
        <f t="shared" si="3"/>
        <v>1228.1265535</v>
      </c>
    </row>
    <row r="70" spans="1:8">
      <c r="A70" t="s">
        <v>85</v>
      </c>
      <c r="B70">
        <v>2009</v>
      </c>
      <c r="C70" s="20">
        <v>147.38999999999999</v>
      </c>
      <c r="D70" s="5">
        <f t="shared" ref="D70:D112" si="4">C70*0.00112085</f>
        <v>0.16520208149999999</v>
      </c>
      <c r="E70">
        <f t="shared" ref="E70:E112" si="5">D70*1000</f>
        <v>165.20208149999999</v>
      </c>
    </row>
    <row r="71" spans="1:8">
      <c r="A71" t="s">
        <v>85</v>
      </c>
      <c r="B71">
        <v>2010</v>
      </c>
      <c r="C71" s="20">
        <v>204.2</v>
      </c>
      <c r="D71" s="5">
        <f t="shared" si="4"/>
        <v>0.22887757</v>
      </c>
      <c r="E71">
        <f t="shared" si="5"/>
        <v>228.87756999999999</v>
      </c>
    </row>
    <row r="72" spans="1:8">
      <c r="A72" t="s">
        <v>85</v>
      </c>
      <c r="B72">
        <v>2011</v>
      </c>
      <c r="C72" s="20">
        <v>1020.01</v>
      </c>
      <c r="D72" s="5">
        <f t="shared" si="4"/>
        <v>1.1432782084999999</v>
      </c>
      <c r="E72">
        <f t="shared" si="5"/>
        <v>1143.2782084999999</v>
      </c>
    </row>
    <row r="73" spans="1:8">
      <c r="A73" t="s">
        <v>85</v>
      </c>
      <c r="B73">
        <v>2012</v>
      </c>
      <c r="C73" s="20">
        <v>46.26</v>
      </c>
      <c r="D73" s="5">
        <f t="shared" si="4"/>
        <v>5.1850521000000004E-2</v>
      </c>
      <c r="E73">
        <f t="shared" si="5"/>
        <v>51.850521000000001</v>
      </c>
    </row>
    <row r="74" spans="1:8">
      <c r="A74" t="s">
        <v>85</v>
      </c>
      <c r="B74">
        <v>2013</v>
      </c>
      <c r="C74" s="5">
        <v>39.933562875907199</v>
      </c>
      <c r="D74" s="5">
        <f t="shared" si="4"/>
        <v>4.4759533949460584E-2</v>
      </c>
      <c r="E74">
        <f t="shared" si="5"/>
        <v>44.759533949460582</v>
      </c>
    </row>
    <row r="75" spans="1:8">
      <c r="A75" t="s">
        <v>85</v>
      </c>
      <c r="B75">
        <v>2014</v>
      </c>
      <c r="C75" s="5">
        <v>1.30500338803805</v>
      </c>
      <c r="D75" s="5">
        <f t="shared" si="4"/>
        <v>1.4627130474824486E-3</v>
      </c>
      <c r="E75">
        <f t="shared" si="5"/>
        <v>1.4627130474824486</v>
      </c>
    </row>
    <row r="76" spans="1:8">
      <c r="A76" t="s">
        <v>85</v>
      </c>
      <c r="B76">
        <v>2015</v>
      </c>
      <c r="C76" s="5">
        <v>172.97635280418501</v>
      </c>
      <c r="D76" s="5">
        <f t="shared" si="4"/>
        <v>0.19388054504057078</v>
      </c>
      <c r="E76">
        <f t="shared" si="5"/>
        <v>193.88054504057078</v>
      </c>
    </row>
    <row r="77" spans="1:8">
      <c r="A77" t="s">
        <v>86</v>
      </c>
      <c r="B77">
        <v>2007</v>
      </c>
      <c r="C77" s="20">
        <v>22.83</v>
      </c>
      <c r="D77" s="5">
        <f t="shared" si="4"/>
        <v>2.5589005499999998E-2</v>
      </c>
      <c r="E77">
        <f t="shared" si="5"/>
        <v>25.589005499999999</v>
      </c>
      <c r="G77" s="5">
        <f>AVERAGE(C77:C84)</f>
        <v>6507.5653118628952</v>
      </c>
      <c r="H77" s="5">
        <f>AVERAGE(C77:C82)</f>
        <v>8192.3283333333329</v>
      </c>
    </row>
    <row r="78" spans="1:8">
      <c r="A78" t="s">
        <v>86</v>
      </c>
      <c r="B78">
        <v>2008</v>
      </c>
      <c r="C78" s="20">
        <v>34724.51</v>
      </c>
      <c r="D78" s="5">
        <f t="shared" si="4"/>
        <v>38.920967033500006</v>
      </c>
      <c r="E78">
        <f t="shared" si="5"/>
        <v>38920.967033500005</v>
      </c>
    </row>
    <row r="79" spans="1:8">
      <c r="A79" t="s">
        <v>86</v>
      </c>
      <c r="B79">
        <v>2009</v>
      </c>
      <c r="C79" s="20">
        <v>5142.8500000000004</v>
      </c>
      <c r="D79" s="5">
        <f t="shared" si="4"/>
        <v>5.7643634225000007</v>
      </c>
      <c r="E79">
        <f t="shared" si="5"/>
        <v>5764.3634225000005</v>
      </c>
    </row>
    <row r="80" spans="1:8">
      <c r="A80" t="s">
        <v>86</v>
      </c>
      <c r="B80">
        <v>2010</v>
      </c>
      <c r="C80" s="20">
        <v>7043.7</v>
      </c>
      <c r="D80" s="5">
        <f t="shared" si="4"/>
        <v>7.8949311450000001</v>
      </c>
      <c r="E80">
        <f t="shared" si="5"/>
        <v>7894.9311450000005</v>
      </c>
    </row>
    <row r="81" spans="1:8">
      <c r="A81" t="s">
        <v>86</v>
      </c>
      <c r="B81">
        <v>2011</v>
      </c>
      <c r="C81" s="20">
        <v>768.51</v>
      </c>
      <c r="D81" s="5">
        <f t="shared" si="4"/>
        <v>0.86138443350000005</v>
      </c>
      <c r="E81">
        <f t="shared" si="5"/>
        <v>861.3844335</v>
      </c>
    </row>
    <row r="82" spans="1:8">
      <c r="A82" t="s">
        <v>86</v>
      </c>
      <c r="B82">
        <v>2012</v>
      </c>
      <c r="C82" s="20">
        <v>1451.57</v>
      </c>
      <c r="D82" s="5">
        <f t="shared" si="4"/>
        <v>1.6269922345000001</v>
      </c>
      <c r="E82">
        <f t="shared" si="5"/>
        <v>1626.9922345</v>
      </c>
    </row>
    <row r="83" spans="1:8">
      <c r="A83" t="s">
        <v>86</v>
      </c>
      <c r="B83">
        <v>2013</v>
      </c>
      <c r="C83" s="5">
        <v>2387.5331132542101</v>
      </c>
      <c r="D83" s="5">
        <f t="shared" si="4"/>
        <v>2.6760664899909816</v>
      </c>
      <c r="E83">
        <f t="shared" si="5"/>
        <v>2676.0664899909816</v>
      </c>
    </row>
    <row r="84" spans="1:8">
      <c r="A84" t="s">
        <v>86</v>
      </c>
      <c r="B84">
        <v>2014</v>
      </c>
      <c r="C84" s="5">
        <v>519.01938164894898</v>
      </c>
      <c r="D84" s="5">
        <f t="shared" si="4"/>
        <v>0.58174287392122448</v>
      </c>
      <c r="E84">
        <f t="shared" si="5"/>
        <v>581.74287392122449</v>
      </c>
    </row>
    <row r="85" spans="1:8">
      <c r="A85" t="s">
        <v>86</v>
      </c>
      <c r="B85">
        <v>2015</v>
      </c>
      <c r="C85" s="5">
        <v>530.82923395211105</v>
      </c>
      <c r="D85" s="5">
        <f t="shared" si="4"/>
        <v>0.59497994687522371</v>
      </c>
      <c r="E85">
        <f t="shared" si="5"/>
        <v>594.97994687522373</v>
      </c>
    </row>
    <row r="86" spans="1:8">
      <c r="A86" t="s">
        <v>87</v>
      </c>
      <c r="B86">
        <v>2007</v>
      </c>
      <c r="C86" s="5">
        <v>0</v>
      </c>
      <c r="D86" s="5">
        <f t="shared" si="4"/>
        <v>0</v>
      </c>
      <c r="E86">
        <f t="shared" si="5"/>
        <v>0</v>
      </c>
      <c r="G86" s="5">
        <f>AVERAGE(C86:C93)</f>
        <v>135.4948008292296</v>
      </c>
      <c r="H86" s="5">
        <f>AVERAGE(C86:C91)</f>
        <v>156.25580809755954</v>
      </c>
    </row>
    <row r="87" spans="1:8">
      <c r="A87" t="s">
        <v>87</v>
      </c>
      <c r="B87">
        <v>2008</v>
      </c>
      <c r="C87" s="5">
        <v>656.28463926382358</v>
      </c>
      <c r="D87" s="5">
        <f t="shared" si="4"/>
        <v>0.73559663791885666</v>
      </c>
      <c r="E87">
        <f t="shared" si="5"/>
        <v>735.59663791885669</v>
      </c>
    </row>
    <row r="88" spans="1:8">
      <c r="A88" t="s">
        <v>87</v>
      </c>
      <c r="B88">
        <v>2009</v>
      </c>
      <c r="C88" s="5">
        <v>24.490324722282175</v>
      </c>
      <c r="D88" s="5">
        <f t="shared" si="4"/>
        <v>2.7449980464969978E-2</v>
      </c>
      <c r="E88">
        <f t="shared" si="5"/>
        <v>27.449980464969979</v>
      </c>
    </row>
    <row r="89" spans="1:8">
      <c r="A89" t="s">
        <v>87</v>
      </c>
      <c r="B89">
        <v>2010</v>
      </c>
      <c r="C89">
        <v>0</v>
      </c>
      <c r="D89" s="5">
        <f t="shared" si="4"/>
        <v>0</v>
      </c>
      <c r="E89">
        <f t="shared" si="5"/>
        <v>0</v>
      </c>
    </row>
    <row r="90" spans="1:8">
      <c r="A90" t="s">
        <v>87</v>
      </c>
      <c r="B90">
        <v>2011</v>
      </c>
      <c r="C90" s="5">
        <v>224.87477830782277</v>
      </c>
      <c r="D90" s="5">
        <f t="shared" si="4"/>
        <v>0.25205089526632318</v>
      </c>
      <c r="E90">
        <f t="shared" si="5"/>
        <v>252.05089526632318</v>
      </c>
    </row>
    <row r="91" spans="1:8">
      <c r="A91" t="s">
        <v>87</v>
      </c>
      <c r="B91">
        <v>2012</v>
      </c>
      <c r="C91" s="5">
        <v>31.885106291428599</v>
      </c>
      <c r="D91" s="5">
        <f t="shared" si="4"/>
        <v>3.5738421386747744E-2</v>
      </c>
      <c r="E91">
        <f t="shared" si="5"/>
        <v>35.738421386747746</v>
      </c>
    </row>
    <row r="92" spans="1:8">
      <c r="A92" t="s">
        <v>87</v>
      </c>
      <c r="B92">
        <v>2013</v>
      </c>
      <c r="C92" s="5">
        <v>123.262991325953</v>
      </c>
      <c r="D92" s="5">
        <f t="shared" si="4"/>
        <v>0.13815932382769441</v>
      </c>
      <c r="E92">
        <f t="shared" si="5"/>
        <v>138.15932382769441</v>
      </c>
    </row>
    <row r="93" spans="1:8">
      <c r="A93" t="s">
        <v>87</v>
      </c>
      <c r="B93">
        <v>2014</v>
      </c>
      <c r="C93" s="5">
        <v>23.160566722526699</v>
      </c>
      <c r="D93" s="5">
        <f t="shared" si="4"/>
        <v>2.5959521210944053E-2</v>
      </c>
      <c r="E93">
        <f t="shared" si="5"/>
        <v>25.959521210944054</v>
      </c>
    </row>
    <row r="94" spans="1:8">
      <c r="A94" t="s">
        <v>87</v>
      </c>
      <c r="B94">
        <v>2015</v>
      </c>
      <c r="C94" s="5">
        <v>393.87565234011601</v>
      </c>
      <c r="D94" s="5">
        <f t="shared" si="4"/>
        <v>0.44147552492541903</v>
      </c>
      <c r="E94">
        <f t="shared" si="5"/>
        <v>441.47552492541905</v>
      </c>
    </row>
    <row r="95" spans="1:8">
      <c r="A95" t="s">
        <v>88</v>
      </c>
      <c r="B95">
        <v>2007</v>
      </c>
      <c r="C95" s="5">
        <v>0</v>
      </c>
      <c r="D95" s="5">
        <f t="shared" si="4"/>
        <v>0</v>
      </c>
      <c r="E95">
        <f t="shared" si="5"/>
        <v>0</v>
      </c>
      <c r="G95" s="5">
        <f>AVERAGE(C95:C102)</f>
        <v>154.96330281512229</v>
      </c>
      <c r="H95" s="5">
        <f>AVERAGE(C95:C100)</f>
        <v>193.01906693267924</v>
      </c>
    </row>
    <row r="96" spans="1:8">
      <c r="A96" t="s">
        <v>88</v>
      </c>
      <c r="B96">
        <v>2008</v>
      </c>
      <c r="C96" s="5">
        <v>636.76089832136279</v>
      </c>
      <c r="D96" s="5">
        <f t="shared" si="4"/>
        <v>0.71371345288349952</v>
      </c>
      <c r="E96">
        <f t="shared" si="5"/>
        <v>713.71345288349949</v>
      </c>
    </row>
    <row r="97" spans="1:8">
      <c r="A97" t="s">
        <v>88</v>
      </c>
      <c r="B97">
        <v>2009</v>
      </c>
      <c r="C97" s="5">
        <v>51.038939427252316</v>
      </c>
      <c r="D97" s="5">
        <f t="shared" si="4"/>
        <v>5.7206995257035764E-2</v>
      </c>
      <c r="E97">
        <f t="shared" si="5"/>
        <v>57.206995257035764</v>
      </c>
    </row>
    <row r="98" spans="1:8">
      <c r="A98" t="s">
        <v>88</v>
      </c>
      <c r="B98">
        <v>2010</v>
      </c>
      <c r="C98" s="5">
        <v>189.27087581781589</v>
      </c>
      <c r="D98" s="5">
        <f t="shared" si="4"/>
        <v>0.21214426116039894</v>
      </c>
      <c r="E98">
        <f t="shared" si="5"/>
        <v>212.14426116039894</v>
      </c>
    </row>
    <row r="99" spans="1:8">
      <c r="A99" t="s">
        <v>88</v>
      </c>
      <c r="B99">
        <v>2011</v>
      </c>
      <c r="C99" s="5">
        <v>280.72066829679852</v>
      </c>
      <c r="D99" s="5">
        <f t="shared" si="4"/>
        <v>0.31464576106046666</v>
      </c>
      <c r="E99">
        <f t="shared" si="5"/>
        <v>314.64576106046667</v>
      </c>
    </row>
    <row r="100" spans="1:8">
      <c r="A100" t="s">
        <v>88</v>
      </c>
      <c r="B100">
        <v>2012</v>
      </c>
      <c r="C100" s="5">
        <v>0.32301973284568436</v>
      </c>
      <c r="D100" s="5">
        <f t="shared" si="4"/>
        <v>3.6205666756008531E-4</v>
      </c>
      <c r="E100">
        <f t="shared" si="5"/>
        <v>0.36205666756008531</v>
      </c>
    </row>
    <row r="101" spans="1:8">
      <c r="A101" t="s">
        <v>88</v>
      </c>
      <c r="B101">
        <v>2013</v>
      </c>
      <c r="C101" s="5">
        <v>80.023927626322305</v>
      </c>
      <c r="D101" s="5">
        <f t="shared" si="4"/>
        <v>8.9694819279963353E-2</v>
      </c>
      <c r="E101">
        <f t="shared" si="5"/>
        <v>89.694819279963355</v>
      </c>
    </row>
    <row r="102" spans="1:8">
      <c r="A102" t="s">
        <v>88</v>
      </c>
      <c r="B102">
        <v>2014</v>
      </c>
      <c r="C102" s="5">
        <v>1.56809329858059</v>
      </c>
      <c r="D102" s="5">
        <f t="shared" si="4"/>
        <v>1.7575973737140543E-3</v>
      </c>
      <c r="E102">
        <f t="shared" si="5"/>
        <v>1.7575973737140544</v>
      </c>
    </row>
    <row r="103" spans="1:8">
      <c r="A103" t="s">
        <v>88</v>
      </c>
      <c r="B103">
        <v>2015</v>
      </c>
      <c r="C103" s="5">
        <v>9.6424919652405503</v>
      </c>
      <c r="D103" s="5">
        <f t="shared" si="4"/>
        <v>1.0807787119239871E-2</v>
      </c>
      <c r="E103">
        <f t="shared" si="5"/>
        <v>10.807787119239871</v>
      </c>
    </row>
    <row r="104" spans="1:8">
      <c r="A104" t="s">
        <v>89</v>
      </c>
      <c r="B104">
        <v>2007</v>
      </c>
      <c r="C104" s="5">
        <v>0</v>
      </c>
      <c r="D104" s="5">
        <f t="shared" si="4"/>
        <v>0</v>
      </c>
      <c r="E104">
        <f t="shared" si="5"/>
        <v>0</v>
      </c>
      <c r="G104" s="5">
        <f>AVERAGE(C104:C111)</f>
        <v>1973.9186434709334</v>
      </c>
      <c r="H104" s="5">
        <f>AVERAGE(C104:C109)</f>
        <v>2373.3451602680097</v>
      </c>
    </row>
    <row r="105" spans="1:8">
      <c r="A105" t="s">
        <v>89</v>
      </c>
      <c r="B105">
        <v>2008</v>
      </c>
      <c r="C105" s="5">
        <v>7276.7081558755672</v>
      </c>
      <c r="D105" s="5">
        <f t="shared" si="4"/>
        <v>8.1560983365131303</v>
      </c>
      <c r="E105">
        <f t="shared" si="5"/>
        <v>8156.0983365131306</v>
      </c>
    </row>
    <row r="106" spans="1:8">
      <c r="A106" t="s">
        <v>89</v>
      </c>
      <c r="B106">
        <v>2009</v>
      </c>
      <c r="C106" s="5">
        <v>309.73528969031514</v>
      </c>
      <c r="D106" s="5">
        <f t="shared" si="4"/>
        <v>0.34716679944938972</v>
      </c>
      <c r="E106">
        <f t="shared" si="5"/>
        <v>347.16679944938971</v>
      </c>
    </row>
    <row r="107" spans="1:8">
      <c r="A107" t="s">
        <v>89</v>
      </c>
      <c r="B107">
        <v>2010</v>
      </c>
      <c r="C107" s="5">
        <v>4880.9935649877889</v>
      </c>
      <c r="D107" s="5">
        <f t="shared" si="4"/>
        <v>5.4708616373165633</v>
      </c>
      <c r="E107">
        <f t="shared" si="5"/>
        <v>5470.8616373165632</v>
      </c>
    </row>
    <row r="108" spans="1:8">
      <c r="A108" t="s">
        <v>89</v>
      </c>
      <c r="B108">
        <v>2011</v>
      </c>
      <c r="C108" s="5">
        <v>1667.4609848965379</v>
      </c>
      <c r="D108" s="5">
        <f t="shared" si="4"/>
        <v>1.8689736449212846</v>
      </c>
      <c r="E108">
        <f t="shared" si="5"/>
        <v>1868.9736449212846</v>
      </c>
    </row>
    <row r="109" spans="1:8">
      <c r="A109" t="s">
        <v>89</v>
      </c>
      <c r="B109">
        <v>2012</v>
      </c>
      <c r="C109" s="5">
        <v>105.17296615785087</v>
      </c>
      <c r="D109" s="5">
        <f t="shared" si="4"/>
        <v>0.11788311911802715</v>
      </c>
      <c r="E109">
        <f t="shared" si="5"/>
        <v>117.88311911802715</v>
      </c>
    </row>
    <row r="110" spans="1:8">
      <c r="A110" t="s">
        <v>89</v>
      </c>
      <c r="B110">
        <v>2013</v>
      </c>
      <c r="C110" s="5">
        <v>1515.6559461064301</v>
      </c>
      <c r="D110" s="5">
        <f t="shared" si="4"/>
        <v>1.6988229671933923</v>
      </c>
      <c r="E110">
        <f t="shared" si="5"/>
        <v>1698.8229671933923</v>
      </c>
    </row>
    <row r="111" spans="1:8">
      <c r="A111" t="s">
        <v>89</v>
      </c>
      <c r="B111">
        <v>2014</v>
      </c>
      <c r="C111" s="5">
        <v>35.622240052978697</v>
      </c>
      <c r="D111" s="5">
        <f t="shared" si="4"/>
        <v>3.9927187763381174E-2</v>
      </c>
      <c r="E111">
        <f t="shared" si="5"/>
        <v>39.927187763381177</v>
      </c>
    </row>
    <row r="112" spans="1:8">
      <c r="A112" t="s">
        <v>89</v>
      </c>
      <c r="B112">
        <v>2015</v>
      </c>
      <c r="C112" s="5">
        <v>182.28827749782101</v>
      </c>
      <c r="D112" s="5">
        <f t="shared" si="4"/>
        <v>0.2043178158334327</v>
      </c>
      <c r="E112">
        <f t="shared" si="5"/>
        <v>204.31781583343269</v>
      </c>
    </row>
  </sheetData>
  <sortState ref="O3:P5">
    <sortCondition ref="O3:O5"/>
  </sortState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3B69-8CA6-314D-99E4-F6A4169F1B55}">
  <dimension ref="A1:D8"/>
  <sheetViews>
    <sheetView workbookViewId="0">
      <selection activeCell="E4" sqref="E4"/>
    </sheetView>
  </sheetViews>
  <sheetFormatPr baseColWidth="10" defaultRowHeight="16"/>
  <sheetData>
    <row r="1" spans="1:4">
      <c r="A1" t="s">
        <v>120</v>
      </c>
    </row>
    <row r="3" spans="1:4">
      <c r="B3" t="s">
        <v>117</v>
      </c>
      <c r="C3" t="s">
        <v>118</v>
      </c>
      <c r="D3" t="s">
        <v>119</v>
      </c>
    </row>
    <row r="4" spans="1:4">
      <c r="A4" t="s">
        <v>121</v>
      </c>
      <c r="B4">
        <v>143.83000000000001</v>
      </c>
      <c r="C4">
        <v>1.1060000000000001</v>
      </c>
      <c r="D4">
        <v>6.0330000000000004</v>
      </c>
    </row>
    <row r="5" spans="1:4">
      <c r="A5" t="s">
        <v>122</v>
      </c>
      <c r="B5">
        <v>143.79</v>
      </c>
      <c r="C5">
        <v>1.1060000000000001</v>
      </c>
      <c r="D5">
        <v>6.0209999999999999</v>
      </c>
    </row>
    <row r="6" spans="1:4">
      <c r="A6" t="s">
        <v>123</v>
      </c>
      <c r="B6">
        <v>143.88999999999999</v>
      </c>
      <c r="C6">
        <v>1.0580000000000001</v>
      </c>
      <c r="D6">
        <v>6.04</v>
      </c>
    </row>
    <row r="7" spans="1:4">
      <c r="A7" t="s">
        <v>124</v>
      </c>
      <c r="B7">
        <v>144.44999999999999</v>
      </c>
      <c r="C7">
        <v>1.05</v>
      </c>
      <c r="D7">
        <v>6.1449999999999996</v>
      </c>
    </row>
    <row r="8" spans="1:4">
      <c r="A8" t="s">
        <v>125</v>
      </c>
      <c r="B8">
        <v>144.46</v>
      </c>
      <c r="C8">
        <v>1.0489999999999999</v>
      </c>
      <c r="D8">
        <v>6.141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8D90-311E-CC49-824B-068CC4C9065F}">
  <dimension ref="A1:I16"/>
  <sheetViews>
    <sheetView workbookViewId="0">
      <selection activeCell="F9" sqref="F9"/>
    </sheetView>
  </sheetViews>
  <sheetFormatPr baseColWidth="10" defaultRowHeight="16"/>
  <sheetData>
    <row r="1" spans="1:9" ht="17" thickBot="1">
      <c r="A1" s="184"/>
      <c r="B1" s="185"/>
      <c r="C1" s="186" t="s">
        <v>40</v>
      </c>
      <c r="D1" s="187"/>
      <c r="E1" s="188"/>
      <c r="F1" s="186" t="s">
        <v>41</v>
      </c>
      <c r="G1" s="188"/>
      <c r="H1" t="s">
        <v>259</v>
      </c>
    </row>
    <row r="2" spans="1:9">
      <c r="A2" s="189" t="s">
        <v>0</v>
      </c>
      <c r="B2" s="189" t="s">
        <v>13</v>
      </c>
      <c r="C2" s="189" t="s">
        <v>194</v>
      </c>
      <c r="D2" s="189" t="s">
        <v>137</v>
      </c>
      <c r="E2" s="189" t="s">
        <v>138</v>
      </c>
      <c r="F2" s="191" t="s">
        <v>195</v>
      </c>
      <c r="G2" s="101" t="s">
        <v>117</v>
      </c>
    </row>
    <row r="3" spans="1:9" ht="17" thickBot="1">
      <c r="A3" s="190"/>
      <c r="B3" s="190"/>
      <c r="C3" s="190"/>
      <c r="D3" s="190"/>
      <c r="E3" s="190"/>
      <c r="F3" s="192"/>
      <c r="G3" s="102" t="s">
        <v>196</v>
      </c>
    </row>
    <row r="4" spans="1:9" ht="17" thickBot="1">
      <c r="A4" s="103" t="s">
        <v>47</v>
      </c>
      <c r="B4" s="102" t="s">
        <v>14</v>
      </c>
      <c r="C4" s="104">
        <v>0.35799999999999998</v>
      </c>
      <c r="D4" s="104">
        <v>101.37</v>
      </c>
      <c r="E4" s="104">
        <v>0.32300000000000001</v>
      </c>
      <c r="F4" s="104">
        <v>9.2999999999999999E-2</v>
      </c>
      <c r="G4" s="104">
        <v>76.650000000000006</v>
      </c>
      <c r="H4">
        <f>(F4-C4)/C4*100</f>
        <v>-74.022346368715091</v>
      </c>
    </row>
    <row r="5" spans="1:9" ht="17" thickBot="1">
      <c r="A5" s="103" t="s">
        <v>48</v>
      </c>
      <c r="B5" s="102" t="s">
        <v>15</v>
      </c>
      <c r="C5" s="104">
        <v>0.307</v>
      </c>
      <c r="D5" s="104">
        <v>87.87</v>
      </c>
      <c r="E5" s="104">
        <v>0.38100000000000001</v>
      </c>
      <c r="F5" s="104">
        <v>0.25600000000000001</v>
      </c>
      <c r="G5" s="104">
        <v>147.26</v>
      </c>
      <c r="H5">
        <f t="shared" ref="H5:H15" si="0">(F5-C5)/C5*100</f>
        <v>-16.612377850162861</v>
      </c>
    </row>
    <row r="6" spans="1:9" ht="17" thickBot="1">
      <c r="A6" s="103" t="s">
        <v>49</v>
      </c>
      <c r="B6" s="102" t="s">
        <v>16</v>
      </c>
      <c r="C6" s="104">
        <v>0.373</v>
      </c>
      <c r="D6" s="104">
        <v>91.89</v>
      </c>
      <c r="E6" s="104">
        <v>0.34899999999999998</v>
      </c>
      <c r="F6" s="104">
        <v>0.104</v>
      </c>
      <c r="G6" s="104">
        <v>93.3</v>
      </c>
      <c r="H6">
        <f t="shared" si="0"/>
        <v>-72.117962466487938</v>
      </c>
    </row>
    <row r="7" spans="1:9" ht="17" thickBot="1">
      <c r="A7" s="103" t="s">
        <v>50</v>
      </c>
      <c r="B7" s="102" t="s">
        <v>16</v>
      </c>
      <c r="C7" s="104">
        <v>0.36799999999999999</v>
      </c>
      <c r="D7" s="104">
        <v>87.33</v>
      </c>
      <c r="E7" s="104">
        <v>0.627</v>
      </c>
      <c r="F7" s="104">
        <v>0.621</v>
      </c>
      <c r="G7" s="104">
        <v>193.96</v>
      </c>
      <c r="H7">
        <f t="shared" si="0"/>
        <v>68.75</v>
      </c>
    </row>
    <row r="8" spans="1:9" ht="17" thickBot="1">
      <c r="A8" s="103" t="s">
        <v>51</v>
      </c>
      <c r="B8" s="102" t="s">
        <v>15</v>
      </c>
      <c r="C8" s="104">
        <v>0.246</v>
      </c>
      <c r="D8" s="104">
        <v>62.58</v>
      </c>
      <c r="E8" s="104">
        <v>0.63700000000000001</v>
      </c>
      <c r="F8" s="104">
        <v>0.14399999999999999</v>
      </c>
      <c r="G8" s="104">
        <v>115.82</v>
      </c>
      <c r="H8">
        <f t="shared" si="0"/>
        <v>-41.463414634146346</v>
      </c>
    </row>
    <row r="9" spans="1:9" ht="17" thickBot="1">
      <c r="A9" s="103" t="s">
        <v>52</v>
      </c>
      <c r="B9" s="102" t="s">
        <v>17</v>
      </c>
      <c r="C9" s="104">
        <v>11.923999999999999</v>
      </c>
      <c r="D9" s="104">
        <v>113.45</v>
      </c>
      <c r="E9" s="104">
        <v>1.1919999999999999</v>
      </c>
      <c r="F9" s="104">
        <v>6.5789999999999997</v>
      </c>
      <c r="G9" s="104">
        <v>245.86</v>
      </c>
      <c r="H9">
        <f t="shared" si="0"/>
        <v>-44.825561891982559</v>
      </c>
    </row>
    <row r="10" spans="1:9" ht="17" thickBot="1">
      <c r="A10" s="103" t="s">
        <v>53</v>
      </c>
      <c r="B10" s="102" t="s">
        <v>18</v>
      </c>
      <c r="C10" s="104">
        <v>0.437</v>
      </c>
      <c r="D10" s="104">
        <v>111.35</v>
      </c>
      <c r="E10" s="104">
        <v>0.57599999999999996</v>
      </c>
      <c r="F10" s="104">
        <v>0.35199999999999998</v>
      </c>
      <c r="G10" s="104">
        <v>62.08</v>
      </c>
      <c r="H10">
        <f t="shared" si="0"/>
        <v>-19.450800915331811</v>
      </c>
    </row>
    <row r="11" spans="1:9" ht="17" thickBot="1">
      <c r="A11" s="103" t="s">
        <v>54</v>
      </c>
      <c r="B11" s="102" t="s">
        <v>14</v>
      </c>
      <c r="C11" s="104">
        <v>0.317</v>
      </c>
      <c r="D11" s="104">
        <v>113.47</v>
      </c>
      <c r="E11" s="104">
        <v>0.32</v>
      </c>
      <c r="F11" s="104">
        <v>0.35899999999999999</v>
      </c>
      <c r="G11" s="104">
        <v>70.2</v>
      </c>
      <c r="H11">
        <f t="shared" si="0"/>
        <v>13.249211356466873</v>
      </c>
    </row>
    <row r="12" spans="1:9" ht="17" thickBot="1">
      <c r="A12" s="103" t="s">
        <v>55</v>
      </c>
      <c r="B12" s="102" t="s">
        <v>17</v>
      </c>
      <c r="C12" s="104">
        <v>8.8290000000000006</v>
      </c>
      <c r="D12" s="104">
        <v>122.25</v>
      </c>
      <c r="E12" s="104">
        <v>0.88300000000000001</v>
      </c>
      <c r="F12" s="104">
        <v>7.2939999999999996</v>
      </c>
      <c r="G12" s="104">
        <v>160.30000000000001</v>
      </c>
      <c r="H12">
        <f t="shared" si="0"/>
        <v>-17.385887416468467</v>
      </c>
    </row>
    <row r="13" spans="1:9" ht="17" thickBot="1">
      <c r="A13" s="103" t="s">
        <v>56</v>
      </c>
      <c r="B13" s="102" t="s">
        <v>19</v>
      </c>
      <c r="C13" s="104">
        <v>0.312</v>
      </c>
      <c r="D13" s="104">
        <v>77.62</v>
      </c>
      <c r="E13" s="104">
        <v>0.61899999999999999</v>
      </c>
      <c r="F13" s="104">
        <v>0.152</v>
      </c>
      <c r="G13" s="104">
        <v>51.63</v>
      </c>
      <c r="H13">
        <f t="shared" si="0"/>
        <v>-51.282051282051292</v>
      </c>
    </row>
    <row r="14" spans="1:9" ht="17" thickBot="1">
      <c r="A14" s="103" t="s">
        <v>57</v>
      </c>
      <c r="B14" s="102" t="s">
        <v>20</v>
      </c>
      <c r="C14" s="104">
        <v>0.20499999999999999</v>
      </c>
      <c r="D14" s="104">
        <v>92.78</v>
      </c>
      <c r="E14" s="104">
        <v>0.14199999999999999</v>
      </c>
      <c r="F14" s="104">
        <v>0.17399999999999999</v>
      </c>
      <c r="G14" s="104">
        <v>57</v>
      </c>
      <c r="H14">
        <f t="shared" si="0"/>
        <v>-15.121951219512194</v>
      </c>
    </row>
    <row r="15" spans="1:9" ht="17" thickBot="1">
      <c r="A15" s="103" t="s">
        <v>58</v>
      </c>
      <c r="B15" s="102" t="s">
        <v>17</v>
      </c>
      <c r="C15" s="104">
        <v>13.234</v>
      </c>
      <c r="D15" s="104">
        <v>134.99</v>
      </c>
      <c r="E15" s="104">
        <v>1.323</v>
      </c>
      <c r="F15" s="104">
        <v>2.2120000000000002</v>
      </c>
      <c r="G15" s="104">
        <v>101.81</v>
      </c>
      <c r="H15">
        <f t="shared" si="0"/>
        <v>-83.28547680217622</v>
      </c>
    </row>
    <row r="16" spans="1:9">
      <c r="H16">
        <f>SQRT(SUMSQ(H4:H15)/12)</f>
        <v>50.052076879785808</v>
      </c>
      <c r="I16">
        <f>SQRT(SUMSQ(106.88,59.84,-38.5)/3)</f>
        <v>74.131437325874103</v>
      </c>
    </row>
  </sheetData>
  <mergeCells count="9">
    <mergeCell ref="A1:B1"/>
    <mergeCell ref="C1:E1"/>
    <mergeCell ref="F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DB20-17F6-D34D-93E3-24C3C4D74131}">
  <dimension ref="A1:B17"/>
  <sheetViews>
    <sheetView zoomScaleNormal="100" workbookViewId="0">
      <selection activeCell="B6" sqref="B6"/>
    </sheetView>
  </sheetViews>
  <sheetFormatPr baseColWidth="10" defaultRowHeight="16"/>
  <sheetData>
    <row r="1" spans="1:2">
      <c r="A1" t="s">
        <v>197</v>
      </c>
    </row>
    <row r="2" spans="1:2">
      <c r="A2" t="s">
        <v>198</v>
      </c>
      <c r="B2" t="s">
        <v>199</v>
      </c>
    </row>
    <row r="3" spans="1:2">
      <c r="A3">
        <v>97.16</v>
      </c>
      <c r="B3">
        <v>95.6</v>
      </c>
    </row>
    <row r="5" spans="1:2">
      <c r="A5" t="s">
        <v>201</v>
      </c>
      <c r="B5" t="s">
        <v>201</v>
      </c>
    </row>
    <row r="6" spans="1:2">
      <c r="A6">
        <f>A3-96.02</f>
        <v>1.1400000000000006</v>
      </c>
      <c r="B6">
        <f>B3-88.63</f>
        <v>6.9699999999999989</v>
      </c>
    </row>
    <row r="8" spans="1:2">
      <c r="A8" t="s">
        <v>202</v>
      </c>
      <c r="B8" t="s">
        <v>202</v>
      </c>
    </row>
    <row r="9" spans="1:2">
      <c r="A9">
        <f>97.97-A3</f>
        <v>0.81000000000000227</v>
      </c>
      <c r="B9">
        <f>98.3-B3</f>
        <v>2.7000000000000028</v>
      </c>
    </row>
    <row r="17" spans="1:1">
      <c r="A17" t="s">
        <v>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1EA9-8EA0-DA44-AA38-0D91CC86A054}">
  <dimension ref="A1:N114"/>
  <sheetViews>
    <sheetView workbookViewId="0">
      <selection activeCell="D22" sqref="D22"/>
    </sheetView>
  </sheetViews>
  <sheetFormatPr baseColWidth="10" defaultRowHeight="16"/>
  <cols>
    <col min="1" max="1" width="22.6640625" style="6" bestFit="1" customWidth="1"/>
    <col min="2" max="2" width="30.6640625" style="6" customWidth="1"/>
    <col min="3" max="3" width="21" style="6" customWidth="1"/>
    <col min="4" max="4" width="21.83203125" style="6" bestFit="1" customWidth="1"/>
    <col min="5" max="5" width="24.83203125" style="6" bestFit="1" customWidth="1"/>
    <col min="6" max="6" width="24.5" style="6" customWidth="1"/>
    <col min="7" max="7" width="28.1640625" style="6" customWidth="1"/>
    <col min="8" max="8" width="21.83203125" style="6" customWidth="1"/>
    <col min="9" max="9" width="22.33203125" style="6" customWidth="1"/>
    <col min="10" max="10" width="38" style="6" bestFit="1" customWidth="1"/>
    <col min="11" max="12" width="27.1640625" style="6" customWidth="1"/>
    <col min="13" max="13" width="27.33203125" style="6" bestFit="1" customWidth="1"/>
    <col min="14" max="14" width="12.1640625" style="6" bestFit="1" customWidth="1"/>
    <col min="15" max="16384" width="10.83203125" style="6"/>
  </cols>
  <sheetData>
    <row r="1" spans="1:13" s="27" customFormat="1">
      <c r="B1" s="97" t="s">
        <v>142</v>
      </c>
      <c r="C1" s="97" t="s">
        <v>143</v>
      </c>
      <c r="D1" s="97" t="s">
        <v>144</v>
      </c>
      <c r="E1" s="97" t="s">
        <v>145</v>
      </c>
      <c r="F1" s="97" t="s">
        <v>146</v>
      </c>
      <c r="G1" s="97" t="s">
        <v>147</v>
      </c>
      <c r="H1" s="97" t="s">
        <v>148</v>
      </c>
      <c r="I1" s="97" t="s">
        <v>149</v>
      </c>
      <c r="J1" s="97" t="s">
        <v>150</v>
      </c>
      <c r="K1" s="97" t="s">
        <v>151</v>
      </c>
      <c r="L1" s="97" t="s">
        <v>175</v>
      </c>
      <c r="M1" s="97" t="s">
        <v>176</v>
      </c>
    </row>
    <row r="2" spans="1:13" s="27" customForma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3" s="27" customFormat="1">
      <c r="A3" s="97">
        <v>1</v>
      </c>
      <c r="B3" s="27" t="s">
        <v>203</v>
      </c>
      <c r="C3" s="98">
        <v>3</v>
      </c>
      <c r="D3" s="99">
        <v>0.33</v>
      </c>
      <c r="E3" s="99">
        <v>5.632347E-2</v>
      </c>
      <c r="F3" s="99">
        <v>0.25097540000000002</v>
      </c>
      <c r="G3" s="99">
        <v>6.01533E-2</v>
      </c>
      <c r="H3" s="99">
        <v>87.266670000000005</v>
      </c>
      <c r="I3" s="99">
        <v>14.08192</v>
      </c>
      <c r="J3" s="99">
        <v>108.3875</v>
      </c>
      <c r="K3" s="99">
        <v>24.871300999999999</v>
      </c>
      <c r="L3" s="99">
        <v>0.53133330000000001</v>
      </c>
      <c r="M3" s="99">
        <v>7.7201759999999994E-2</v>
      </c>
    </row>
    <row r="4" spans="1:13" s="27" customFormat="1">
      <c r="A4" s="97">
        <v>2</v>
      </c>
      <c r="B4" s="27" t="s">
        <v>204</v>
      </c>
      <c r="C4" s="98">
        <v>3</v>
      </c>
      <c r="D4" s="99">
        <v>0.32900000000000001</v>
      </c>
      <c r="E4" s="99">
        <v>1.457166E-2</v>
      </c>
      <c r="F4" s="99">
        <v>0.201295</v>
      </c>
      <c r="G4" s="99">
        <v>8.0726500000000007E-2</v>
      </c>
      <c r="H4" s="99">
        <v>97.486670000000004</v>
      </c>
      <c r="I4" s="99">
        <v>10.52957</v>
      </c>
      <c r="J4" s="99">
        <v>66.160259999999994</v>
      </c>
      <c r="K4" s="99">
        <v>7.5013170000000002</v>
      </c>
      <c r="L4" s="99">
        <v>0.4206667</v>
      </c>
      <c r="M4" s="99">
        <v>9.9170449999999993E-2</v>
      </c>
    </row>
    <row r="5" spans="1:13" s="27" customFormat="1">
      <c r="A5" s="97">
        <v>3</v>
      </c>
      <c r="B5" s="27" t="s">
        <v>205</v>
      </c>
      <c r="C5" s="98">
        <v>3</v>
      </c>
      <c r="D5" s="99">
        <v>11.329000000000001</v>
      </c>
      <c r="E5" s="99">
        <v>1.30595112</v>
      </c>
      <c r="F5" s="99">
        <v>5.3618274000000001</v>
      </c>
      <c r="G5" s="99">
        <v>1.5881497</v>
      </c>
      <c r="H5" s="99">
        <v>123.56332999999999</v>
      </c>
      <c r="I5" s="99">
        <v>6.2526400000000004</v>
      </c>
      <c r="J5" s="99">
        <v>169.32517999999999</v>
      </c>
      <c r="K5" s="99">
        <v>41.827410999999998</v>
      </c>
      <c r="L5" s="99">
        <v>1.1326666999999999</v>
      </c>
      <c r="M5" s="99">
        <v>0.22592110000000001</v>
      </c>
    </row>
    <row r="6" spans="1:13" s="27" customFormat="1">
      <c r="A6" s="97">
        <v>4</v>
      </c>
      <c r="B6" s="27" t="s">
        <v>206</v>
      </c>
      <c r="C6" s="98">
        <v>3</v>
      </c>
      <c r="D6" s="99">
        <v>0.31533329999999998</v>
      </c>
      <c r="E6" s="99">
        <v>5.518555E-2</v>
      </c>
      <c r="F6" s="99">
        <v>0.29955870000000001</v>
      </c>
      <c r="G6" s="99">
        <v>0.16194549999999999</v>
      </c>
      <c r="H6" s="99">
        <v>90.666669999999996</v>
      </c>
      <c r="I6" s="99">
        <v>1.6879999999999999</v>
      </c>
      <c r="J6" s="99">
        <v>114.75297</v>
      </c>
      <c r="K6" s="99">
        <v>40.964976999999998</v>
      </c>
      <c r="L6" s="99">
        <v>0.37266670000000002</v>
      </c>
      <c r="M6" s="99">
        <v>0.14050662</v>
      </c>
    </row>
    <row r="7" spans="1:13">
      <c r="F7" s="95"/>
      <c r="G7" s="25"/>
    </row>
    <row r="8" spans="1:13" s="27" customFormat="1">
      <c r="A8" s="27" t="s">
        <v>260</v>
      </c>
      <c r="B8" s="27" t="s">
        <v>142</v>
      </c>
      <c r="C8" s="27" t="s">
        <v>143</v>
      </c>
      <c r="D8" s="27" t="s">
        <v>144</v>
      </c>
      <c r="E8" s="27" t="s">
        <v>145</v>
      </c>
      <c r="F8" s="27" t="s">
        <v>146</v>
      </c>
      <c r="G8" s="27" t="s">
        <v>147</v>
      </c>
      <c r="H8" s="27" t="s">
        <v>148</v>
      </c>
      <c r="I8" s="27" t="s">
        <v>149</v>
      </c>
      <c r="J8" s="27" t="s">
        <v>150</v>
      </c>
      <c r="K8" s="27" t="s">
        <v>151</v>
      </c>
      <c r="L8" s="97" t="s">
        <v>175</v>
      </c>
      <c r="M8" s="97" t="s">
        <v>176</v>
      </c>
    </row>
    <row r="9" spans="1:13" s="27" customFormat="1"/>
    <row r="10" spans="1:13" s="27" customFormat="1">
      <c r="A10" s="27">
        <v>1</v>
      </c>
      <c r="B10" s="27" t="s">
        <v>203</v>
      </c>
      <c r="C10" s="27">
        <v>3</v>
      </c>
      <c r="D10" s="28">
        <v>0.33</v>
      </c>
      <c r="E10" s="28">
        <v>5.632347E-2</v>
      </c>
      <c r="F10" s="28">
        <v>0.25097540000000002</v>
      </c>
      <c r="G10" s="28">
        <v>6.01533E-2</v>
      </c>
      <c r="H10" s="28">
        <v>87.266670000000005</v>
      </c>
      <c r="I10" s="28">
        <v>14.08192</v>
      </c>
      <c r="J10" s="28">
        <v>108.3875</v>
      </c>
      <c r="K10" s="28">
        <v>24.871300999999999</v>
      </c>
      <c r="L10" s="99">
        <v>0.53133330000000001</v>
      </c>
      <c r="M10" s="99">
        <v>7.7201759999999994E-2</v>
      </c>
    </row>
    <row r="11" spans="1:13" s="27" customFormat="1">
      <c r="A11" s="27">
        <v>2</v>
      </c>
      <c r="B11" s="27" t="s">
        <v>204</v>
      </c>
      <c r="C11" s="27">
        <v>3</v>
      </c>
      <c r="D11" s="28">
        <v>0.32900000000000001</v>
      </c>
      <c r="E11" s="28">
        <v>1.457166E-2</v>
      </c>
      <c r="F11" s="28">
        <v>0.201295</v>
      </c>
      <c r="G11" s="28">
        <v>8.0726500000000007E-2</v>
      </c>
      <c r="H11" s="28">
        <v>97.486670000000004</v>
      </c>
      <c r="I11" s="28">
        <v>10.52957</v>
      </c>
      <c r="J11" s="28">
        <v>66.160259999999994</v>
      </c>
      <c r="K11" s="28">
        <v>7.5013170000000002</v>
      </c>
      <c r="L11" s="99">
        <v>0.4206667</v>
      </c>
      <c r="M11" s="99">
        <v>9.9170449999999993E-2</v>
      </c>
    </row>
    <row r="12" spans="1:13" s="27" customFormat="1">
      <c r="A12" s="27">
        <v>4</v>
      </c>
      <c r="B12" s="27" t="s">
        <v>206</v>
      </c>
      <c r="C12" s="27">
        <v>3</v>
      </c>
      <c r="D12" s="28">
        <v>0.31533329999999998</v>
      </c>
      <c r="E12" s="28">
        <v>5.518555E-2</v>
      </c>
      <c r="F12" s="28">
        <v>0.29955870000000001</v>
      </c>
      <c r="G12" s="28">
        <v>0.16194549999999999</v>
      </c>
      <c r="H12" s="28">
        <v>90.666669999999996</v>
      </c>
      <c r="I12" s="28">
        <v>1.6879999999999999</v>
      </c>
      <c r="J12" s="28">
        <v>114.75297</v>
      </c>
      <c r="K12" s="28">
        <v>40.964976999999998</v>
      </c>
      <c r="L12" s="99">
        <v>1.1326666999999999</v>
      </c>
      <c r="M12" s="99">
        <v>0.22592110000000001</v>
      </c>
    </row>
    <row r="13" spans="1:13" s="27" customFormat="1">
      <c r="A13" s="27">
        <v>3</v>
      </c>
      <c r="B13" s="27" t="s">
        <v>205</v>
      </c>
      <c r="C13" s="27">
        <v>3</v>
      </c>
      <c r="D13" s="28">
        <v>11.329000000000001</v>
      </c>
      <c r="E13" s="28">
        <v>1.30595112</v>
      </c>
      <c r="F13" s="28">
        <v>5.3618274000000001</v>
      </c>
      <c r="G13" s="28">
        <v>1.5881497</v>
      </c>
      <c r="H13" s="28">
        <v>123.56332999999999</v>
      </c>
      <c r="I13" s="28">
        <v>6.2526400000000004</v>
      </c>
      <c r="J13" s="28">
        <v>169.32517999999999</v>
      </c>
      <c r="K13" s="28">
        <v>41.827410999999998</v>
      </c>
      <c r="L13" s="99">
        <v>0.37266670000000002</v>
      </c>
      <c r="M13" s="99">
        <v>0.14050662</v>
      </c>
    </row>
    <row r="14" spans="1:13">
      <c r="F14" s="95"/>
      <c r="G14" s="25"/>
      <c r="J14" s="29"/>
    </row>
    <row r="15" spans="1:13">
      <c r="F15" s="95"/>
      <c r="G15" s="25"/>
      <c r="J15" s="27"/>
    </row>
    <row r="16" spans="1:13">
      <c r="F16" s="95"/>
      <c r="G16" s="25"/>
      <c r="J16" s="27"/>
    </row>
    <row r="17" spans="2:9">
      <c r="D17" s="6" t="s">
        <v>156</v>
      </c>
      <c r="E17" s="6" t="s">
        <v>161</v>
      </c>
      <c r="F17" s="6" t="s">
        <v>192</v>
      </c>
      <c r="G17" s="6" t="s">
        <v>193</v>
      </c>
      <c r="H17" s="97" t="s">
        <v>180</v>
      </c>
      <c r="I17" s="97"/>
    </row>
    <row r="18" spans="2:9">
      <c r="C18" s="27" t="s">
        <v>203</v>
      </c>
      <c r="D18" s="28" t="s">
        <v>157</v>
      </c>
      <c r="E18" s="28" t="s">
        <v>162</v>
      </c>
      <c r="F18" s="28" t="s">
        <v>166</v>
      </c>
      <c r="G18" s="28" t="s">
        <v>169</v>
      </c>
      <c r="H18" s="99" t="s">
        <v>177</v>
      </c>
      <c r="I18" s="99"/>
    </row>
    <row r="19" spans="2:9">
      <c r="C19" s="27" t="s">
        <v>204</v>
      </c>
      <c r="D19" s="28" t="s">
        <v>158</v>
      </c>
      <c r="E19" s="28" t="s">
        <v>163</v>
      </c>
      <c r="F19" s="28" t="s">
        <v>167</v>
      </c>
      <c r="G19" s="28" t="s">
        <v>170</v>
      </c>
      <c r="H19" s="99" t="s">
        <v>178</v>
      </c>
      <c r="I19" s="99"/>
    </row>
    <row r="20" spans="2:9">
      <c r="C20" s="27" t="s">
        <v>205</v>
      </c>
      <c r="D20" s="28" t="s">
        <v>159</v>
      </c>
      <c r="E20" s="28" t="s">
        <v>164</v>
      </c>
      <c r="F20" s="28" t="s">
        <v>173</v>
      </c>
      <c r="G20" s="28" t="s">
        <v>172</v>
      </c>
      <c r="H20" s="99" t="s">
        <v>190</v>
      </c>
      <c r="I20" s="99"/>
    </row>
    <row r="21" spans="2:9">
      <c r="C21" s="27" t="s">
        <v>206</v>
      </c>
      <c r="D21" s="28" t="s">
        <v>160</v>
      </c>
      <c r="E21" s="28" t="s">
        <v>165</v>
      </c>
      <c r="F21" s="28" t="s">
        <v>168</v>
      </c>
      <c r="G21" s="28" t="s">
        <v>171</v>
      </c>
      <c r="H21" s="99" t="s">
        <v>179</v>
      </c>
      <c r="I21" s="99"/>
    </row>
    <row r="22" spans="2:9">
      <c r="C22" s="25"/>
      <c r="E22" s="25"/>
      <c r="F22" s="25"/>
    </row>
    <row r="24" spans="2:9">
      <c r="C24" s="25"/>
      <c r="E24" s="25"/>
      <c r="F24" s="25"/>
    </row>
    <row r="28" spans="2:9">
      <c r="B28" s="95"/>
      <c r="C28" s="95"/>
      <c r="D28" s="95"/>
    </row>
    <row r="29" spans="2:9">
      <c r="B29" s="95"/>
      <c r="C29" s="95"/>
      <c r="D29" s="95"/>
    </row>
    <row r="30" spans="2:9">
      <c r="B30" s="95"/>
      <c r="C30" s="95"/>
      <c r="D30" s="95"/>
    </row>
    <row r="31" spans="2:9">
      <c r="B31" s="95"/>
      <c r="C31" s="95"/>
      <c r="D31" s="95"/>
    </row>
    <row r="32" spans="2:9">
      <c r="B32" s="95"/>
      <c r="D32" s="95"/>
    </row>
    <row r="35" spans="5:7">
      <c r="E35" s="193"/>
      <c r="F35" s="193"/>
      <c r="G35" s="193"/>
    </row>
    <row r="40" spans="5:7">
      <c r="E40" s="96"/>
      <c r="F40" s="96"/>
      <c r="G40" s="96"/>
    </row>
    <row r="109" spans="2:14">
      <c r="B109" s="97" t="s">
        <v>174</v>
      </c>
      <c r="G109"/>
      <c r="H109"/>
      <c r="I109"/>
      <c r="J109"/>
      <c r="K109"/>
      <c r="L109"/>
      <c r="M109"/>
      <c r="N109"/>
    </row>
    <row r="110" spans="2:14">
      <c r="B110" s="97"/>
      <c r="C110" s="97"/>
      <c r="D110" s="97"/>
      <c r="E110" s="97"/>
      <c r="F110" s="97"/>
      <c r="G110" s="97"/>
      <c r="H110" s="97"/>
      <c r="I110" s="97"/>
      <c r="J110" s="97"/>
      <c r="K110" s="97" t="s">
        <v>151</v>
      </c>
    </row>
    <row r="111" spans="2:14">
      <c r="B111" s="97">
        <v>1</v>
      </c>
      <c r="C111" s="98">
        <v>3</v>
      </c>
      <c r="D111" s="98">
        <v>0.33</v>
      </c>
      <c r="E111" s="98">
        <v>5.632347E-2</v>
      </c>
      <c r="F111" s="98">
        <v>0.25097540000000002</v>
      </c>
      <c r="G111" s="98">
        <v>6.01533E-2</v>
      </c>
      <c r="H111" s="98">
        <v>87.266670000000005</v>
      </c>
      <c r="I111" s="98">
        <v>14.08192</v>
      </c>
      <c r="J111" s="98">
        <v>108.3875</v>
      </c>
      <c r="K111" s="98">
        <v>24.871300999999999</v>
      </c>
    </row>
    <row r="112" spans="2:14">
      <c r="B112" s="97">
        <v>2</v>
      </c>
      <c r="C112" s="98">
        <v>3</v>
      </c>
      <c r="D112" s="98">
        <v>0.32900000000000001</v>
      </c>
      <c r="E112" s="98">
        <v>1.457166E-2</v>
      </c>
      <c r="F112" s="98">
        <v>0.201295</v>
      </c>
      <c r="G112" s="98">
        <v>8.0726500000000007E-2</v>
      </c>
      <c r="H112" s="98">
        <v>97.486670000000004</v>
      </c>
      <c r="I112" s="98">
        <v>10.52957</v>
      </c>
      <c r="J112" s="98">
        <v>66.160259999999994</v>
      </c>
      <c r="K112" s="98">
        <v>7.5013170000000002</v>
      </c>
    </row>
    <row r="113" spans="2:11">
      <c r="B113" s="97">
        <v>3</v>
      </c>
      <c r="C113" s="98">
        <v>3</v>
      </c>
      <c r="D113" s="98">
        <v>11.329000000000001</v>
      </c>
      <c r="E113" s="98">
        <v>1.30595112</v>
      </c>
      <c r="F113" s="98">
        <v>5.3618274000000001</v>
      </c>
      <c r="G113" s="98">
        <v>1.5881497</v>
      </c>
      <c r="H113" s="98">
        <v>123.56332999999999</v>
      </c>
      <c r="I113" s="98">
        <v>6.2526400000000004</v>
      </c>
      <c r="J113" s="98">
        <v>169.32517999999999</v>
      </c>
      <c r="K113" s="98">
        <v>41.827410999999998</v>
      </c>
    </row>
    <row r="114" spans="2:11">
      <c r="B114" s="97">
        <v>4</v>
      </c>
      <c r="C114" s="98">
        <v>3</v>
      </c>
      <c r="D114" s="98">
        <v>0.31533329999999998</v>
      </c>
      <c r="E114" s="98">
        <v>5.518555E-2</v>
      </c>
      <c r="F114" s="98">
        <v>0.29955870000000001</v>
      </c>
      <c r="G114" s="98">
        <v>0.16194549999999999</v>
      </c>
      <c r="H114" s="98">
        <v>90.666669999999996</v>
      </c>
      <c r="I114" s="98">
        <v>1.6879999999999999</v>
      </c>
      <c r="J114" s="98">
        <v>114.75297</v>
      </c>
      <c r="K114" s="98">
        <v>40.964976999999998</v>
      </c>
    </row>
  </sheetData>
  <mergeCells count="1"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2706-467F-9241-BD86-0F17D599EAFE}">
  <dimension ref="A1:AZ98"/>
  <sheetViews>
    <sheetView workbookViewId="0">
      <selection activeCell="C12" sqref="C12"/>
    </sheetView>
  </sheetViews>
  <sheetFormatPr baseColWidth="10" defaultRowHeight="16"/>
  <cols>
    <col min="1" max="1" width="14.5" customWidth="1"/>
  </cols>
  <sheetData>
    <row r="1" spans="1:52" ht="64" customHeight="1" thickBot="1">
      <c r="A1" s="30" t="s">
        <v>294</v>
      </c>
      <c r="C1" s="197" t="s">
        <v>282</v>
      </c>
      <c r="D1" s="197"/>
      <c r="F1" s="194" t="s">
        <v>281</v>
      </c>
      <c r="G1" s="194"/>
      <c r="H1" s="194"/>
      <c r="I1" s="194"/>
      <c r="J1" s="177"/>
      <c r="K1" s="194" t="s">
        <v>280</v>
      </c>
      <c r="L1" s="194"/>
      <c r="M1" s="194"/>
      <c r="N1" s="194"/>
      <c r="O1" s="194"/>
      <c r="Q1" s="196" t="s">
        <v>279</v>
      </c>
      <c r="R1" s="196"/>
      <c r="S1" s="196"/>
      <c r="U1" s="195" t="s">
        <v>278</v>
      </c>
      <c r="V1" s="195"/>
      <c r="W1" s="195"/>
      <c r="Z1" s="176" t="s">
        <v>273</v>
      </c>
      <c r="AF1" s="199" t="s">
        <v>277</v>
      </c>
      <c r="AG1" s="199"/>
      <c r="AH1" s="199"/>
      <c r="AI1" s="199"/>
      <c r="AJ1" s="199"/>
      <c r="AL1" s="198" t="s">
        <v>274</v>
      </c>
      <c r="AM1" s="198"/>
      <c r="AO1" s="194" t="s">
        <v>275</v>
      </c>
      <c r="AP1" s="194"/>
      <c r="AQ1" s="194"/>
      <c r="AR1" s="194"/>
      <c r="AT1" s="194" t="s">
        <v>276</v>
      </c>
      <c r="AU1" s="194"/>
      <c r="AV1" s="194"/>
      <c r="AW1" s="194"/>
      <c r="AX1" s="194"/>
      <c r="AY1" s="194"/>
      <c r="AZ1" s="194"/>
    </row>
    <row r="2" spans="1:52" ht="25" customHeight="1" thickBot="1">
      <c r="A2">
        <v>0.59299999999999997</v>
      </c>
      <c r="B2" t="s">
        <v>207</v>
      </c>
      <c r="C2">
        <v>2007</v>
      </c>
      <c r="D2" s="105">
        <v>4.3150000000000004</v>
      </c>
      <c r="F2" s="107" t="s">
        <v>77</v>
      </c>
      <c r="G2" s="108" t="s">
        <v>78</v>
      </c>
      <c r="H2" s="109" t="s">
        <v>208</v>
      </c>
      <c r="I2" s="181" t="s">
        <v>209</v>
      </c>
      <c r="J2" s="178"/>
      <c r="K2" s="108" t="s">
        <v>284</v>
      </c>
      <c r="L2" s="108" t="s">
        <v>285</v>
      </c>
      <c r="M2" s="114" t="s">
        <v>210</v>
      </c>
      <c r="N2" s="109" t="s">
        <v>211</v>
      </c>
      <c r="O2" s="109" t="s">
        <v>212</v>
      </c>
      <c r="Q2" s="107" t="s">
        <v>211</v>
      </c>
      <c r="R2" s="108" t="s">
        <v>213</v>
      </c>
      <c r="S2" s="108" t="s">
        <v>214</v>
      </c>
      <c r="U2" s="107" t="s">
        <v>211</v>
      </c>
      <c r="V2" s="108" t="s">
        <v>213</v>
      </c>
      <c r="W2" s="108" t="s">
        <v>214</v>
      </c>
      <c r="Z2" s="174" t="s">
        <v>40</v>
      </c>
      <c r="AA2" s="175" t="s">
        <v>270</v>
      </c>
      <c r="AB2" s="175" t="s">
        <v>40</v>
      </c>
      <c r="AC2" s="203" t="s">
        <v>193</v>
      </c>
      <c r="AD2" s="205" t="s">
        <v>272</v>
      </c>
      <c r="AF2" s="200" t="s">
        <v>218</v>
      </c>
      <c r="AG2" s="200" t="s">
        <v>137</v>
      </c>
      <c r="AH2" s="200" t="s">
        <v>241</v>
      </c>
      <c r="AI2" s="200" t="s">
        <v>218</v>
      </c>
      <c r="AJ2" s="160" t="s">
        <v>117</v>
      </c>
      <c r="AL2" s="168">
        <v>0</v>
      </c>
      <c r="AM2" s="169">
        <v>0</v>
      </c>
      <c r="AO2" s="114">
        <v>6.8156999999999996</v>
      </c>
      <c r="AP2" s="109">
        <v>1</v>
      </c>
      <c r="AQ2" s="171">
        <v>13.347</v>
      </c>
      <c r="AR2" s="171">
        <v>2.1190000000000001E-2</v>
      </c>
      <c r="AT2" s="168">
        <v>0.67413579999999995</v>
      </c>
      <c r="AU2" s="169">
        <v>1.0993170000000001</v>
      </c>
      <c r="AV2" s="109">
        <v>164.55</v>
      </c>
      <c r="AW2" s="109">
        <v>-4.1639999999999997</v>
      </c>
      <c r="AX2" s="173">
        <v>1E-4</v>
      </c>
      <c r="AY2" s="169">
        <v>0.55917930000000005</v>
      </c>
      <c r="AZ2" s="169">
        <v>0.81272520000000004</v>
      </c>
    </row>
    <row r="3" spans="1:52" ht="18" customHeight="1" thickBot="1">
      <c r="A3" t="s">
        <v>293</v>
      </c>
      <c r="C3">
        <v>2008</v>
      </c>
      <c r="D3" s="106">
        <v>1015.255</v>
      </c>
      <c r="F3" s="110" t="s">
        <v>47</v>
      </c>
      <c r="G3" s="111">
        <v>2007</v>
      </c>
      <c r="H3" s="112">
        <v>39.369999999999997</v>
      </c>
      <c r="I3" s="182">
        <v>63.173999999999999</v>
      </c>
      <c r="J3" s="179"/>
      <c r="K3" s="160" t="s">
        <v>113</v>
      </c>
      <c r="L3" s="180" t="s">
        <v>292</v>
      </c>
      <c r="M3" s="116">
        <v>6.04</v>
      </c>
      <c r="N3" s="117">
        <v>143.88999999999999</v>
      </c>
      <c r="O3" s="118">
        <v>1.0580000000000001</v>
      </c>
      <c r="Q3" s="119">
        <v>87.33</v>
      </c>
      <c r="R3" s="112">
        <v>0.627</v>
      </c>
      <c r="S3" s="112">
        <v>0.36799999999999999</v>
      </c>
      <c r="U3" s="121">
        <v>143.83000000000001</v>
      </c>
      <c r="V3" s="122">
        <v>1.1060000000000001</v>
      </c>
      <c r="W3" s="122">
        <v>6.0330000000000004</v>
      </c>
      <c r="Z3" s="145" t="s">
        <v>269</v>
      </c>
      <c r="AA3" s="150" t="s">
        <v>269</v>
      </c>
      <c r="AB3" s="150" t="s">
        <v>271</v>
      </c>
      <c r="AC3" s="204"/>
      <c r="AD3" s="206"/>
      <c r="AF3" s="201"/>
      <c r="AG3" s="201"/>
      <c r="AH3" s="201"/>
      <c r="AI3" s="201"/>
      <c r="AJ3" s="120" t="s">
        <v>196</v>
      </c>
      <c r="AL3" s="170">
        <v>0.29082000000000002</v>
      </c>
      <c r="AM3" s="118">
        <v>0.5393</v>
      </c>
      <c r="AO3" s="167">
        <v>2.1879</v>
      </c>
      <c r="AP3" s="115">
        <v>2</v>
      </c>
      <c r="AQ3" s="172">
        <v>137.149</v>
      </c>
      <c r="AR3" s="172">
        <v>0.11605</v>
      </c>
      <c r="AT3" s="170">
        <v>0.67413579999999995</v>
      </c>
      <c r="AU3" s="118">
        <v>1.0992390000000001</v>
      </c>
      <c r="AV3" s="115">
        <v>165</v>
      </c>
      <c r="AW3" s="115">
        <v>-4.1680000000000001</v>
      </c>
      <c r="AX3" s="115" t="s">
        <v>251</v>
      </c>
      <c r="AY3" s="118">
        <v>0.55925959999999997</v>
      </c>
      <c r="AZ3" s="118">
        <v>0.81260849999999996</v>
      </c>
    </row>
    <row r="4" spans="1:52" ht="17" thickBot="1">
      <c r="A4">
        <f>(A2-D8)/D8 * 100</f>
        <v>56.293961794955763</v>
      </c>
      <c r="C4">
        <v>2009</v>
      </c>
      <c r="D4" s="106">
        <v>52.466999999999999</v>
      </c>
      <c r="F4" s="110" t="s">
        <v>47</v>
      </c>
      <c r="G4" s="111">
        <v>2008</v>
      </c>
      <c r="H4" s="112">
        <v>9.8320000000000007</v>
      </c>
      <c r="I4" s="182">
        <v>22.597000000000001</v>
      </c>
      <c r="J4" s="179"/>
      <c r="K4" s="120" t="s">
        <v>114</v>
      </c>
      <c r="L4" s="120" t="s">
        <v>286</v>
      </c>
      <c r="M4" s="116">
        <v>5.9889999999999999</v>
      </c>
      <c r="N4" s="117">
        <v>142.38</v>
      </c>
      <c r="O4" s="118">
        <v>1.0649999999999999</v>
      </c>
      <c r="Q4" s="119">
        <v>88.77</v>
      </c>
      <c r="R4" s="112">
        <v>0.30399999999999999</v>
      </c>
      <c r="S4" s="112">
        <v>0.72</v>
      </c>
      <c r="U4" s="121">
        <v>143.79</v>
      </c>
      <c r="V4" s="122">
        <v>1.1060000000000001</v>
      </c>
      <c r="W4" s="122">
        <v>6.0209999999999999</v>
      </c>
      <c r="Z4" s="157" t="s">
        <v>221</v>
      </c>
      <c r="AA4" s="147" t="s">
        <v>225</v>
      </c>
      <c r="AB4" s="147" t="s">
        <v>232</v>
      </c>
      <c r="AC4" s="147" t="s">
        <v>233</v>
      </c>
      <c r="AD4" s="158" t="s">
        <v>237</v>
      </c>
      <c r="AF4" s="162">
        <v>0.35799999999999998</v>
      </c>
      <c r="AG4" s="113">
        <v>101.37</v>
      </c>
      <c r="AH4" s="112">
        <v>0.32300000000000001</v>
      </c>
      <c r="AI4" s="112">
        <v>9.2999999999999999E-2</v>
      </c>
      <c r="AJ4" s="113">
        <v>76.650000000000006</v>
      </c>
      <c r="AL4" s="170">
        <v>5.7180000000000002E-2</v>
      </c>
      <c r="AM4" s="118">
        <v>0.23910000000000001</v>
      </c>
      <c r="AO4" s="167">
        <v>36.087899999999998</v>
      </c>
      <c r="AP4" s="115">
        <v>2</v>
      </c>
      <c r="AQ4" s="172">
        <v>147.79</v>
      </c>
      <c r="AR4" s="172">
        <v>1.7280000000000001E-13</v>
      </c>
    </row>
    <row r="5" spans="1:52" ht="17" thickBot="1">
      <c r="C5">
        <v>2010</v>
      </c>
      <c r="D5" s="106">
        <v>445.61599999999999</v>
      </c>
      <c r="F5" s="110" t="s">
        <v>47</v>
      </c>
      <c r="G5" s="111">
        <v>2009</v>
      </c>
      <c r="H5" s="112">
        <v>73.203999999999994</v>
      </c>
      <c r="I5" s="182">
        <v>73.805000000000007</v>
      </c>
      <c r="J5" s="179"/>
      <c r="K5" s="120" t="s">
        <v>37</v>
      </c>
      <c r="L5" s="120" t="s">
        <v>287</v>
      </c>
      <c r="M5" s="116">
        <v>6.0380000000000003</v>
      </c>
      <c r="N5" s="117">
        <v>143.85</v>
      </c>
      <c r="O5" s="118">
        <v>1.0580000000000001</v>
      </c>
      <c r="U5" s="121">
        <v>143.88999999999999</v>
      </c>
      <c r="V5" s="122">
        <v>1.0580000000000001</v>
      </c>
      <c r="W5" s="122">
        <v>6.04</v>
      </c>
      <c r="Z5" s="145" t="s">
        <v>222</v>
      </c>
      <c r="AA5" s="150" t="s">
        <v>226</v>
      </c>
      <c r="AB5" s="150" t="s">
        <v>231</v>
      </c>
      <c r="AC5" s="150" t="s">
        <v>234</v>
      </c>
      <c r="AD5" s="159" t="s">
        <v>238</v>
      </c>
      <c r="AF5" s="162">
        <v>0.307</v>
      </c>
      <c r="AG5" s="113">
        <v>87.87</v>
      </c>
      <c r="AH5" s="112">
        <v>0.38100000000000001</v>
      </c>
      <c r="AI5" s="112">
        <v>0.25600000000000001</v>
      </c>
      <c r="AJ5" s="113">
        <v>147.26</v>
      </c>
      <c r="AL5" s="170">
        <v>0.63380999999999998</v>
      </c>
      <c r="AM5" s="118">
        <v>0.79610000000000003</v>
      </c>
      <c r="AO5" s="167">
        <v>0.40410000000000001</v>
      </c>
      <c r="AP5" s="115">
        <v>2</v>
      </c>
      <c r="AQ5" s="172">
        <v>10.298999999999999</v>
      </c>
      <c r="AR5" s="172">
        <v>0.67773000000000005</v>
      </c>
    </row>
    <row r="6" spans="1:52" ht="17" thickBot="1">
      <c r="A6" t="s">
        <v>295</v>
      </c>
      <c r="C6" s="183" t="s">
        <v>283</v>
      </c>
      <c r="D6" s="183"/>
      <c r="F6" s="110" t="s">
        <v>47</v>
      </c>
      <c r="G6" s="111">
        <v>2010</v>
      </c>
      <c r="H6" s="112">
        <v>361.54899999999998</v>
      </c>
      <c r="I6" s="182">
        <v>232.22900000000001</v>
      </c>
      <c r="J6" s="179"/>
      <c r="K6" s="120" t="s">
        <v>288</v>
      </c>
      <c r="L6" s="120" t="s">
        <v>289</v>
      </c>
      <c r="M6" s="116">
        <v>0.59299999999999997</v>
      </c>
      <c r="N6" s="117">
        <v>141.51</v>
      </c>
      <c r="O6" s="118">
        <v>0.94199999999999995</v>
      </c>
      <c r="U6" s="121">
        <v>144.44999999999999</v>
      </c>
      <c r="V6" s="122">
        <v>1.05</v>
      </c>
      <c r="W6" s="122">
        <v>6.1449999999999996</v>
      </c>
      <c r="Z6" s="145" t="s">
        <v>223</v>
      </c>
      <c r="AA6" s="150" t="s">
        <v>227</v>
      </c>
      <c r="AB6" s="150" t="s">
        <v>230</v>
      </c>
      <c r="AC6" s="150" t="s">
        <v>235</v>
      </c>
      <c r="AD6" s="159" t="s">
        <v>239</v>
      </c>
      <c r="AF6" s="162">
        <v>0.373</v>
      </c>
      <c r="AG6" s="113">
        <v>91.89</v>
      </c>
      <c r="AH6" s="112">
        <v>0.34899999999999998</v>
      </c>
      <c r="AI6" s="112">
        <v>0.104</v>
      </c>
      <c r="AJ6" s="113">
        <v>93.3</v>
      </c>
      <c r="AL6" s="170">
        <v>0.25051000000000001</v>
      </c>
      <c r="AM6" s="118">
        <v>0.50049999999999994</v>
      </c>
      <c r="AO6" s="167">
        <v>0.59450000000000003</v>
      </c>
      <c r="AP6" s="115">
        <v>2</v>
      </c>
      <c r="AQ6" s="172">
        <v>137.149</v>
      </c>
      <c r="AR6" s="172">
        <v>0.55325000000000002</v>
      </c>
    </row>
    <row r="7" spans="1:52" ht="17" thickBot="1">
      <c r="A7">
        <v>6.04</v>
      </c>
      <c r="B7" t="s">
        <v>207</v>
      </c>
      <c r="C7" t="s">
        <v>92</v>
      </c>
      <c r="D7">
        <f>AVERAGE(D2:D5)</f>
        <v>379.41325000000001</v>
      </c>
      <c r="F7" s="110" t="s">
        <v>47</v>
      </c>
      <c r="G7" s="111">
        <v>2011</v>
      </c>
      <c r="H7" s="112">
        <v>142.316</v>
      </c>
      <c r="I7" s="182">
        <v>94.712000000000003</v>
      </c>
      <c r="J7" s="179"/>
      <c r="K7" s="120" t="s">
        <v>116</v>
      </c>
      <c r="L7" s="120" t="s">
        <v>290</v>
      </c>
      <c r="M7" s="116">
        <v>6.1760000000000002</v>
      </c>
      <c r="N7" s="117">
        <v>144.51</v>
      </c>
      <c r="O7" s="118">
        <v>1.054</v>
      </c>
      <c r="U7" s="121">
        <v>144.46</v>
      </c>
      <c r="V7" s="122">
        <v>1.0489999999999999</v>
      </c>
      <c r="W7" s="122">
        <v>6.141</v>
      </c>
      <c r="Z7" s="145" t="s">
        <v>224</v>
      </c>
      <c r="AA7" s="150" t="s">
        <v>228</v>
      </c>
      <c r="AB7" s="150" t="s">
        <v>229</v>
      </c>
      <c r="AC7" s="150" t="s">
        <v>236</v>
      </c>
      <c r="AD7" s="159" t="s">
        <v>240</v>
      </c>
      <c r="AF7" s="162">
        <v>0.36799999999999999</v>
      </c>
      <c r="AG7" s="113">
        <v>87.33</v>
      </c>
      <c r="AH7" s="112">
        <v>0.627</v>
      </c>
      <c r="AI7" s="112">
        <v>0.621</v>
      </c>
      <c r="AJ7" s="113">
        <v>193.96</v>
      </c>
    </row>
    <row r="8" spans="1:52" ht="17" thickBot="1">
      <c r="A8" t="s">
        <v>293</v>
      </c>
      <c r="C8" t="s">
        <v>207</v>
      </c>
      <c r="D8">
        <f>D7/1000</f>
        <v>0.37941324999999998</v>
      </c>
      <c r="F8" s="110" t="s">
        <v>47</v>
      </c>
      <c r="G8" s="111">
        <v>2012</v>
      </c>
      <c r="H8" s="112">
        <v>79.391000000000005</v>
      </c>
      <c r="I8" s="182">
        <v>26.776</v>
      </c>
      <c r="J8" s="179"/>
      <c r="K8" s="120" t="s">
        <v>115</v>
      </c>
      <c r="L8" s="120" t="s">
        <v>291</v>
      </c>
      <c r="M8" s="116">
        <v>0.58199999999999996</v>
      </c>
      <c r="N8" s="117">
        <v>140.32</v>
      </c>
      <c r="O8" s="118">
        <v>0.94599999999999995</v>
      </c>
      <c r="AF8" s="162">
        <v>0.246</v>
      </c>
      <c r="AG8" s="113">
        <v>62.58</v>
      </c>
      <c r="AH8" s="112">
        <v>0.63700000000000001</v>
      </c>
      <c r="AI8" s="112">
        <v>0.14399999999999999</v>
      </c>
      <c r="AJ8" s="113">
        <v>115.82</v>
      </c>
    </row>
    <row r="9" spans="1:52" ht="17" thickBot="1">
      <c r="A9">
        <f>(A7-D8)/D8*100</f>
        <v>1491.9317525152326</v>
      </c>
      <c r="F9" s="110" t="s">
        <v>47</v>
      </c>
      <c r="G9" s="111">
        <v>2013</v>
      </c>
      <c r="H9" s="112">
        <v>32.832999999999998</v>
      </c>
      <c r="I9" s="182">
        <v>55.305</v>
      </c>
      <c r="J9" s="179"/>
      <c r="AF9" s="162">
        <v>11.923999999999999</v>
      </c>
      <c r="AG9" s="113">
        <v>113.45</v>
      </c>
      <c r="AH9" s="112">
        <v>1.1919999999999999</v>
      </c>
      <c r="AI9" s="112">
        <v>6.5789999999999997</v>
      </c>
      <c r="AJ9" s="113">
        <v>245.86</v>
      </c>
    </row>
    <row r="10" spans="1:52" ht="17" thickBot="1">
      <c r="F10" s="110" t="s">
        <v>47</v>
      </c>
      <c r="G10" s="111">
        <v>2014</v>
      </c>
      <c r="H10" s="112">
        <v>4.6900000000000004</v>
      </c>
      <c r="I10" s="113">
        <v>44.600999999999999</v>
      </c>
      <c r="J10" s="179"/>
      <c r="K10" s="179"/>
      <c r="Z10" s="202" t="s">
        <v>268</v>
      </c>
      <c r="AA10" s="202"/>
      <c r="AB10" s="202"/>
      <c r="AC10" s="202"/>
      <c r="AD10" s="202"/>
      <c r="AF10" s="162">
        <v>0.437</v>
      </c>
      <c r="AG10" s="113">
        <v>111.35</v>
      </c>
      <c r="AH10" s="112">
        <v>0.57599999999999996</v>
      </c>
      <c r="AI10" s="112">
        <v>0.35199999999999998</v>
      </c>
      <c r="AJ10" s="113">
        <v>62.08</v>
      </c>
    </row>
    <row r="11" spans="1:52" ht="17" thickBot="1">
      <c r="F11" s="110" t="s">
        <v>48</v>
      </c>
      <c r="G11" s="111">
        <v>2007</v>
      </c>
      <c r="H11" s="112">
        <v>0</v>
      </c>
      <c r="I11" s="113">
        <v>6.9</v>
      </c>
      <c r="J11" s="179"/>
      <c r="K11" s="179"/>
      <c r="Z11" s="174" t="s">
        <v>40</v>
      </c>
      <c r="AA11" s="175" t="s">
        <v>270</v>
      </c>
      <c r="AB11" s="175" t="s">
        <v>40</v>
      </c>
      <c r="AC11" s="203" t="s">
        <v>193</v>
      </c>
      <c r="AD11" s="205" t="s">
        <v>272</v>
      </c>
      <c r="AF11" s="162">
        <v>0.317</v>
      </c>
      <c r="AG11" s="113">
        <v>113.47</v>
      </c>
      <c r="AH11" s="112">
        <v>0.32</v>
      </c>
      <c r="AI11" s="112">
        <v>0.35899999999999999</v>
      </c>
      <c r="AJ11" s="113">
        <v>70.2</v>
      </c>
    </row>
    <row r="12" spans="1:52" ht="17" thickBot="1">
      <c r="F12" s="110" t="s">
        <v>48</v>
      </c>
      <c r="G12" s="111">
        <v>2008</v>
      </c>
      <c r="H12" s="112">
        <v>1289.3420000000001</v>
      </c>
      <c r="I12" s="113">
        <v>323.74799999999999</v>
      </c>
      <c r="J12" s="179"/>
      <c r="K12" s="179"/>
      <c r="Z12" s="145" t="s">
        <v>269</v>
      </c>
      <c r="AA12" s="150" t="s">
        <v>269</v>
      </c>
      <c r="AB12" s="150" t="s">
        <v>271</v>
      </c>
      <c r="AC12" s="204"/>
      <c r="AD12" s="206"/>
      <c r="AF12" s="162">
        <v>8.8290000000000006</v>
      </c>
      <c r="AG12" s="113">
        <v>122.25</v>
      </c>
      <c r="AH12" s="112">
        <v>0.88300000000000001</v>
      </c>
      <c r="AI12" s="112">
        <v>7.2939999999999996</v>
      </c>
      <c r="AJ12" s="113">
        <v>160.30000000000001</v>
      </c>
    </row>
    <row r="13" spans="1:52" ht="17" thickBot="1">
      <c r="F13" s="110" t="s">
        <v>48</v>
      </c>
      <c r="G13" s="111">
        <v>2009</v>
      </c>
      <c r="H13" s="112">
        <v>154.54</v>
      </c>
      <c r="I13" s="113">
        <v>154.08799999999999</v>
      </c>
      <c r="J13" s="179"/>
      <c r="K13" s="179"/>
      <c r="Z13" s="163" t="s">
        <v>244</v>
      </c>
      <c r="AA13" s="164" t="s">
        <v>225</v>
      </c>
      <c r="AB13" s="164" t="s">
        <v>245</v>
      </c>
      <c r="AC13" s="164" t="s">
        <v>233</v>
      </c>
      <c r="AD13" s="158" t="s">
        <v>248</v>
      </c>
      <c r="AF13" s="162">
        <v>0.312</v>
      </c>
      <c r="AG13" s="113">
        <v>77.62</v>
      </c>
      <c r="AH13" s="112">
        <v>0.61899999999999999</v>
      </c>
      <c r="AI13" s="112">
        <v>0.152</v>
      </c>
      <c r="AJ13" s="113">
        <v>51.63</v>
      </c>
    </row>
    <row r="14" spans="1:52" ht="17" thickBot="1">
      <c r="F14" s="110" t="s">
        <v>48</v>
      </c>
      <c r="G14" s="111">
        <v>2010</v>
      </c>
      <c r="H14" s="112">
        <v>386.08</v>
      </c>
      <c r="I14" s="113">
        <v>476.44099999999997</v>
      </c>
      <c r="J14" s="179"/>
      <c r="K14" s="179"/>
      <c r="Z14" s="165" t="s">
        <v>243</v>
      </c>
      <c r="AA14" s="166" t="s">
        <v>226</v>
      </c>
      <c r="AB14" s="166" t="s">
        <v>246</v>
      </c>
      <c r="AC14" s="150" t="s">
        <v>234</v>
      </c>
      <c r="AD14" s="159" t="s">
        <v>249</v>
      </c>
      <c r="AF14" s="162">
        <v>0.20499999999999999</v>
      </c>
      <c r="AG14" s="113">
        <v>92.78</v>
      </c>
      <c r="AH14" s="112">
        <v>0.14199999999999999</v>
      </c>
      <c r="AI14" s="112">
        <v>0.17399999999999999</v>
      </c>
      <c r="AJ14" s="113">
        <v>57</v>
      </c>
    </row>
    <row r="15" spans="1:52" ht="17" thickBot="1">
      <c r="F15" s="110" t="s">
        <v>48</v>
      </c>
      <c r="G15" s="111">
        <v>2011</v>
      </c>
      <c r="H15" s="112">
        <v>199.90600000000001</v>
      </c>
      <c r="I15" s="113">
        <v>111.68300000000001</v>
      </c>
      <c r="J15" s="179"/>
      <c r="K15" s="179"/>
      <c r="Z15" s="165" t="s">
        <v>242</v>
      </c>
      <c r="AA15" s="166" t="s">
        <v>227</v>
      </c>
      <c r="AB15" s="166" t="s">
        <v>247</v>
      </c>
      <c r="AC15" s="150" t="s">
        <v>235</v>
      </c>
      <c r="AD15" s="159" t="s">
        <v>250</v>
      </c>
      <c r="AF15" s="162">
        <v>13.234</v>
      </c>
      <c r="AG15" s="113">
        <v>134.99</v>
      </c>
      <c r="AH15" s="112">
        <v>1.323</v>
      </c>
      <c r="AI15" s="112">
        <v>2.2120000000000002</v>
      </c>
      <c r="AJ15" s="113">
        <v>101.81</v>
      </c>
    </row>
    <row r="16" spans="1:52" ht="17" thickBot="1">
      <c r="F16" s="110" t="s">
        <v>48</v>
      </c>
      <c r="G16" s="111">
        <v>2012</v>
      </c>
      <c r="H16" s="112">
        <v>5.0309999999999997</v>
      </c>
      <c r="I16" s="113">
        <v>5.8079999999999998</v>
      </c>
      <c r="J16" s="179"/>
      <c r="K16" s="179"/>
    </row>
    <row r="17" spans="6:11" ht="17" thickBot="1">
      <c r="F17" s="110" t="s">
        <v>48</v>
      </c>
      <c r="G17" s="111">
        <v>2013</v>
      </c>
      <c r="H17" s="112">
        <v>8.4960000000000004</v>
      </c>
      <c r="I17" s="113">
        <v>42.057000000000002</v>
      </c>
      <c r="J17" s="179"/>
      <c r="K17" s="179"/>
    </row>
    <row r="18" spans="6:11" ht="17" thickBot="1">
      <c r="F18" s="110" t="s">
        <v>48</v>
      </c>
      <c r="G18" s="111">
        <v>2014</v>
      </c>
      <c r="H18" s="112">
        <v>8.5850000000000009</v>
      </c>
      <c r="I18" s="113">
        <v>57.381999999999998</v>
      </c>
      <c r="J18" s="179"/>
      <c r="K18" s="179"/>
    </row>
    <row r="19" spans="6:11" ht="17" thickBot="1">
      <c r="F19" s="110" t="s">
        <v>49</v>
      </c>
      <c r="G19" s="111">
        <v>2007</v>
      </c>
      <c r="H19" s="112">
        <v>89.492000000000004</v>
      </c>
      <c r="I19" s="113">
        <v>35.421999999999997</v>
      </c>
      <c r="J19" s="179"/>
      <c r="K19" s="179"/>
    </row>
    <row r="20" spans="6:11" ht="17" thickBot="1">
      <c r="F20" s="110" t="s">
        <v>49</v>
      </c>
      <c r="G20" s="111">
        <v>2008</v>
      </c>
      <c r="H20" s="112">
        <v>107.399</v>
      </c>
      <c r="I20" s="113">
        <v>77.706999999999994</v>
      </c>
      <c r="J20" s="179"/>
      <c r="K20" s="179"/>
    </row>
    <row r="21" spans="6:11" ht="17" thickBot="1">
      <c r="F21" s="110" t="s">
        <v>49</v>
      </c>
      <c r="G21" s="111">
        <v>2009</v>
      </c>
      <c r="H21" s="112">
        <v>18.518000000000001</v>
      </c>
      <c r="I21" s="113">
        <v>48.274000000000001</v>
      </c>
      <c r="J21" s="179"/>
      <c r="K21" s="179"/>
    </row>
    <row r="22" spans="6:11" ht="17" thickBot="1">
      <c r="F22" s="110" t="s">
        <v>49</v>
      </c>
      <c r="G22" s="111">
        <v>2010</v>
      </c>
      <c r="H22" s="112">
        <v>416.67599999999999</v>
      </c>
      <c r="I22" s="113">
        <v>309.38099999999997</v>
      </c>
      <c r="J22" s="179"/>
      <c r="K22" s="179"/>
    </row>
    <row r="23" spans="6:11" ht="17" thickBot="1">
      <c r="F23" s="110" t="s">
        <v>49</v>
      </c>
      <c r="G23" s="111">
        <v>2011</v>
      </c>
      <c r="H23" s="112">
        <v>136.10900000000001</v>
      </c>
      <c r="I23" s="113">
        <v>74.915000000000006</v>
      </c>
      <c r="J23" s="179"/>
      <c r="K23" s="179"/>
    </row>
    <row r="24" spans="6:11" ht="17" thickBot="1">
      <c r="F24" s="110" t="s">
        <v>49</v>
      </c>
      <c r="G24" s="111">
        <v>2012</v>
      </c>
      <c r="H24" s="112">
        <v>0.56699999999999995</v>
      </c>
      <c r="I24" s="113">
        <v>12.643000000000001</v>
      </c>
      <c r="J24" s="179"/>
      <c r="K24" s="179"/>
    </row>
    <row r="25" spans="6:11" ht="17" thickBot="1">
      <c r="F25" s="110" t="s">
        <v>49</v>
      </c>
      <c r="G25" s="111">
        <v>2013</v>
      </c>
      <c r="H25" s="112">
        <v>56.622999999999998</v>
      </c>
      <c r="I25" s="113">
        <v>85.760999999999996</v>
      </c>
      <c r="J25" s="179"/>
      <c r="K25" s="179"/>
    </row>
    <row r="26" spans="6:11" ht="17" thickBot="1">
      <c r="F26" s="110" t="s">
        <v>49</v>
      </c>
      <c r="G26" s="111">
        <v>2014</v>
      </c>
      <c r="H26" s="112">
        <v>6.9489999999999998</v>
      </c>
      <c r="I26" s="113">
        <v>102.312</v>
      </c>
      <c r="J26" s="179"/>
      <c r="K26" s="179"/>
    </row>
    <row r="27" spans="6:11" ht="17" thickBot="1">
      <c r="F27" s="110" t="s">
        <v>50</v>
      </c>
      <c r="G27" s="111">
        <v>2007</v>
      </c>
      <c r="H27" s="112">
        <v>211.35300000000001</v>
      </c>
      <c r="I27" s="113">
        <v>77.274000000000001</v>
      </c>
      <c r="J27" s="179"/>
      <c r="K27" s="179"/>
    </row>
    <row r="28" spans="6:11" ht="17" thickBot="1">
      <c r="F28" s="110" t="s">
        <v>50</v>
      </c>
      <c r="G28" s="111">
        <v>2008</v>
      </c>
      <c r="H28" s="112">
        <v>2405.5230000000001</v>
      </c>
      <c r="I28" s="113">
        <v>278.20100000000002</v>
      </c>
      <c r="J28" s="179"/>
      <c r="K28" s="179"/>
    </row>
    <row r="29" spans="6:11" ht="17" thickBot="1">
      <c r="F29" s="110" t="s">
        <v>50</v>
      </c>
      <c r="G29" s="111">
        <v>2009</v>
      </c>
      <c r="H29" s="112">
        <v>334.30200000000002</v>
      </c>
      <c r="I29" s="113">
        <v>154.69999999999999</v>
      </c>
      <c r="J29" s="179"/>
      <c r="K29" s="179"/>
    </row>
    <row r="30" spans="6:11" ht="17" thickBot="1">
      <c r="F30" s="110" t="s">
        <v>50</v>
      </c>
      <c r="G30" s="111">
        <v>2010</v>
      </c>
      <c r="H30" s="112">
        <v>1352.816</v>
      </c>
      <c r="I30" s="113">
        <v>569.74099999999999</v>
      </c>
      <c r="J30" s="179"/>
      <c r="K30" s="179"/>
    </row>
    <row r="31" spans="6:11" ht="17" thickBot="1">
      <c r="F31" s="110" t="s">
        <v>50</v>
      </c>
      <c r="G31" s="111">
        <v>2011</v>
      </c>
      <c r="H31" s="112">
        <v>181.36500000000001</v>
      </c>
      <c r="I31" s="113">
        <v>177.94300000000001</v>
      </c>
      <c r="J31" s="179"/>
      <c r="K31" s="179"/>
    </row>
    <row r="32" spans="6:11" ht="17" thickBot="1">
      <c r="F32" s="110" t="s">
        <v>50</v>
      </c>
      <c r="G32" s="111">
        <v>2012</v>
      </c>
      <c r="H32" s="112">
        <v>106.678</v>
      </c>
      <c r="I32" s="113">
        <v>21.419</v>
      </c>
      <c r="J32" s="179"/>
      <c r="K32" s="179"/>
    </row>
    <row r="33" spans="6:11" ht="17" thickBot="1">
      <c r="F33" s="110" t="s">
        <v>50</v>
      </c>
      <c r="G33" s="111">
        <v>2013</v>
      </c>
      <c r="H33" s="112">
        <v>315.73099999999999</v>
      </c>
      <c r="I33" s="113">
        <v>110.07599999999999</v>
      </c>
      <c r="J33" s="179"/>
      <c r="K33" s="179"/>
    </row>
    <row r="34" spans="6:11" ht="17" thickBot="1">
      <c r="F34" s="110" t="s">
        <v>50</v>
      </c>
      <c r="G34" s="111">
        <v>2014</v>
      </c>
      <c r="H34" s="112">
        <v>59.783000000000001</v>
      </c>
      <c r="I34" s="113">
        <v>162.29900000000001</v>
      </c>
      <c r="J34" s="179"/>
      <c r="K34" s="179"/>
    </row>
    <row r="35" spans="6:11" ht="17" thickBot="1">
      <c r="F35" s="110" t="s">
        <v>51</v>
      </c>
      <c r="G35" s="111">
        <v>2007</v>
      </c>
      <c r="H35" s="112">
        <v>111.071</v>
      </c>
      <c r="I35" s="113">
        <v>81.277000000000001</v>
      </c>
      <c r="J35" s="179"/>
      <c r="K35" s="179"/>
    </row>
    <row r="36" spans="6:11" ht="17" thickBot="1">
      <c r="F36" s="110" t="s">
        <v>51</v>
      </c>
      <c r="G36" s="111">
        <v>2008</v>
      </c>
      <c r="H36" s="112">
        <v>656.851</v>
      </c>
      <c r="I36" s="113">
        <v>143.45599999999999</v>
      </c>
      <c r="J36" s="179"/>
      <c r="K36" s="179"/>
    </row>
    <row r="37" spans="6:11" ht="17" thickBot="1">
      <c r="F37" s="110" t="s">
        <v>51</v>
      </c>
      <c r="G37" s="111">
        <v>2009</v>
      </c>
      <c r="H37" s="112">
        <v>0</v>
      </c>
      <c r="I37" s="113">
        <v>99.278999999999996</v>
      </c>
      <c r="J37" s="179"/>
      <c r="K37" s="179"/>
    </row>
    <row r="38" spans="6:11" ht="17" thickBot="1">
      <c r="F38" s="110" t="s">
        <v>51</v>
      </c>
      <c r="G38" s="111">
        <v>2010</v>
      </c>
      <c r="H38" s="112">
        <v>158.65100000000001</v>
      </c>
      <c r="I38" s="113">
        <v>334.351</v>
      </c>
      <c r="J38" s="179"/>
      <c r="K38" s="179"/>
    </row>
    <row r="39" spans="6:11" ht="17" thickBot="1">
      <c r="F39" s="110" t="s">
        <v>51</v>
      </c>
      <c r="G39" s="111">
        <v>2011</v>
      </c>
      <c r="H39" s="112">
        <v>118.93899999999999</v>
      </c>
      <c r="I39" s="113">
        <v>134.87799999999999</v>
      </c>
      <c r="J39" s="179"/>
      <c r="K39" s="179"/>
    </row>
    <row r="40" spans="6:11" ht="17" thickBot="1">
      <c r="F40" s="110" t="s">
        <v>51</v>
      </c>
      <c r="G40" s="111">
        <v>2012</v>
      </c>
      <c r="H40" s="112">
        <v>71.122</v>
      </c>
      <c r="I40" s="113">
        <v>13.972</v>
      </c>
      <c r="J40" s="179"/>
      <c r="K40" s="179"/>
    </row>
    <row r="41" spans="6:11" ht="17" thickBot="1">
      <c r="F41" s="110" t="s">
        <v>51</v>
      </c>
      <c r="G41" s="111">
        <v>2013</v>
      </c>
      <c r="H41" s="112">
        <v>13.195</v>
      </c>
      <c r="I41" s="113">
        <v>50.151000000000003</v>
      </c>
      <c r="J41" s="179"/>
      <c r="K41" s="179"/>
    </row>
    <row r="42" spans="6:11" ht="17" thickBot="1">
      <c r="F42" s="110" t="s">
        <v>51</v>
      </c>
      <c r="G42" s="111">
        <v>2014</v>
      </c>
      <c r="H42" s="112">
        <v>23.257999999999999</v>
      </c>
      <c r="I42" s="113">
        <v>69.227999999999994</v>
      </c>
      <c r="J42" s="179"/>
      <c r="K42" s="179"/>
    </row>
    <row r="43" spans="6:11" ht="17" thickBot="1">
      <c r="F43" s="110" t="s">
        <v>52</v>
      </c>
      <c r="G43" s="111">
        <v>2007</v>
      </c>
      <c r="H43" s="112">
        <v>139.65899999999999</v>
      </c>
      <c r="I43" s="113">
        <v>80.171000000000006</v>
      </c>
      <c r="J43" s="179"/>
      <c r="K43" s="179"/>
    </row>
    <row r="44" spans="6:11" ht="17" thickBot="1">
      <c r="F44" s="110" t="s">
        <v>52</v>
      </c>
      <c r="G44" s="111">
        <v>2008</v>
      </c>
      <c r="H44" s="112">
        <v>24702.517</v>
      </c>
      <c r="I44" s="113">
        <v>302.02600000000001</v>
      </c>
      <c r="J44" s="179"/>
      <c r="K44" s="179"/>
    </row>
    <row r="45" spans="6:11" ht="17" thickBot="1">
      <c r="F45" s="110" t="s">
        <v>52</v>
      </c>
      <c r="G45" s="111">
        <v>2009</v>
      </c>
      <c r="H45" s="112">
        <v>2730.951</v>
      </c>
      <c r="I45" s="113">
        <v>187.00399999999999</v>
      </c>
      <c r="J45" s="179"/>
      <c r="K45" s="179"/>
    </row>
    <row r="46" spans="6:11" ht="17" thickBot="1">
      <c r="F46" s="110" t="s">
        <v>52</v>
      </c>
      <c r="G46" s="111">
        <v>2010</v>
      </c>
      <c r="H46" s="112">
        <v>14472.073</v>
      </c>
      <c r="I46" s="113">
        <v>714.524</v>
      </c>
      <c r="J46" s="179"/>
      <c r="K46" s="179"/>
    </row>
    <row r="47" spans="6:11" ht="17" thickBot="1">
      <c r="F47" s="110" t="s">
        <v>52</v>
      </c>
      <c r="G47" s="111">
        <v>2011</v>
      </c>
      <c r="H47" s="112">
        <v>1242.2080000000001</v>
      </c>
      <c r="I47" s="113">
        <v>262.79199999999997</v>
      </c>
      <c r="J47" s="179"/>
      <c r="K47" s="179"/>
    </row>
    <row r="48" spans="6:11" ht="17" thickBot="1">
      <c r="F48" s="110" t="s">
        <v>52</v>
      </c>
      <c r="G48" s="111">
        <v>2012</v>
      </c>
      <c r="H48" s="112">
        <v>1790.251</v>
      </c>
      <c r="I48" s="113">
        <v>44.872999999999998</v>
      </c>
      <c r="J48" s="179"/>
      <c r="K48" s="179"/>
    </row>
    <row r="49" spans="6:11" ht="17" thickBot="1">
      <c r="F49" s="110" t="s">
        <v>52</v>
      </c>
      <c r="G49" s="111">
        <v>2013</v>
      </c>
      <c r="H49" s="112">
        <v>6951.0039999999999</v>
      </c>
      <c r="I49" s="113">
        <v>233.62100000000001</v>
      </c>
      <c r="J49" s="179"/>
      <c r="K49" s="179"/>
    </row>
    <row r="50" spans="6:11" ht="17" thickBot="1">
      <c r="F50" s="110" t="s">
        <v>52</v>
      </c>
      <c r="G50" s="111">
        <v>2014</v>
      </c>
      <c r="H50" s="112">
        <v>603.42499999999995</v>
      </c>
      <c r="I50" s="113">
        <v>141.89099999999999</v>
      </c>
      <c r="J50" s="179"/>
      <c r="K50" s="179"/>
    </row>
    <row r="51" spans="6:11" ht="17" thickBot="1">
      <c r="F51" s="110" t="s">
        <v>53</v>
      </c>
      <c r="G51" s="111">
        <v>2007</v>
      </c>
      <c r="H51" s="112">
        <v>4.3150000000000004</v>
      </c>
      <c r="I51" s="113">
        <v>9.6920000000000002</v>
      </c>
      <c r="J51" s="179"/>
      <c r="K51" s="179"/>
    </row>
    <row r="52" spans="6:11" ht="17" thickBot="1">
      <c r="F52" s="110" t="s">
        <v>53</v>
      </c>
      <c r="G52" s="111">
        <v>2008</v>
      </c>
      <c r="H52" s="112">
        <v>1015.255</v>
      </c>
      <c r="I52" s="113">
        <v>66.971000000000004</v>
      </c>
      <c r="J52" s="179"/>
      <c r="K52" s="179"/>
    </row>
    <row r="53" spans="6:11" ht="17" thickBot="1">
      <c r="F53" s="110" t="s">
        <v>53</v>
      </c>
      <c r="G53" s="111">
        <v>2009</v>
      </c>
      <c r="H53" s="112">
        <v>52.466999999999999</v>
      </c>
      <c r="I53" s="113">
        <v>36.170999999999999</v>
      </c>
      <c r="J53" s="179"/>
      <c r="K53" s="179"/>
    </row>
    <row r="54" spans="6:11" ht="17" thickBot="1">
      <c r="F54" s="110" t="s">
        <v>53</v>
      </c>
      <c r="G54" s="111">
        <v>2010</v>
      </c>
      <c r="H54" s="112">
        <v>445.61599999999999</v>
      </c>
      <c r="I54" s="113">
        <v>178.28200000000001</v>
      </c>
      <c r="J54" s="179"/>
      <c r="K54" s="179"/>
    </row>
    <row r="55" spans="6:11" ht="17" thickBot="1">
      <c r="F55" s="110" t="s">
        <v>53</v>
      </c>
      <c r="G55" s="111">
        <v>2011</v>
      </c>
      <c r="H55" s="112">
        <v>1142.191</v>
      </c>
      <c r="I55" s="113">
        <v>95.177999999999997</v>
      </c>
      <c r="J55" s="179"/>
      <c r="K55" s="179"/>
    </row>
    <row r="56" spans="6:11" ht="17" thickBot="1">
      <c r="F56" s="110" t="s">
        <v>53</v>
      </c>
      <c r="G56" s="111">
        <v>2012</v>
      </c>
      <c r="H56" s="112">
        <v>7.577</v>
      </c>
      <c r="I56" s="113">
        <v>4.609</v>
      </c>
      <c r="J56" s="179"/>
      <c r="K56" s="179"/>
    </row>
    <row r="57" spans="6:11" ht="17" thickBot="1">
      <c r="F57" s="110" t="s">
        <v>53</v>
      </c>
      <c r="G57" s="111">
        <v>2013</v>
      </c>
      <c r="H57" s="112">
        <v>148.94200000000001</v>
      </c>
      <c r="I57" s="113">
        <v>52.279000000000003</v>
      </c>
      <c r="J57" s="179"/>
      <c r="K57" s="179"/>
    </row>
    <row r="58" spans="6:11" ht="17" thickBot="1">
      <c r="F58" s="110" t="s">
        <v>53</v>
      </c>
      <c r="G58" s="111">
        <v>2014</v>
      </c>
      <c r="H58" s="112">
        <v>1.982</v>
      </c>
      <c r="I58" s="113">
        <v>53.417999999999999</v>
      </c>
      <c r="J58" s="179"/>
      <c r="K58" s="179"/>
    </row>
    <row r="59" spans="6:11" ht="17" thickBot="1">
      <c r="F59" s="110" t="s">
        <v>54</v>
      </c>
      <c r="G59" s="111">
        <v>2007</v>
      </c>
      <c r="H59" s="112">
        <v>9.3819999999999997</v>
      </c>
      <c r="I59" s="113">
        <v>10.065</v>
      </c>
      <c r="J59" s="179"/>
      <c r="K59" s="179"/>
    </row>
    <row r="60" spans="6:11" ht="17" thickBot="1">
      <c r="F60" s="110" t="s">
        <v>54</v>
      </c>
      <c r="G60" s="111">
        <v>2008</v>
      </c>
      <c r="H60" s="112">
        <v>1228.127</v>
      </c>
      <c r="I60" s="113">
        <v>82.706000000000003</v>
      </c>
      <c r="J60" s="179"/>
      <c r="K60" s="179"/>
    </row>
    <row r="61" spans="6:11" ht="17" thickBot="1">
      <c r="F61" s="110" t="s">
        <v>54</v>
      </c>
      <c r="G61" s="111">
        <v>2009</v>
      </c>
      <c r="H61" s="112">
        <v>165.202</v>
      </c>
      <c r="I61" s="113">
        <v>63.737000000000002</v>
      </c>
      <c r="J61" s="179"/>
      <c r="K61" s="179"/>
    </row>
    <row r="62" spans="6:11" ht="17" thickBot="1">
      <c r="F62" s="110" t="s">
        <v>54</v>
      </c>
      <c r="G62" s="111">
        <v>2010</v>
      </c>
      <c r="H62" s="112">
        <v>228.87799999999999</v>
      </c>
      <c r="I62" s="113">
        <v>219.93</v>
      </c>
      <c r="J62" s="179"/>
      <c r="K62" s="179"/>
    </row>
    <row r="63" spans="6:11" ht="17" thickBot="1">
      <c r="F63" s="110" t="s">
        <v>54</v>
      </c>
      <c r="G63" s="111">
        <v>2011</v>
      </c>
      <c r="H63" s="112">
        <v>1143.278</v>
      </c>
      <c r="I63" s="113">
        <v>89.721999999999994</v>
      </c>
      <c r="J63" s="179"/>
      <c r="K63" s="179"/>
    </row>
    <row r="64" spans="6:11" ht="17" thickBot="1">
      <c r="F64" s="110" t="s">
        <v>54</v>
      </c>
      <c r="G64" s="111">
        <v>2012</v>
      </c>
      <c r="H64" s="112">
        <v>51.850999999999999</v>
      </c>
      <c r="I64" s="113">
        <v>6.2519999999999998</v>
      </c>
      <c r="J64" s="179"/>
      <c r="K64" s="179"/>
    </row>
    <row r="65" spans="6:11" ht="17" thickBot="1">
      <c r="F65" s="110" t="s">
        <v>54</v>
      </c>
      <c r="G65" s="111">
        <v>2013</v>
      </c>
      <c r="H65" s="112">
        <v>44.76</v>
      </c>
      <c r="I65" s="113">
        <v>54.473999999999997</v>
      </c>
      <c r="J65" s="179"/>
      <c r="K65" s="179"/>
    </row>
    <row r="66" spans="6:11" ht="17" thickBot="1">
      <c r="F66" s="110" t="s">
        <v>54</v>
      </c>
      <c r="G66" s="111">
        <v>2014</v>
      </c>
      <c r="H66" s="112">
        <v>1.4630000000000001</v>
      </c>
      <c r="I66" s="113">
        <v>34.750999999999998</v>
      </c>
      <c r="J66" s="179"/>
      <c r="K66" s="179"/>
    </row>
    <row r="67" spans="6:11" ht="17" thickBot="1">
      <c r="F67" s="110" t="s">
        <v>55</v>
      </c>
      <c r="G67" s="111">
        <v>2007</v>
      </c>
      <c r="H67" s="112">
        <v>25.588999999999999</v>
      </c>
      <c r="I67" s="113">
        <v>32.213000000000001</v>
      </c>
      <c r="J67" s="179"/>
      <c r="K67" s="179"/>
    </row>
    <row r="68" spans="6:11" ht="17" thickBot="1">
      <c r="F68" s="110" t="s">
        <v>55</v>
      </c>
      <c r="G68" s="111">
        <v>2008</v>
      </c>
      <c r="H68" s="112">
        <v>38920.966999999997</v>
      </c>
      <c r="I68" s="113">
        <v>206.38900000000001</v>
      </c>
      <c r="J68" s="179"/>
      <c r="K68" s="179"/>
    </row>
    <row r="69" spans="6:11" ht="17" thickBot="1">
      <c r="F69" s="110" t="s">
        <v>55</v>
      </c>
      <c r="G69" s="111">
        <v>2009</v>
      </c>
      <c r="H69" s="112">
        <v>5764.3630000000003</v>
      </c>
      <c r="I69" s="113">
        <v>148.00700000000001</v>
      </c>
      <c r="J69" s="179"/>
      <c r="K69" s="179"/>
    </row>
    <row r="70" spans="6:11" ht="17" thickBot="1">
      <c r="F70" s="110" t="s">
        <v>55</v>
      </c>
      <c r="G70" s="111">
        <v>2010</v>
      </c>
      <c r="H70" s="112">
        <v>7894.9309999999996</v>
      </c>
      <c r="I70" s="113">
        <v>410.64100000000002</v>
      </c>
      <c r="J70" s="179"/>
      <c r="K70" s="179"/>
    </row>
    <row r="71" spans="6:11" ht="17" thickBot="1">
      <c r="F71" s="110" t="s">
        <v>55</v>
      </c>
      <c r="G71" s="111">
        <v>2011</v>
      </c>
      <c r="H71" s="112">
        <v>861.38400000000001</v>
      </c>
      <c r="I71" s="113">
        <v>161.405</v>
      </c>
      <c r="J71" s="179"/>
      <c r="K71" s="179"/>
    </row>
    <row r="72" spans="6:11" ht="17" thickBot="1">
      <c r="F72" s="110" t="s">
        <v>55</v>
      </c>
      <c r="G72" s="111">
        <v>2012</v>
      </c>
      <c r="H72" s="112">
        <v>1626.992</v>
      </c>
      <c r="I72" s="113">
        <v>41.54</v>
      </c>
      <c r="J72" s="179"/>
      <c r="K72" s="179"/>
    </row>
    <row r="73" spans="6:11" ht="17" thickBot="1">
      <c r="F73" s="110" t="s">
        <v>55</v>
      </c>
      <c r="G73" s="111">
        <v>2013</v>
      </c>
      <c r="H73" s="112">
        <v>2676.0659999999998</v>
      </c>
      <c r="I73" s="113">
        <v>129.655</v>
      </c>
      <c r="J73" s="179"/>
      <c r="K73" s="179"/>
    </row>
    <row r="74" spans="6:11" ht="17" thickBot="1">
      <c r="F74" s="110" t="s">
        <v>55</v>
      </c>
      <c r="G74" s="111">
        <v>2014</v>
      </c>
      <c r="H74" s="112">
        <v>581.74300000000005</v>
      </c>
      <c r="I74" s="113">
        <v>152.535</v>
      </c>
      <c r="J74" s="179"/>
      <c r="K74" s="179"/>
    </row>
    <row r="75" spans="6:11" ht="17" thickBot="1">
      <c r="F75" s="110" t="s">
        <v>56</v>
      </c>
      <c r="G75" s="111">
        <v>2007</v>
      </c>
      <c r="H75" s="112">
        <v>0</v>
      </c>
      <c r="I75" s="113">
        <v>1.3320000000000001</v>
      </c>
      <c r="J75" s="179"/>
      <c r="K75" s="179"/>
    </row>
    <row r="76" spans="6:11" ht="17" thickBot="1">
      <c r="F76" s="110" t="s">
        <v>56</v>
      </c>
      <c r="G76" s="111">
        <v>2008</v>
      </c>
      <c r="H76" s="112">
        <v>735.59699999999998</v>
      </c>
      <c r="I76" s="113">
        <v>78.08</v>
      </c>
      <c r="J76" s="179"/>
      <c r="K76" s="179"/>
    </row>
    <row r="77" spans="6:11" ht="17" thickBot="1">
      <c r="F77" s="110" t="s">
        <v>56</v>
      </c>
      <c r="G77" s="111">
        <v>2009</v>
      </c>
      <c r="H77" s="112">
        <v>27.45</v>
      </c>
      <c r="I77" s="113">
        <v>23.009</v>
      </c>
      <c r="J77" s="179"/>
      <c r="K77" s="179"/>
    </row>
    <row r="78" spans="6:11" ht="17" thickBot="1">
      <c r="F78" s="110" t="s">
        <v>56</v>
      </c>
      <c r="G78" s="111">
        <v>2010</v>
      </c>
      <c r="H78" s="112">
        <v>0</v>
      </c>
      <c r="I78" s="113">
        <v>75.888000000000005</v>
      </c>
      <c r="J78" s="179"/>
      <c r="K78" s="179"/>
    </row>
    <row r="79" spans="6:11" ht="17" thickBot="1">
      <c r="F79" s="110" t="s">
        <v>56</v>
      </c>
      <c r="G79" s="111">
        <v>2011</v>
      </c>
      <c r="H79" s="112">
        <v>252.05099999999999</v>
      </c>
      <c r="I79" s="113">
        <v>77.569999999999993</v>
      </c>
      <c r="J79" s="179"/>
      <c r="K79" s="179"/>
    </row>
    <row r="80" spans="6:11" ht="17" thickBot="1">
      <c r="F80" s="110" t="s">
        <v>56</v>
      </c>
      <c r="G80" s="111">
        <v>2012</v>
      </c>
      <c r="H80" s="112">
        <v>35.738</v>
      </c>
      <c r="I80" s="113">
        <v>6.2130000000000001</v>
      </c>
      <c r="J80" s="179"/>
      <c r="K80" s="179"/>
    </row>
    <row r="81" spans="6:11" ht="17" thickBot="1">
      <c r="F81" s="110" t="s">
        <v>56</v>
      </c>
      <c r="G81" s="111">
        <v>2013</v>
      </c>
      <c r="H81" s="112">
        <v>138.15899999999999</v>
      </c>
      <c r="I81" s="113">
        <v>78</v>
      </c>
      <c r="J81" s="179"/>
      <c r="K81" s="179"/>
    </row>
    <row r="82" spans="6:11" ht="17" thickBot="1">
      <c r="F82" s="110" t="s">
        <v>56</v>
      </c>
      <c r="G82" s="111">
        <v>2014</v>
      </c>
      <c r="H82" s="112">
        <v>25.96</v>
      </c>
      <c r="I82" s="113">
        <v>72.918999999999997</v>
      </c>
      <c r="J82" s="179"/>
      <c r="K82" s="179"/>
    </row>
    <row r="83" spans="6:11" ht="17" thickBot="1">
      <c r="F83" s="110" t="s">
        <v>57</v>
      </c>
      <c r="G83" s="111">
        <v>2007</v>
      </c>
      <c r="H83" s="112">
        <v>0</v>
      </c>
      <c r="I83" s="113">
        <v>11.007</v>
      </c>
      <c r="J83" s="179"/>
      <c r="K83" s="179"/>
    </row>
    <row r="84" spans="6:11" ht="17" thickBot="1">
      <c r="F84" s="110" t="s">
        <v>57</v>
      </c>
      <c r="G84" s="111">
        <v>2008</v>
      </c>
      <c r="H84" s="112">
        <v>713.71299999999997</v>
      </c>
      <c r="I84" s="113">
        <v>66.7</v>
      </c>
      <c r="J84" s="179"/>
      <c r="K84" s="179"/>
    </row>
    <row r="85" spans="6:11" ht="17" thickBot="1">
      <c r="F85" s="110" t="s">
        <v>57</v>
      </c>
      <c r="G85" s="111">
        <v>2009</v>
      </c>
      <c r="H85" s="112">
        <v>57.207000000000001</v>
      </c>
      <c r="I85" s="113">
        <v>19.405999999999999</v>
      </c>
      <c r="J85" s="179"/>
      <c r="K85" s="179"/>
    </row>
    <row r="86" spans="6:11" ht="17" thickBot="1">
      <c r="F86" s="110" t="s">
        <v>57</v>
      </c>
      <c r="G86" s="111">
        <v>2010</v>
      </c>
      <c r="H86" s="112">
        <v>212.14400000000001</v>
      </c>
      <c r="I86" s="113">
        <v>198.36</v>
      </c>
      <c r="J86" s="179"/>
      <c r="K86" s="179"/>
    </row>
    <row r="87" spans="6:11" ht="17" thickBot="1">
      <c r="F87" s="110" t="s">
        <v>57</v>
      </c>
      <c r="G87" s="111">
        <v>2011</v>
      </c>
      <c r="H87" s="112">
        <v>314.64600000000002</v>
      </c>
      <c r="I87" s="113">
        <v>85.292000000000002</v>
      </c>
      <c r="J87" s="179"/>
      <c r="K87" s="179"/>
    </row>
    <row r="88" spans="6:11" ht="17" thickBot="1">
      <c r="F88" s="110" t="s">
        <v>57</v>
      </c>
      <c r="G88" s="111">
        <v>2012</v>
      </c>
      <c r="H88" s="112">
        <v>0.36199999999999999</v>
      </c>
      <c r="I88" s="113">
        <v>1.512</v>
      </c>
      <c r="J88" s="179"/>
      <c r="K88" s="179"/>
    </row>
    <row r="89" spans="6:11" ht="17" thickBot="1">
      <c r="F89" s="110" t="s">
        <v>57</v>
      </c>
      <c r="G89" s="111">
        <v>2013</v>
      </c>
      <c r="H89" s="112">
        <v>89.694999999999993</v>
      </c>
      <c r="I89" s="113">
        <v>48.116</v>
      </c>
      <c r="J89" s="179"/>
      <c r="K89" s="179"/>
    </row>
    <row r="90" spans="6:11" ht="17" thickBot="1">
      <c r="F90" s="110" t="s">
        <v>57</v>
      </c>
      <c r="G90" s="111">
        <v>2014</v>
      </c>
      <c r="H90" s="112">
        <v>1.758</v>
      </c>
      <c r="I90" s="113">
        <v>25.609000000000002</v>
      </c>
      <c r="J90" s="179"/>
      <c r="K90" s="179"/>
    </row>
    <row r="91" spans="6:11" ht="17" thickBot="1">
      <c r="F91" s="110" t="s">
        <v>58</v>
      </c>
      <c r="G91" s="111">
        <v>2007</v>
      </c>
      <c r="H91" s="112">
        <v>0</v>
      </c>
      <c r="I91" s="113">
        <v>5</v>
      </c>
      <c r="J91" s="179"/>
      <c r="K91" s="179"/>
    </row>
    <row r="92" spans="6:11" ht="17" thickBot="1">
      <c r="F92" s="110" t="s">
        <v>58</v>
      </c>
      <c r="G92" s="111">
        <v>2008</v>
      </c>
      <c r="H92" s="112">
        <v>8156.098</v>
      </c>
      <c r="I92" s="113">
        <v>71.12</v>
      </c>
      <c r="J92" s="179"/>
      <c r="K92" s="179"/>
    </row>
    <row r="93" spans="6:11" ht="17" thickBot="1">
      <c r="F93" s="110" t="s">
        <v>58</v>
      </c>
      <c r="G93" s="111">
        <v>2009</v>
      </c>
      <c r="H93" s="112">
        <v>347.16699999999997</v>
      </c>
      <c r="I93" s="113">
        <v>51.988999999999997</v>
      </c>
      <c r="J93" s="179"/>
      <c r="K93" s="179"/>
    </row>
    <row r="94" spans="6:11" ht="17" thickBot="1">
      <c r="F94" s="110" t="s">
        <v>58</v>
      </c>
      <c r="G94" s="111">
        <v>2010</v>
      </c>
      <c r="H94" s="112">
        <v>5470.8620000000001</v>
      </c>
      <c r="I94" s="113">
        <v>308.29599999999999</v>
      </c>
      <c r="J94" s="179"/>
      <c r="K94" s="179"/>
    </row>
    <row r="95" spans="6:11" ht="17" thickBot="1">
      <c r="F95" s="110" t="s">
        <v>58</v>
      </c>
      <c r="G95" s="111">
        <v>2011</v>
      </c>
      <c r="H95" s="112">
        <v>1868.9739999999999</v>
      </c>
      <c r="I95" s="113">
        <v>101.76900000000001</v>
      </c>
      <c r="J95" s="179"/>
      <c r="K95" s="179"/>
    </row>
    <row r="96" spans="6:11" ht="17" thickBot="1">
      <c r="F96" s="110" t="s">
        <v>58</v>
      </c>
      <c r="G96" s="111">
        <v>2012</v>
      </c>
      <c r="H96" s="112">
        <v>117.883</v>
      </c>
      <c r="I96" s="113">
        <v>4.0090000000000003</v>
      </c>
      <c r="J96" s="179"/>
      <c r="K96" s="179"/>
    </row>
    <row r="97" spans="6:11" ht="17" thickBot="1">
      <c r="F97" s="110" t="s">
        <v>58</v>
      </c>
      <c r="G97" s="111">
        <v>2013</v>
      </c>
      <c r="H97" s="112">
        <v>1698.8230000000001</v>
      </c>
      <c r="I97" s="113">
        <v>238.70599999999999</v>
      </c>
      <c r="J97" s="179"/>
      <c r="K97" s="179"/>
    </row>
    <row r="98" spans="6:11" ht="17" thickBot="1">
      <c r="F98" s="110" t="s">
        <v>58</v>
      </c>
      <c r="G98" s="111">
        <v>2014</v>
      </c>
      <c r="H98" s="112">
        <v>39.927</v>
      </c>
      <c r="I98" s="113">
        <v>33.627000000000002</v>
      </c>
      <c r="J98" s="179"/>
      <c r="K98" s="179"/>
    </row>
  </sheetData>
  <mergeCells count="19">
    <mergeCell ref="Z10:AD10"/>
    <mergeCell ref="AC2:AC3"/>
    <mergeCell ref="AD2:AD3"/>
    <mergeCell ref="AC11:AC12"/>
    <mergeCell ref="AD11:AD12"/>
    <mergeCell ref="AL1:AM1"/>
    <mergeCell ref="AO1:AR1"/>
    <mergeCell ref="AT1:AZ1"/>
    <mergeCell ref="AF1:AJ1"/>
    <mergeCell ref="AF2:AF3"/>
    <mergeCell ref="AG2:AG3"/>
    <mergeCell ref="AH2:AH3"/>
    <mergeCell ref="AI2:AI3"/>
    <mergeCell ref="C6:D6"/>
    <mergeCell ref="K1:O1"/>
    <mergeCell ref="U1:W1"/>
    <mergeCell ref="Q1:S1"/>
    <mergeCell ref="F1:I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2BA1-D5ED-4A44-8CC9-4F901297F96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64EA-9E01-F240-90B9-6275C70CD0BD}">
  <dimension ref="A1:N53"/>
  <sheetViews>
    <sheetView workbookViewId="0">
      <selection activeCell="J16" sqref="J16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104</v>
      </c>
      <c r="B2" s="16" t="s">
        <v>107</v>
      </c>
      <c r="C2" t="s">
        <v>30</v>
      </c>
      <c r="D2" s="18" t="s">
        <v>106</v>
      </c>
      <c r="E2">
        <v>136</v>
      </c>
      <c r="F2">
        <v>4.4000000000000004</v>
      </c>
      <c r="G2" s="18">
        <v>16</v>
      </c>
      <c r="H2" s="16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  <c r="M3" t="s">
        <v>261</v>
      </c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34">
        <v>101.23</v>
      </c>
      <c r="D5" s="34">
        <v>0.372</v>
      </c>
      <c r="E5" s="34">
        <v>0.38700000000000001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86.73</v>
      </c>
      <c r="D6" s="35">
        <v>0.38600000000000001</v>
      </c>
      <c r="E6" s="35">
        <v>0.30499999999999999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36">
        <v>89.3</v>
      </c>
      <c r="D7" s="36">
        <v>0.34399999999999997</v>
      </c>
      <c r="E7" s="36">
        <v>0.34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87.45</v>
      </c>
      <c r="D8" s="4">
        <v>0.48399999999999999</v>
      </c>
      <c r="E8" s="4">
        <v>0.4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63.31</v>
      </c>
      <c r="D9" s="3">
        <v>0.70499999999999996</v>
      </c>
      <c r="E9" s="3">
        <v>0.26400000000000001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109.6</v>
      </c>
      <c r="D10" s="2">
        <v>1.2410000000000001</v>
      </c>
      <c r="E10" s="2">
        <v>12.411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111.08</v>
      </c>
      <c r="D11" s="3">
        <v>0.48599999999999999</v>
      </c>
      <c r="E11" s="3">
        <v>0.33600000000000002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114.03</v>
      </c>
      <c r="D12" s="1">
        <v>0.39</v>
      </c>
      <c r="E12" s="1">
        <v>0.26700000000000002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127.79</v>
      </c>
      <c r="D13" s="19">
        <v>0.76700000000000002</v>
      </c>
      <c r="E13" s="19">
        <v>7.673</v>
      </c>
      <c r="F13" s="22">
        <v>160.29824898625</v>
      </c>
      <c r="G13" s="22">
        <v>7.2940045798015261</v>
      </c>
      <c r="J13" s="21"/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77.349999999999994</v>
      </c>
      <c r="D14" s="1">
        <v>0.65600000000000003</v>
      </c>
      <c r="E14" s="1">
        <v>0.2</v>
      </c>
      <c r="F14" s="8">
        <v>51.626432230124998</v>
      </c>
      <c r="G14" s="8">
        <v>0.151869347509442</v>
      </c>
      <c r="J14" s="21"/>
      <c r="M14">
        <f>0.1*10^0</f>
        <v>0.1</v>
      </c>
    </row>
    <row r="15" spans="1:13">
      <c r="A15" s="4" t="s">
        <v>11</v>
      </c>
      <c r="B15" s="4" t="s">
        <v>20</v>
      </c>
      <c r="C15" s="4">
        <v>93.21</v>
      </c>
      <c r="D15" s="4">
        <v>0.23400000000000001</v>
      </c>
      <c r="E15" s="4">
        <v>0.23599999999999999</v>
      </c>
      <c r="F15" s="7">
        <v>57.000212849374996</v>
      </c>
      <c r="G15" s="7">
        <v>0.17369061796032984</v>
      </c>
      <c r="J15" s="18"/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135.16</v>
      </c>
      <c r="D16" s="2">
        <v>1.4379999999999999</v>
      </c>
      <c r="E16" s="2">
        <v>14.378</v>
      </c>
      <c r="F16" s="10">
        <v>101.81445999924999</v>
      </c>
      <c r="G16" s="10">
        <v>2.2124667115343959</v>
      </c>
      <c r="J16" s="18"/>
      <c r="M16">
        <f>0.1*10^0.2</f>
        <v>0.15848931924611137</v>
      </c>
    </row>
    <row r="17" spans="1:14">
      <c r="M17">
        <f>0.1*10^0.3</f>
        <v>0.19952623149688797</v>
      </c>
    </row>
    <row r="18" spans="1:14">
      <c r="M18">
        <f>0.1*10^0.4</f>
        <v>0.25118864315095807</v>
      </c>
    </row>
    <row r="19" spans="1:14">
      <c r="C19" s="9">
        <f>AVERAGE(C6,C9)</f>
        <v>75.02000000000001</v>
      </c>
      <c r="E19" s="9">
        <f>AVERAGE(E6,E9)</f>
        <v>0.28449999999999998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124.18333333333332</v>
      </c>
      <c r="D20">
        <f>1-(C21+C24+C22)/(3*C20)</f>
        <v>0.2630161499575</v>
      </c>
      <c r="E20" s="10">
        <f>AVERAGE(E10,E13,E16)</f>
        <v>11.487333333333334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89.986666666666665</v>
      </c>
      <c r="E21" s="7">
        <f>AVERAGE(E7,E8,E15)</f>
        <v>0.32533333333333331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97.536666666666676</v>
      </c>
      <c r="E22" s="8">
        <f>AVERAGE(E5,E12,E14)</f>
        <v>0.28466666666666668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87.04</v>
      </c>
      <c r="E24" s="9">
        <f>AVERAGE(E6,E9,E11)</f>
        <v>0.30166666666666669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124.18333333333332</v>
      </c>
      <c r="E28" s="12">
        <f>AVERAGE(D10,D13,D16)</f>
        <v>1.1486666666666665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97.536666666666676</v>
      </c>
      <c r="E29" s="15">
        <f>AVERAGE(D5,D12,D14)</f>
        <v>0.47266666666666673</v>
      </c>
      <c r="F29">
        <f>(SUM(E29/0.9 + E30/0.9+E31/0.8)/3)/(E28)</f>
        <v>0.4503073880613056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87.04</v>
      </c>
      <c r="E30" s="13">
        <f>AVERAGE(D6,D9,D11)</f>
        <v>0.52566666666666662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89.986666666666665</v>
      </c>
      <c r="E31" s="14">
        <f>AVERAGE(D7,D8,D15)</f>
        <v>0.35400000000000004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0F56-D227-A345-B5D0-63D87923F383}">
  <dimension ref="A1:N53"/>
  <sheetViews>
    <sheetView workbookViewId="0">
      <selection activeCell="A3" sqref="A3"/>
    </sheetView>
  </sheetViews>
  <sheetFormatPr baseColWidth="10" defaultRowHeight="16"/>
  <cols>
    <col min="1" max="1" width="12.33203125" customWidth="1"/>
    <col min="2" max="2" width="30.6640625" customWidth="1"/>
    <col min="3" max="3" width="21" customWidth="1"/>
    <col min="4" max="4" width="16.6640625" customWidth="1"/>
    <col min="5" max="5" width="22.5" customWidth="1"/>
    <col min="6" max="6" width="24.5" customWidth="1"/>
    <col min="7" max="7" width="22.1640625" customWidth="1"/>
    <col min="8" max="8" width="12.33203125" customWidth="1"/>
    <col min="9" max="9" width="12.1640625" bestFit="1" customWidth="1"/>
    <col min="10" max="10" width="38" bestFit="1" customWidth="1"/>
    <col min="11" max="12" width="27.1640625" customWidth="1"/>
    <col min="13" max="13" width="27.1640625" bestFit="1" customWidth="1"/>
  </cols>
  <sheetData>
    <row r="1" spans="1:13" s="17" customFormat="1">
      <c r="A1" s="17" t="s">
        <v>28</v>
      </c>
      <c r="B1" s="17" t="s">
        <v>31</v>
      </c>
      <c r="C1" s="17" t="s">
        <v>32</v>
      </c>
      <c r="D1" s="17" t="s">
        <v>105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66</v>
      </c>
    </row>
    <row r="2" spans="1:13">
      <c r="A2" t="s">
        <v>301</v>
      </c>
      <c r="B2" s="16" t="s">
        <v>39</v>
      </c>
      <c r="C2" t="s">
        <v>30</v>
      </c>
      <c r="D2" s="18" t="s">
        <v>106</v>
      </c>
      <c r="E2">
        <v>136</v>
      </c>
      <c r="F2">
        <v>4.4000000000000004</v>
      </c>
      <c r="G2" s="18">
        <v>16</v>
      </c>
      <c r="H2" s="16" t="s">
        <v>98</v>
      </c>
      <c r="I2" t="s">
        <v>38</v>
      </c>
      <c r="J2" s="18" t="s">
        <v>67</v>
      </c>
    </row>
    <row r="3" spans="1:13">
      <c r="A3" t="s">
        <v>101</v>
      </c>
      <c r="C3" s="183" t="s">
        <v>40</v>
      </c>
      <c r="D3" s="183"/>
      <c r="E3" s="183"/>
      <c r="F3" s="183" t="s">
        <v>41</v>
      </c>
      <c r="G3" s="183"/>
      <c r="H3" s="23"/>
    </row>
    <row r="4" spans="1:13">
      <c r="A4" t="s">
        <v>0</v>
      </c>
      <c r="B4" t="s">
        <v>13</v>
      </c>
      <c r="C4" t="s">
        <v>69</v>
      </c>
      <c r="D4" t="s">
        <v>70</v>
      </c>
      <c r="E4" t="s">
        <v>71</v>
      </c>
      <c r="F4" t="s">
        <v>97</v>
      </c>
      <c r="G4" t="s">
        <v>102</v>
      </c>
      <c r="H4" t="s">
        <v>42</v>
      </c>
      <c r="M4">
        <f>0.1*10^-1</f>
        <v>1.0000000000000002E-2</v>
      </c>
    </row>
    <row r="5" spans="1:13">
      <c r="A5" s="1" t="s">
        <v>1</v>
      </c>
      <c r="B5" s="1" t="s">
        <v>14</v>
      </c>
      <c r="C5" s="1">
        <v>100.55</v>
      </c>
      <c r="D5" s="1">
        <v>0.216</v>
      </c>
      <c r="E5" s="1">
        <v>0.33900000000000002</v>
      </c>
      <c r="F5" s="8">
        <v>76.649769161250006</v>
      </c>
      <c r="G5" s="8">
        <v>9.2898392978419314E-2</v>
      </c>
      <c r="M5">
        <f>0.1*10^-0.9</f>
        <v>1.2589254117941668E-2</v>
      </c>
    </row>
    <row r="6" spans="1:13">
      <c r="A6" s="3" t="s">
        <v>2</v>
      </c>
      <c r="B6" s="3" t="s">
        <v>15</v>
      </c>
      <c r="C6" s="35">
        <v>87.14</v>
      </c>
      <c r="D6" s="35">
        <v>0.35199999999999998</v>
      </c>
      <c r="E6" s="35">
        <v>0.308</v>
      </c>
      <c r="F6" s="9">
        <v>147.26353546175002</v>
      </c>
      <c r="G6" s="9">
        <v>0.25649755755083625</v>
      </c>
      <c r="M6">
        <f>0.1*10^-0.8</f>
        <v>1.5848931924611131E-2</v>
      </c>
    </row>
    <row r="7" spans="1:13">
      <c r="A7" s="4" t="s">
        <v>3</v>
      </c>
      <c r="B7" s="4" t="s">
        <v>16</v>
      </c>
      <c r="C7" s="4">
        <v>91.43</v>
      </c>
      <c r="D7" s="4">
        <v>0.314</v>
      </c>
      <c r="E7" s="4">
        <v>0.35599999999999998</v>
      </c>
      <c r="F7" s="7">
        <v>93.301888823749991</v>
      </c>
      <c r="G7" s="7">
        <v>0.10404161540713928</v>
      </c>
      <c r="M7">
        <f>0.1*10^-0.7</f>
        <v>1.9952623149688795E-2</v>
      </c>
    </row>
    <row r="8" spans="1:13">
      <c r="A8" s="4" t="s">
        <v>4</v>
      </c>
      <c r="B8" s="4" t="s">
        <v>16</v>
      </c>
      <c r="C8" s="4">
        <v>87.84</v>
      </c>
      <c r="D8" s="4">
        <v>0.628</v>
      </c>
      <c r="E8" s="4">
        <v>0.377</v>
      </c>
      <c r="F8" s="7">
        <v>193.95679718874999</v>
      </c>
      <c r="G8" s="7">
        <v>0.62094383060876523</v>
      </c>
      <c r="J8" s="16"/>
      <c r="M8">
        <f>0.1*10^-0.6</f>
        <v>2.5118864315095801E-2</v>
      </c>
    </row>
    <row r="9" spans="1:13">
      <c r="A9" s="3" t="s">
        <v>5</v>
      </c>
      <c r="B9" s="3" t="s">
        <v>15</v>
      </c>
      <c r="C9" s="3">
        <v>62.2</v>
      </c>
      <c r="D9" s="3">
        <v>0.65100000000000002</v>
      </c>
      <c r="E9" s="3">
        <v>0.21199999999999999</v>
      </c>
      <c r="F9" s="9">
        <v>115.82392241375</v>
      </c>
      <c r="G9" s="9">
        <v>0.144135624111697</v>
      </c>
      <c r="J9" s="16"/>
      <c r="M9">
        <f>0.1*10^-0.5</f>
        <v>3.1622776601683798E-2</v>
      </c>
    </row>
    <row r="10" spans="1:13">
      <c r="A10" s="2" t="s">
        <v>6</v>
      </c>
      <c r="B10" s="2" t="s">
        <v>17</v>
      </c>
      <c r="C10" s="2">
        <v>109.59</v>
      </c>
      <c r="D10" s="2">
        <v>1.0169999999999999</v>
      </c>
      <c r="E10" s="2">
        <v>10.166</v>
      </c>
      <c r="F10" s="10">
        <v>245.86282503625</v>
      </c>
      <c r="G10" s="10">
        <v>6.57901099629016</v>
      </c>
      <c r="J10" s="16"/>
      <c r="M10">
        <f>0.1*10^-0.4</f>
        <v>3.981071705534972E-2</v>
      </c>
    </row>
    <row r="11" spans="1:13">
      <c r="A11" s="3" t="s">
        <v>7</v>
      </c>
      <c r="B11" s="3" t="s">
        <v>18</v>
      </c>
      <c r="C11" s="3">
        <v>110.8</v>
      </c>
      <c r="D11" s="3">
        <v>0.56200000000000006</v>
      </c>
      <c r="E11" s="3">
        <v>0.32500000000000001</v>
      </c>
      <c r="F11" s="9">
        <v>62.075048986249996</v>
      </c>
      <c r="G11" s="9">
        <v>0.35229312686007963</v>
      </c>
      <c r="J11" s="16"/>
      <c r="M11">
        <f>0.1*10^-0.3</f>
        <v>5.0118723362727227E-2</v>
      </c>
    </row>
    <row r="12" spans="1:13">
      <c r="A12" s="1" t="s">
        <v>8</v>
      </c>
      <c r="B12" s="1" t="s">
        <v>14</v>
      </c>
      <c r="C12" s="1">
        <v>113.06</v>
      </c>
      <c r="D12" s="1">
        <v>0.22700000000000001</v>
      </c>
      <c r="E12" s="1">
        <v>0.307</v>
      </c>
      <c r="F12" s="8">
        <v>70.204591839374999</v>
      </c>
      <c r="G12" s="8">
        <v>0.3591173369996179</v>
      </c>
      <c r="H12" t="s">
        <v>91</v>
      </c>
      <c r="M12">
        <f>0.1*10^-0.2</f>
        <v>6.3095734448019331E-2</v>
      </c>
    </row>
    <row r="13" spans="1:13">
      <c r="A13" s="2" t="s">
        <v>9</v>
      </c>
      <c r="B13" s="2" t="s">
        <v>17</v>
      </c>
      <c r="C13" s="19">
        <v>126.64</v>
      </c>
      <c r="D13" s="19">
        <v>0.69899999999999995</v>
      </c>
      <c r="E13" s="19">
        <v>6.9909999999999997</v>
      </c>
      <c r="F13" s="22">
        <v>160.29824898625</v>
      </c>
      <c r="G13" s="22">
        <v>7.2940045798015261</v>
      </c>
      <c r="J13" s="21" t="s">
        <v>62</v>
      </c>
      <c r="M13">
        <f>0.1*10^-0.1</f>
        <v>7.9432823472428152E-2</v>
      </c>
    </row>
    <row r="14" spans="1:13">
      <c r="A14" s="1" t="s">
        <v>10</v>
      </c>
      <c r="B14" s="1" t="s">
        <v>19</v>
      </c>
      <c r="C14" s="1">
        <v>77.34</v>
      </c>
      <c r="D14" s="1">
        <v>0.39800000000000002</v>
      </c>
      <c r="E14" s="1">
        <v>0.14099999999999999</v>
      </c>
      <c r="F14" s="8">
        <v>51.626432230124998</v>
      </c>
      <c r="G14" s="8">
        <v>0.151869347509442</v>
      </c>
      <c r="J14" s="21" t="s">
        <v>63</v>
      </c>
      <c r="M14">
        <f>0.1*10^0</f>
        <v>0.1</v>
      </c>
    </row>
    <row r="15" spans="1:13">
      <c r="A15" s="4" t="s">
        <v>11</v>
      </c>
      <c r="B15" s="4" t="s">
        <v>20</v>
      </c>
      <c r="C15" s="4">
        <v>92.87</v>
      </c>
      <c r="D15" s="4">
        <v>0.126</v>
      </c>
      <c r="E15" s="4">
        <v>0.20300000000000001</v>
      </c>
      <c r="F15" s="7">
        <v>57.000212849374996</v>
      </c>
      <c r="G15" s="7">
        <v>0.17369061796032984</v>
      </c>
      <c r="J15" s="18" t="s">
        <v>64</v>
      </c>
      <c r="M15">
        <f>0.1*10^0.1</f>
        <v>0.12589254117941673</v>
      </c>
    </row>
    <row r="16" spans="1:13">
      <c r="A16" s="2" t="s">
        <v>12</v>
      </c>
      <c r="B16" s="2" t="s">
        <v>17</v>
      </c>
      <c r="C16" s="2">
        <v>132.32</v>
      </c>
      <c r="D16" s="2">
        <v>1.7689999999999999</v>
      </c>
      <c r="E16" s="2">
        <v>17.686</v>
      </c>
      <c r="F16" s="10">
        <v>101.81445999924999</v>
      </c>
      <c r="G16" s="10">
        <v>2.2124667115343959</v>
      </c>
      <c r="J16" s="18" t="s">
        <v>65</v>
      </c>
      <c r="M16">
        <f>0.1*10^0.2</f>
        <v>0.15848931924611137</v>
      </c>
    </row>
    <row r="17" spans="1:14">
      <c r="M17">
        <f>0.1*10^0.3</f>
        <v>0.19952623149688797</v>
      </c>
    </row>
    <row r="18" spans="1:14">
      <c r="C18" t="s">
        <v>262</v>
      </c>
      <c r="M18">
        <f>0.1*10^0.4</f>
        <v>0.25118864315095807</v>
      </c>
    </row>
    <row r="19" spans="1:14">
      <c r="C19" s="9">
        <f>AVERAGE(C6,C9)</f>
        <v>74.67</v>
      </c>
      <c r="E19" s="9">
        <f>AVERAGE(E6,E9)</f>
        <v>0.26</v>
      </c>
      <c r="F19" s="9">
        <f>AVERAGE(F6,F9)</f>
        <v>131.54372893775002</v>
      </c>
      <c r="M19">
        <f>0.1*10^0.5</f>
        <v>0.316227766016838</v>
      </c>
    </row>
    <row r="20" spans="1:14">
      <c r="C20" s="10">
        <f>AVERAGE(C10,C13,C16)</f>
        <v>122.85000000000001</v>
      </c>
      <c r="D20">
        <f>1-(C21+C24+C22)/(3*C20)</f>
        <v>0.25543345543345553</v>
      </c>
      <c r="E20" s="10">
        <f>AVERAGE(E10,E13,E16)</f>
        <v>11.614333333333335</v>
      </c>
      <c r="F20" s="10">
        <f>AVERAGE(F10,F13,F16)</f>
        <v>169.32517800725</v>
      </c>
      <c r="H20">
        <f>1-(F21+F24+F22)/(3*F20)</f>
        <v>0.43048293941573046</v>
      </c>
      <c r="M20">
        <f>0.1*10^0.6</f>
        <v>0.39810717055349731</v>
      </c>
    </row>
    <row r="21" spans="1:14">
      <c r="C21" s="7">
        <f>AVERAGE(C7,C8,C15)</f>
        <v>90.713333333333324</v>
      </c>
      <c r="E21" s="7">
        <f>AVERAGE(E7,E8,E15)</f>
        <v>0.312</v>
      </c>
      <c r="F21" s="7">
        <f>AVERAGE(F7,F8,F15)</f>
        <v>114.75296628729166</v>
      </c>
      <c r="M21">
        <f>0.1*10^0.7</f>
        <v>0.50118723362727235</v>
      </c>
    </row>
    <row r="22" spans="1:14">
      <c r="C22" s="8">
        <f>AVERAGE(C5,C12,C14)</f>
        <v>96.983333333333348</v>
      </c>
      <c r="E22" s="8">
        <f>AVERAGE(E5,E12,E14)</f>
        <v>0.26233333333333336</v>
      </c>
      <c r="F22" s="8">
        <f>AVERAGE(F5,F12,F14)</f>
        <v>66.160264410250008</v>
      </c>
      <c r="M22">
        <f>0.1*10^0.8</f>
        <v>0.63095734448019347</v>
      </c>
    </row>
    <row r="23" spans="1:14">
      <c r="E23" t="s">
        <v>72</v>
      </c>
      <c r="M23">
        <f>0.1*10^0.9</f>
        <v>0.79432823472428182</v>
      </c>
    </row>
    <row r="24" spans="1:14">
      <c r="A24" t="s">
        <v>26</v>
      </c>
      <c r="C24" s="9">
        <f>AVERAGE(C6,C9,C11)</f>
        <v>86.713333333333324</v>
      </c>
      <c r="E24" s="9">
        <f>AVERAGE(E6,E9,E11)</f>
        <v>0.28166666666666668</v>
      </c>
      <c r="F24" s="9">
        <f>AVERAGE(F6,F9,F11)</f>
        <v>108.38750228725002</v>
      </c>
      <c r="M24">
        <f>0.1*10^N24</f>
        <v>1</v>
      </c>
      <c r="N24">
        <v>1</v>
      </c>
    </row>
    <row r="25" spans="1:14">
      <c r="M25">
        <f t="shared" ref="M25:M44" si="0">0.1*10^N25</f>
        <v>1.2589254117941682</v>
      </c>
      <c r="N25">
        <v>1.1000000000000001</v>
      </c>
    </row>
    <row r="26" spans="1:14">
      <c r="B26" t="s">
        <v>25</v>
      </c>
      <c r="C26" t="s">
        <v>27</v>
      </c>
      <c r="M26">
        <f t="shared" si="0"/>
        <v>1.5848931924611138</v>
      </c>
      <c r="N26">
        <v>1.2</v>
      </c>
    </row>
    <row r="27" spans="1:14">
      <c r="C27" t="s">
        <v>74</v>
      </c>
      <c r="E27" t="s">
        <v>73</v>
      </c>
      <c r="M27">
        <f t="shared" si="0"/>
        <v>1.9952623149688806</v>
      </c>
      <c r="N27">
        <v>1.3</v>
      </c>
    </row>
    <row r="28" spans="1:14">
      <c r="A28" s="2" t="s">
        <v>22</v>
      </c>
      <c r="B28" s="12">
        <v>8.3000000000000007</v>
      </c>
      <c r="C28" s="10">
        <v>11.018000000000001</v>
      </c>
      <c r="D28" s="12">
        <f>AVERAGE(C10,C13,C16)</f>
        <v>122.85000000000001</v>
      </c>
      <c r="E28" s="12">
        <f>AVERAGE(D10,D13,D16)</f>
        <v>1.1616666666666664</v>
      </c>
      <c r="M28">
        <f t="shared" si="0"/>
        <v>2.5118864315095801</v>
      </c>
      <c r="N28">
        <v>1.4</v>
      </c>
    </row>
    <row r="29" spans="1:14">
      <c r="A29" s="1" t="s">
        <v>21</v>
      </c>
      <c r="B29" s="15">
        <v>0.23</v>
      </c>
      <c r="C29" s="8">
        <v>0.3203333333333333</v>
      </c>
      <c r="D29" s="15">
        <f>AVERAGE(C5,C12,C14)</f>
        <v>96.983333333333348</v>
      </c>
      <c r="E29" s="15">
        <f>AVERAGE(D5,D12,D14)</f>
        <v>0.28033333333333332</v>
      </c>
      <c r="F29">
        <f>(SUM(E29/0.9 + E30/0.9+E31/0.8)/3)/(E28)</f>
        <v>0.38338912800892727</v>
      </c>
      <c r="M29">
        <f t="shared" si="0"/>
        <v>3.1622776601683804</v>
      </c>
      <c r="N29">
        <v>1.5</v>
      </c>
    </row>
    <row r="30" spans="1:14">
      <c r="A30" s="3" t="s">
        <v>23</v>
      </c>
      <c r="B30" s="13">
        <v>0.37</v>
      </c>
      <c r="C30" s="9">
        <v>0.32450000000000001</v>
      </c>
      <c r="D30" s="13">
        <f>AVERAGE(C6,C9,C11)</f>
        <v>86.713333333333324</v>
      </c>
      <c r="E30" s="13">
        <f>AVERAGE(D6,D9,D11)</f>
        <v>0.52166666666666672</v>
      </c>
      <c r="M30">
        <f t="shared" si="0"/>
        <v>3.9810717055349758</v>
      </c>
      <c r="N30">
        <v>1.6</v>
      </c>
    </row>
    <row r="31" spans="1:14">
      <c r="A31" s="4" t="s">
        <v>24</v>
      </c>
      <c r="B31" s="14">
        <v>0.47</v>
      </c>
      <c r="C31" s="7">
        <v>0.31766666666666665</v>
      </c>
      <c r="D31" s="14">
        <f>AVERAGE(C7,C8,C15)</f>
        <v>90.713333333333324</v>
      </c>
      <c r="E31" s="14">
        <f>AVERAGE(D7,D8,D15)</f>
        <v>0.35600000000000004</v>
      </c>
      <c r="M31">
        <f t="shared" si="0"/>
        <v>5.0118723362727238</v>
      </c>
      <c r="N31">
        <v>1.7</v>
      </c>
    </row>
    <row r="32" spans="1:14">
      <c r="B32" s="5"/>
      <c r="C32" s="11"/>
      <c r="M32">
        <f t="shared" si="0"/>
        <v>6.3095734448019369</v>
      </c>
      <c r="N32">
        <v>1.8</v>
      </c>
    </row>
    <row r="33" spans="5:14">
      <c r="M33">
        <f t="shared" si="0"/>
        <v>7.9432823472428202</v>
      </c>
      <c r="N33">
        <v>1.9</v>
      </c>
    </row>
    <row r="34" spans="5:14">
      <c r="M34">
        <f t="shared" si="0"/>
        <v>10</v>
      </c>
      <c r="N34">
        <v>2</v>
      </c>
    </row>
    <row r="35" spans="5:14">
      <c r="E35" s="183" t="s">
        <v>43</v>
      </c>
      <c r="F35" s="183"/>
      <c r="G35" s="183"/>
      <c r="M35">
        <f t="shared" si="0"/>
        <v>12.589254117941678</v>
      </c>
      <c r="N35">
        <v>2.1</v>
      </c>
    </row>
    <row r="36" spans="5:14">
      <c r="E36" t="s">
        <v>60</v>
      </c>
      <c r="F36" t="s">
        <v>44</v>
      </c>
      <c r="G36" t="s">
        <v>45</v>
      </c>
      <c r="M36">
        <f t="shared" si="0"/>
        <v>15.848931924611154</v>
      </c>
      <c r="N36">
        <v>2.2000000000000002</v>
      </c>
    </row>
    <row r="37" spans="5:14">
      <c r="E37" t="s">
        <v>61</v>
      </c>
      <c r="M37">
        <f t="shared" si="0"/>
        <v>19.952623149688804</v>
      </c>
      <c r="N37">
        <v>2.2999999999999998</v>
      </c>
    </row>
    <row r="38" spans="5:14">
      <c r="M38">
        <f t="shared" si="0"/>
        <v>25.118864315095806</v>
      </c>
      <c r="N38">
        <v>2.4</v>
      </c>
    </row>
    <row r="39" spans="5:14">
      <c r="M39">
        <f t="shared" si="0"/>
        <v>31.622776601683825</v>
      </c>
      <c r="N39">
        <v>2.5</v>
      </c>
    </row>
    <row r="40" spans="5:14">
      <c r="E40" s="24" t="s">
        <v>43</v>
      </c>
      <c r="F40" s="24"/>
      <c r="G40" s="24"/>
      <c r="M40">
        <f t="shared" si="0"/>
        <v>39.810717055349762</v>
      </c>
      <c r="N40">
        <v>2.6</v>
      </c>
    </row>
    <row r="41" spans="5:14">
      <c r="E41" t="s">
        <v>46</v>
      </c>
      <c r="F41" t="s">
        <v>99</v>
      </c>
      <c r="G41" t="s">
        <v>99</v>
      </c>
      <c r="M41">
        <f t="shared" si="0"/>
        <v>50.118723362727273</v>
      </c>
      <c r="N41">
        <v>2.7</v>
      </c>
    </row>
    <row r="42" spans="5:14">
      <c r="E42" t="s">
        <v>47</v>
      </c>
      <c r="M42">
        <f t="shared" si="0"/>
        <v>63.095734448019329</v>
      </c>
      <c r="N42">
        <v>2.8</v>
      </c>
    </row>
    <row r="43" spans="5:14">
      <c r="E43" t="s">
        <v>48</v>
      </c>
      <c r="M43">
        <f t="shared" si="0"/>
        <v>79.432823472428211</v>
      </c>
      <c r="N43">
        <v>2.9</v>
      </c>
    </row>
    <row r="44" spans="5:14">
      <c r="E44" t="s">
        <v>49</v>
      </c>
      <c r="M44">
        <f t="shared" si="0"/>
        <v>100</v>
      </c>
      <c r="N44">
        <v>3</v>
      </c>
    </row>
    <row r="45" spans="5:14">
      <c r="E45" t="s">
        <v>50</v>
      </c>
    </row>
    <row r="46" spans="5:14">
      <c r="E46" t="s">
        <v>51</v>
      </c>
    </row>
    <row r="47" spans="5:14">
      <c r="E47" t="s">
        <v>52</v>
      </c>
    </row>
    <row r="48" spans="5:14">
      <c r="E48" t="s">
        <v>53</v>
      </c>
    </row>
    <row r="49" spans="5:8">
      <c r="E49" t="s">
        <v>54</v>
      </c>
    </row>
    <row r="50" spans="5:8">
      <c r="E50" t="s">
        <v>55</v>
      </c>
    </row>
    <row r="51" spans="5:8">
      <c r="E51" t="s">
        <v>56</v>
      </c>
    </row>
    <row r="52" spans="5:8">
      <c r="E52" t="s">
        <v>57</v>
      </c>
    </row>
    <row r="53" spans="5:8">
      <c r="E53" t="s">
        <v>58</v>
      </c>
      <c r="H53" t="s">
        <v>59</v>
      </c>
    </row>
  </sheetData>
  <mergeCells count="3">
    <mergeCell ref="C3:E3"/>
    <mergeCell ref="F3:G3"/>
    <mergeCell ref="E35:G35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Main_Analysis</vt:lpstr>
      <vt:lpstr>Main Analysis GraphsTables--&gt;</vt:lpstr>
      <vt:lpstr>Comparison_WEPP_Empirical</vt:lpstr>
      <vt:lpstr>Percent_Reduct_sed_export_graph</vt:lpstr>
      <vt:lpstr>Comparison_means_graphs</vt:lpstr>
      <vt:lpstr>ManuscriptTables</vt:lpstr>
      <vt:lpstr>Sensitivity Analysis Runs--&gt;</vt:lpstr>
      <vt:lpstr>Face2Run</vt:lpstr>
      <vt:lpstr>Gully1Run</vt:lpstr>
      <vt:lpstr>Gully2Run</vt:lpstr>
      <vt:lpstr>BEINP12Run</vt:lpstr>
      <vt:lpstr>BEINP20Run</vt:lpstr>
      <vt:lpstr>FairKSRun</vt:lpstr>
      <vt:lpstr>FairNERun</vt:lpstr>
      <vt:lpstr>WrongCropRotRun</vt:lpstr>
      <vt:lpstr>50ptGranularityRunB4Only</vt:lpstr>
      <vt:lpstr>Pre-Calibration_Run</vt:lpstr>
      <vt:lpstr>SA Plant Choice</vt:lpstr>
      <vt:lpstr>SA Slope</vt:lpstr>
      <vt:lpstr>SA Biomass Value</vt:lpstr>
      <vt:lpstr>Proper vs Improper Rot</vt:lpstr>
      <vt:lpstr>SA BEINP Transect &amp; PlantChoice</vt:lpstr>
      <vt:lpstr>MoreDerivationsandTables--&gt;</vt:lpstr>
      <vt:lpstr>empirical_sed_runoff</vt:lpstr>
      <vt:lpstr>EmpiricalSedandRunoff_by_year</vt:lpstr>
      <vt:lpstr>DerivedEmpSedMultiYrAverages</vt:lpstr>
      <vt:lpstr>Int1PlantChoice_Simulations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Miller</dc:creator>
  <cp:lastModifiedBy>Elise Jael Miller</cp:lastModifiedBy>
  <dcterms:created xsi:type="dcterms:W3CDTF">2018-05-03T20:50:41Z</dcterms:created>
  <dcterms:modified xsi:type="dcterms:W3CDTF">2019-02-10T07:12:29Z</dcterms:modified>
</cp:coreProperties>
</file>