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lla\OneDrive - UNT System\Desktop\UNT\DSCI 5330.404 BI Foundations\Assignment 2 - Finance and Accounting\"/>
    </mc:Choice>
  </mc:AlternateContent>
  <xr:revisionPtr revIDLastSave="0" documentId="13_ncr:1_{D9DF7DEF-E6C1-443B-BDEE-B4F4ED75DB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puts" sheetId="1" r:id="rId1"/>
    <sheet name="Ratios" sheetId="4" r:id="rId2"/>
    <sheet name="Charts" sheetId="5" r:id="rId3"/>
    <sheet name="Notes" sheetId="3" state="hidden" r:id="rId4"/>
    <sheet name="Guidance" sheetId="2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I11" i="4" s="1"/>
  <c r="P10" i="1"/>
  <c r="J10" i="4" s="1"/>
  <c r="P9" i="1"/>
  <c r="J9" i="4" s="1"/>
  <c r="P8" i="1"/>
  <c r="J8" i="4" s="1"/>
  <c r="F11" i="1"/>
  <c r="K11" i="4" s="1"/>
  <c r="F10" i="1"/>
  <c r="F9" i="1"/>
  <c r="K9" i="4" s="1"/>
  <c r="F8" i="1"/>
  <c r="K8" i="4" s="1"/>
  <c r="P5" i="1"/>
  <c r="P7" i="1"/>
  <c r="P6" i="1"/>
  <c r="F7" i="1"/>
  <c r="F6" i="1"/>
  <c r="F5" i="1"/>
  <c r="G7" i="1"/>
  <c r="G6" i="1"/>
  <c r="G5" i="1"/>
  <c r="P2" i="1"/>
  <c r="P4" i="1"/>
  <c r="J4" i="4" s="1"/>
  <c r="P3" i="1"/>
  <c r="I3" i="4" s="1"/>
  <c r="F4" i="1"/>
  <c r="F3" i="1"/>
  <c r="K3" i="4" s="1"/>
  <c r="F2" i="1"/>
  <c r="K4" i="4"/>
  <c r="D4" i="1"/>
  <c r="C4" i="4" s="1"/>
  <c r="D3" i="1"/>
  <c r="D2" i="1"/>
  <c r="C2" i="4" s="1"/>
  <c r="M11" i="4"/>
  <c r="L11" i="4"/>
  <c r="H11" i="4"/>
  <c r="G11" i="4"/>
  <c r="F11" i="4"/>
  <c r="E11" i="4"/>
  <c r="D11" i="4"/>
  <c r="C11" i="4"/>
  <c r="B11" i="4"/>
  <c r="M10" i="4"/>
  <c r="L10" i="4"/>
  <c r="K10" i="4"/>
  <c r="H10" i="4"/>
  <c r="G10" i="4"/>
  <c r="F10" i="4"/>
  <c r="E10" i="4"/>
  <c r="D10" i="4"/>
  <c r="C10" i="4"/>
  <c r="B10" i="4"/>
  <c r="M9" i="4"/>
  <c r="L9" i="4"/>
  <c r="I9" i="4"/>
  <c r="H9" i="4"/>
  <c r="G9" i="4"/>
  <c r="F9" i="4"/>
  <c r="E9" i="4"/>
  <c r="D9" i="4"/>
  <c r="C9" i="4"/>
  <c r="B9" i="4"/>
  <c r="M8" i="4"/>
  <c r="L8" i="4"/>
  <c r="H8" i="4"/>
  <c r="G8" i="4"/>
  <c r="F8" i="4"/>
  <c r="E8" i="4"/>
  <c r="D8" i="4"/>
  <c r="C8" i="4"/>
  <c r="B8" i="4"/>
  <c r="M7" i="4"/>
  <c r="L7" i="4"/>
  <c r="K7" i="4"/>
  <c r="J7" i="4"/>
  <c r="I7" i="4"/>
  <c r="H7" i="4"/>
  <c r="G7" i="4"/>
  <c r="F7" i="4"/>
  <c r="E7" i="4"/>
  <c r="D7" i="4"/>
  <c r="C7" i="4"/>
  <c r="B7" i="4"/>
  <c r="M6" i="4"/>
  <c r="L6" i="4"/>
  <c r="J6" i="4"/>
  <c r="I6" i="4"/>
  <c r="H6" i="4"/>
  <c r="G6" i="4"/>
  <c r="F6" i="4"/>
  <c r="E6" i="4"/>
  <c r="D6" i="4"/>
  <c r="C6" i="4"/>
  <c r="B6" i="4"/>
  <c r="M5" i="4"/>
  <c r="L5" i="4"/>
  <c r="J5" i="4"/>
  <c r="I5" i="4"/>
  <c r="H5" i="4"/>
  <c r="G5" i="4"/>
  <c r="F5" i="4"/>
  <c r="E5" i="4"/>
  <c r="D5" i="4"/>
  <c r="C5" i="4"/>
  <c r="B5" i="4"/>
  <c r="M4" i="4"/>
  <c r="L4" i="4"/>
  <c r="I4" i="4"/>
  <c r="H4" i="4"/>
  <c r="G4" i="4"/>
  <c r="F4" i="4"/>
  <c r="E4" i="4"/>
  <c r="D4" i="4"/>
  <c r="B4" i="4"/>
  <c r="M3" i="4"/>
  <c r="L3" i="4"/>
  <c r="J3" i="4"/>
  <c r="H3" i="4"/>
  <c r="G3" i="4"/>
  <c r="F3" i="4"/>
  <c r="E3" i="4"/>
  <c r="D3" i="4"/>
  <c r="C3" i="4"/>
  <c r="B3" i="4"/>
  <c r="M2" i="4"/>
  <c r="L2" i="4"/>
  <c r="K2" i="4"/>
  <c r="J2" i="4"/>
  <c r="I2" i="4"/>
  <c r="H2" i="4"/>
  <c r="G2" i="4"/>
  <c r="F2" i="4"/>
  <c r="E2" i="4"/>
  <c r="D2" i="4"/>
  <c r="B2" i="4"/>
  <c r="J11" i="4" l="1"/>
  <c r="I10" i="4"/>
  <c r="I8" i="4"/>
  <c r="K6" i="4"/>
  <c r="K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tc={6189E67F-3D31-427C-91C9-54CA4ACA923F}</author>
    <author>tc={D6D23188-62D8-4E86-8299-0559E91B1F94}</author>
    <author>tc={2D82BC25-8C1B-4AEA-B695-C99E844FAF2B}</author>
    <author>tc={2A25E633-9E24-4ADC-A3C2-112C94D69316}</author>
    <author>tc={1A6522E1-B6BC-4CA1-859C-D84DDC26F97F}</author>
    <author>tc={BE08586B-8E7B-4AB8-921D-429931191391}</author>
    <author>tc={D47FB1D3-705C-4192-8700-18ED4C47C173}</author>
    <author>tc={01DF3699-4907-4C7E-834D-634BFD22699B}</author>
    <author>tc={CB214342-6C1D-4728-8EBD-47F4BE6E6944}</author>
    <author>tc={5AA1B015-ACDA-44B6-A91E-FCA567ED56B7}</author>
    <author>tc={EC4C7E92-5AAF-4647-8AD0-758EACC39DA5}</author>
    <author>tc={F8DA564A-C87C-4D44-8F27-55E566EA1D5E}</author>
    <author>tc={885EF375-332F-4520-9267-E6767F52DD99}</author>
  </authors>
  <commentList>
    <comment ref="C1" authorId="0" shapeId="0" xr:uid="{6189E67F-3D31-427C-91C9-54CA4ACA923F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of Sales</t>
      </text>
    </comment>
    <comment ref="D1" authorId="1" shapeId="0" xr:uid="{D6D23188-62D8-4E86-8299-0559E91B1F94}">
      <text>
        <t>[Threaded comment]
Your version of Excel allows you to read this threaded comment; however, any edits to it will get removed if the file is opened in a newer version of Excel. Learn more: https://go.microsoft.com/fwlink/?linkid=870924
Comment:
    = Revenue - Total Costs and Expenses on 10K</t>
      </text>
    </comment>
    <comment ref="F1" authorId="2" shapeId="0" xr:uid="{2D82BC25-8C1B-4AEA-B695-C99E844FAF2B}">
      <text>
        <t>[Threaded comment]
Your version of Excel allows you to read this threaded comment; however, any edits to it will get removed if the file is opened in a newer version of Excel. Learn more: https://go.microsoft.com/fwlink/?linkid=870924
Comment:
    EBIT = Income before income taxes + Interest Expense on Automotive debt (+ Interest Expense on Other debt)</t>
      </text>
    </comment>
    <comment ref="G1" authorId="3" shapeId="0" xr:uid="{2A25E633-9E24-4ADC-A3C2-112C94D6931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“Interest expense on Automotive debt” line + Interest Expense on Other debt</t>
      </text>
    </comment>
    <comment ref="H1" authorId="4" shapeId="0" xr:uid="{1A6522E1-B6BC-4CA1-859C-D84DDC26F97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“Provision for/(Benefit from) income taxes” line </t>
      </text>
    </comment>
    <comment ref="L1" authorId="5" shapeId="0" xr:uid="{BE08586B-8E7B-4AB8-921D-429931191391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Sheet</t>
      </text>
    </comment>
    <comment ref="N1" authorId="6" shapeId="0" xr:uid="{D47FB1D3-705C-4192-8700-18ED4C47C173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Sheet</t>
      </text>
    </comment>
    <comment ref="P1" authorId="7" shapeId="0" xr:uid="{01DF3699-4907-4C7E-834D-634BFD2269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Total Debt = Automotive Debt (ST + LT)+Financial Services Debt (ST + LT) </t>
      </text>
    </comment>
    <comment ref="R1" authorId="8" shapeId="0" xr:uid="{CB214342-6C1D-4728-8EBD-47F4BE6E6944}">
      <text>
        <t>[Threaded comment]
Your version of Excel allows you to read this threaded comment; however, any edits to it will get removed if the file is opened in a newer version of Excel. Learn more: https://go.microsoft.com/fwlink/?linkid=870924
Comment:
    Capital Spending under CF from Investing activities (Statement of CF)
Enter positive in Excel file as formula for Free Cash Flow = CFO - Capex already accounts for the outflow</t>
      </text>
    </comment>
    <comment ref="A2" authorId="9" shapeId="0" xr:uid="{5AA1B015-ACDA-44B6-A91E-FCA567ED56B7}">
      <text>
        <t>[Threaded comment]
Your version of Excel allows you to read this threaded comment; however, any edits to it will get removed if the file is opened in a newer version of Excel. Learn more: https://go.microsoft.com/fwlink/?linkid=870924
Comment:
    2015-2017 Segments: Automotive and Financial Services (+ Other)</t>
      </text>
    </comment>
    <comment ref="A5" authorId="10" shapeId="0" xr:uid="{EC4C7E92-5AAF-4647-8AD0-758EACC39DA5}">
      <text>
        <t>[Threaded comment]
Your version of Excel allows you to read this threaded comment; however, any edits to it will get removed if the file is opened in a newer version of Excel. Learn more: https://go.microsoft.com/fwlink/?linkid=870924
Comment:
    Since 2018, Segments: 
- Automotive
- Ford Credit
- Mobility</t>
      </text>
    </comment>
    <comment ref="A7" authorId="11" shapeId="0" xr:uid="{F8DA564A-C87C-4D44-8F27-55E566EA1D5E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PANDEMIC</t>
      </text>
    </comment>
    <comment ref="A8" authorId="12" shapeId="0" xr:uid="{885EF375-332F-4520-9267-E6767F52DD99}">
      <text>
        <t>[Threaded comment]
Your version of Excel allows you to read this threaded comment; however, any edits to it will get removed if the file is opened in a newer version of Excel. Learn more: https://go.microsoft.com/fwlink/?linkid=870924
Comment:
    Segments:
- Company Excluding Ford Credit
- For Credit</t>
      </text>
    </comment>
  </commentList>
</comments>
</file>

<file path=xl/sharedStrings.xml><?xml version="1.0" encoding="utf-8"?>
<sst xmlns="http://schemas.openxmlformats.org/spreadsheetml/2006/main" count="44" uniqueCount="42">
  <si>
    <t>Year Ended</t>
  </si>
  <si>
    <t>Revenue ($B)</t>
  </si>
  <si>
    <t>COGS ($B)</t>
  </si>
  <si>
    <t>Operating Income ($B)</t>
  </si>
  <si>
    <t>Net Income ($B)</t>
  </si>
  <si>
    <t>EBIT ($B)</t>
  </si>
  <si>
    <t>Interest Expense ($B)</t>
  </si>
  <si>
    <t>Income Tax Expense ($B)</t>
  </si>
  <si>
    <t>Total Assets ($B)</t>
  </si>
  <si>
    <t>Total Liabilities ($B)</t>
  </si>
  <si>
    <t>Shareholders Equity ($B)</t>
  </si>
  <si>
    <t>Cash &amp; Equivalents ($B)</t>
  </si>
  <si>
    <t>Current Assets ($B)</t>
  </si>
  <si>
    <t>Inventory ($B)</t>
  </si>
  <si>
    <t>Current Liabilities ($B)</t>
  </si>
  <si>
    <t>Total Debt ($B)</t>
  </si>
  <si>
    <t>Cash Flow from Ops ($B)</t>
  </si>
  <si>
    <t>Capex ($B)</t>
  </si>
  <si>
    <t>Ford 10-K Metrics Template (2015–2024)</t>
  </si>
  <si>
    <t>How to use this template</t>
  </si>
  <si>
    <t>1) Fill 'Inputs' sheet using Ford 10-Ks (YE 2015–2024). Use $B units for consistency.</t>
  </si>
  <si>
    <t>2) 'Ratios' auto-calculates margins, liquidity, leverage, coverage, and returns.</t>
  </si>
  <si>
    <t>3) Update or add notes in 'Notes' sheet for special items / one-offs that impact comparability.</t>
  </si>
  <si>
    <t>4) Charts in 'Charts' will update automatically as you enter numbers.</t>
  </si>
  <si>
    <t>Tip: CFO - Capex = Free Cash Flow (FCF). EBIT = Operating Income + non-operating adjustments if disclosed.</t>
  </si>
  <si>
    <t>Impairments / Special Items (short description)</t>
  </si>
  <si>
    <t>Gross Margin (%)</t>
  </si>
  <si>
    <t>Operating Margin (%)</t>
  </si>
  <si>
    <t>Net Margin (%)</t>
  </si>
  <si>
    <t>ROA (%)</t>
  </si>
  <si>
    <t>ROE (%)</t>
  </si>
  <si>
    <t>Current Ratio</t>
  </si>
  <si>
    <t>Quick Ratio</t>
  </si>
  <si>
    <t>Debt to Equity</t>
  </si>
  <si>
    <t>Debt to Assets</t>
  </si>
  <si>
    <t>Interest Coverage</t>
  </si>
  <si>
    <t>Asset Turnover</t>
  </si>
  <si>
    <t>Free Cash Flow ($B)</t>
  </si>
  <si>
    <r>
      <t xml:space="preserve">Ford has </t>
    </r>
    <r>
      <rPr>
        <b/>
        <sz val="11"/>
        <color theme="1"/>
        <rFont val="Calibri"/>
        <family val="2"/>
        <scheme val="minor"/>
      </rPr>
      <t>stable revenues but razor-thin margins</t>
    </r>
    <r>
      <rPr>
        <sz val="11"/>
        <color theme="1"/>
        <rFont val="Calibri"/>
        <family val="2"/>
        <scheme val="minor"/>
      </rPr>
      <t>, with profitability swinging widely due to recalls, restructuring, and market cycles.</t>
    </r>
  </si>
  <si>
    <r>
      <t>Ford Credit stabilizes liquidity</t>
    </r>
    <r>
      <rPr>
        <sz val="11"/>
        <color theme="1"/>
        <rFont val="Calibri"/>
        <family val="2"/>
        <scheme val="minor"/>
      </rPr>
      <t>, but adds balance sheet leverage.</t>
    </r>
  </si>
  <si>
    <r>
      <t>Cash flow generation is resilient</t>
    </r>
    <r>
      <rPr>
        <sz val="11"/>
        <color theme="1"/>
        <rFont val="Calibri"/>
        <family val="2"/>
        <scheme val="minor"/>
      </rPr>
      <t>, funding Capex for the EV transition.</t>
    </r>
  </si>
  <si>
    <r>
      <t xml:space="preserve">Long-term health hinges on </t>
    </r>
    <r>
      <rPr>
        <b/>
        <sz val="11"/>
        <color theme="1"/>
        <rFont val="Calibri"/>
        <family val="2"/>
        <scheme val="minor"/>
      </rPr>
      <t>Model e (EV) reaching scale</t>
    </r>
    <r>
      <rPr>
        <sz val="11"/>
        <color theme="1"/>
        <rFont val="Calibri"/>
        <family val="2"/>
        <scheme val="minor"/>
      </rPr>
      <t xml:space="preserve">, while </t>
    </r>
    <r>
      <rPr>
        <b/>
        <sz val="11"/>
        <color theme="1"/>
        <rFont val="Calibri"/>
        <family val="2"/>
        <scheme val="minor"/>
      </rPr>
      <t>Ford Pro (commercial)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Ford Blue (ICE)</t>
    </r>
    <r>
      <rPr>
        <sz val="11"/>
        <color theme="1"/>
        <rFont val="Calibri"/>
        <family val="2"/>
        <scheme val="minor"/>
      </rPr>
      <t xml:space="preserve"> provide cash engines.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</si>
</sst>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55555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0" fillId="0" borderId="0" xfId="0" applyAlignment="1">
      <alignment wrapText="1"/>
    </xf>
    <xf numFmtId="0" fontId="2" fillId="0" borderId="0" xfId="0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1" fontId="1" fillId="5" borderId="7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6" borderId="2" xfId="0" applyNumberFormat="1" applyFont="1" applyFill="1" applyBorder="1" applyAlignment="1">
      <alignment horizontal="center"/>
    </xf>
    <xf numFmtId="1" fontId="5" fillId="6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39">
    <dxf>
      <font>
        <b/>
      </font>
      <numFmt numFmtId="1" formatCode="0"/>
      <alignment horizontal="center" vertical="bottom" textRotation="0" wrapText="0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1" formatCode="0"/>
      <alignment horizont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($B)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Revenue ($B)</c:v>
          </c:tx>
          <c:cat>
            <c:numRef>
              <c:f>Inputs!$A$2:$A$11</c:f>
              <c:numCache>
                <c:formatCode>0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Inputs!$B$2:$B$11</c:f>
              <c:numCache>
                <c:formatCode>0.00</c:formatCode>
                <c:ptCount val="10"/>
                <c:pt idx="0">
                  <c:v>149.56</c:v>
                </c:pt>
                <c:pt idx="1">
                  <c:v>151.80000000000001</c:v>
                </c:pt>
                <c:pt idx="2">
                  <c:v>156.78</c:v>
                </c:pt>
                <c:pt idx="3">
                  <c:v>160.34</c:v>
                </c:pt>
                <c:pt idx="4">
                  <c:v>155.9</c:v>
                </c:pt>
                <c:pt idx="5">
                  <c:v>127.14</c:v>
                </c:pt>
                <c:pt idx="6">
                  <c:v>136.34</c:v>
                </c:pt>
                <c:pt idx="7">
                  <c:v>158.06</c:v>
                </c:pt>
                <c:pt idx="8">
                  <c:v>176.19</c:v>
                </c:pt>
                <c:pt idx="9">
                  <c:v>184.99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D-4E8B-9A29-B0EF6F265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 Billions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Margins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Operating Margin (%)</c:v>
          </c:tx>
          <c:cat>
            <c:numRef>
              <c:f>Ratios!$A$2:$A$11</c:f>
              <c:numCache>
                <c:formatCode>0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Ratios!$C$2:$C$11</c:f>
              <c:numCache>
                <c:formatCode>0.0%</c:formatCode>
                <c:ptCount val="10"/>
                <c:pt idx="0">
                  <c:v>4.6670232682535367E-2</c:v>
                </c:pt>
                <c:pt idx="1">
                  <c:v>3.7812911725955259E-2</c:v>
                </c:pt>
                <c:pt idx="2">
                  <c:v>3.0743717310881446E-2</c:v>
                </c:pt>
                <c:pt idx="3">
                  <c:v>1.995759012099289E-2</c:v>
                </c:pt>
                <c:pt idx="4">
                  <c:v>3.6561898652982677E-3</c:v>
                </c:pt>
                <c:pt idx="5">
                  <c:v>-3.4686172722982543E-2</c:v>
                </c:pt>
                <c:pt idx="6">
                  <c:v>3.3152413084934718E-2</c:v>
                </c:pt>
                <c:pt idx="7">
                  <c:v>3.9731747437681895E-2</c:v>
                </c:pt>
                <c:pt idx="8">
                  <c:v>3.098927294398093E-2</c:v>
                </c:pt>
                <c:pt idx="9">
                  <c:v>2.8217741499540514E-2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C-4E36-B28D-EC70CA0B8B59}"/>
            </c:ext>
          </c:extLst>
        </c:ser>
        <c:ser>
          <c:idx val="1"/>
          <c:order val="1"/>
          <c:tx>
            <c:v>Net Margin (%)</c:v>
          </c:tx>
          <c:cat>
            <c:numRef>
              <c:f>Ratios!$A$2:$A$11</c:f>
              <c:numCache>
                <c:formatCode>0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Ratios!$D$2:$D$11</c:f>
              <c:numCache>
                <c:formatCode>0.0%</c:formatCode>
                <c:ptCount val="10"/>
                <c:pt idx="0">
                  <c:v>4.9277881786573947E-2</c:v>
                </c:pt>
                <c:pt idx="1">
                  <c:v>3.0368906455862977E-2</c:v>
                </c:pt>
                <c:pt idx="2">
                  <c:v>4.8666921801250158E-2</c:v>
                </c:pt>
                <c:pt idx="3">
                  <c:v>2.307596357739803E-2</c:v>
                </c:pt>
                <c:pt idx="4">
                  <c:v>5.3880692751763944E-3</c:v>
                </c:pt>
                <c:pt idx="5">
                  <c:v>-1.006764196948246E-2</c:v>
                </c:pt>
                <c:pt idx="6">
                  <c:v>0.13136276954672144</c:v>
                </c:pt>
                <c:pt idx="7">
                  <c:v>-1.3602429457168164E-2</c:v>
                </c:pt>
                <c:pt idx="8">
                  <c:v>2.457574209660026E-2</c:v>
                </c:pt>
                <c:pt idx="9">
                  <c:v>3.1839558895075407E-2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C-4E36-B28D-EC70CA0B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Cash Flow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Cash Flow ($B)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Ratios!$A$2:$A$11</c:f>
              <c:numCache>
                <c:formatCode>0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Ratios!$M$2:$M$11</c:f>
              <c:numCache>
                <c:formatCode>0.00</c:formatCode>
                <c:ptCount val="10"/>
                <c:pt idx="0">
                  <c:v>9.0300000000000011</c:v>
                </c:pt>
                <c:pt idx="1">
                  <c:v>12.860000000000001</c:v>
                </c:pt>
                <c:pt idx="2">
                  <c:v>11.05</c:v>
                </c:pt>
                <c:pt idx="3">
                  <c:v>7.2299999999999995</c:v>
                </c:pt>
                <c:pt idx="4">
                  <c:v>10.010000000000002</c:v>
                </c:pt>
                <c:pt idx="5">
                  <c:v>18.53</c:v>
                </c:pt>
                <c:pt idx="6">
                  <c:v>9.5599999999999987</c:v>
                </c:pt>
                <c:pt idx="7">
                  <c:v>-2.0000000000000462E-2</c:v>
                </c:pt>
                <c:pt idx="8">
                  <c:v>6.68</c:v>
                </c:pt>
                <c:pt idx="9">
                  <c:v>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E-4ABC-8127-C9878A814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 Billions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10</xdr:col>
      <xdr:colOff>0</xdr:colOff>
      <xdr:row>38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10</xdr:col>
      <xdr:colOff>0</xdr:colOff>
      <xdr:row>57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guyen, Trixie" id="{D91F7B2C-70EB-4956-8F5C-8DF8A57FC58B}" userId="S::TrixieNguyen@my.unt.edu::92e31bd3-1a4b-40ed-a1e9-85d0fb2e5d0b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8DB76-4BD9-45B4-AAB1-82BA3F97442F}" name="Table1" displayName="Table1" ref="A1:R11" totalsRowShown="0" headerRowDxfId="35" headerRowBorderDxfId="37" tableBorderDxfId="38" totalsRowBorderDxfId="36">
  <autoFilter ref="A1:R11" xr:uid="{F228DB76-4BD9-45B4-AAB1-82BA3F97442F}"/>
  <tableColumns count="18">
    <tableColumn id="1" xr3:uid="{8E33DA83-56E4-4248-9693-11EBCBD1F81E}" name="Year Ended" dataDxfId="34"/>
    <tableColumn id="2" xr3:uid="{7D1A9A45-4FC5-4B79-BF2E-531518E0DAC0}" name="Revenue ($B)" dataDxfId="33"/>
    <tableColumn id="3" xr3:uid="{D889F5DF-BC67-44C5-8551-F07273BB807A}" name="COGS ($B)" dataDxfId="32"/>
    <tableColumn id="4" xr3:uid="{B724449E-C89D-4627-9AF7-E64B904495CF}" name="Operating Income ($B)" dataDxfId="31"/>
    <tableColumn id="5" xr3:uid="{1AA98ABC-F2A9-480F-B8F9-0B00CD5F2637}" name="Net Income ($B)" dataDxfId="30"/>
    <tableColumn id="6" xr3:uid="{3999501C-2B30-4F1D-A6CA-BD4282BB59AC}" name="EBIT ($B)" dataDxfId="29"/>
    <tableColumn id="7" xr3:uid="{3ED196A0-4E52-47F6-A07B-75867B80BC6F}" name="Interest Expense ($B)" dataDxfId="28"/>
    <tableColumn id="8" xr3:uid="{F62BEFBA-155C-4444-89CE-55E26422A747}" name="Income Tax Expense ($B)" dataDxfId="27"/>
    <tableColumn id="9" xr3:uid="{B5F4B8FA-D5C7-4BD0-9329-CF2B49FACDCB}" name="Total Assets ($B)" dataDxfId="26"/>
    <tableColumn id="10" xr3:uid="{842776D8-0C6A-4946-A0CE-0044AE1BC3AE}" name="Total Liabilities ($B)" dataDxfId="25"/>
    <tableColumn id="11" xr3:uid="{2357EEDD-AD92-47CA-8A02-AC9700285A95}" name="Shareholders Equity ($B)" dataDxfId="24"/>
    <tableColumn id="12" xr3:uid="{6FEF55F8-F226-4534-A54A-F11E784DCDE0}" name="Cash &amp; Equivalents ($B)" dataDxfId="23"/>
    <tableColumn id="13" xr3:uid="{C2069BEA-96A5-4AFA-B438-6903C87F6756}" name="Current Assets ($B)" dataDxfId="22"/>
    <tableColumn id="14" xr3:uid="{FFCE2F5D-4C08-4470-AF6B-519D82DE83A8}" name="Inventory ($B)" dataDxfId="21"/>
    <tableColumn id="15" xr3:uid="{0194BF70-AF7A-4D8F-BFDC-61767A67452B}" name="Current Liabilities ($B)" dataDxfId="20"/>
    <tableColumn id="16" xr3:uid="{CAE92A66-6D43-48BA-A9B0-CEDB5256ED7B}" name="Total Debt ($B)" dataDxfId="19"/>
    <tableColumn id="17" xr3:uid="{E29AD565-D731-411D-9647-061848976436}" name="Cash Flow from Ops ($B)" dataDxfId="18"/>
    <tableColumn id="18" xr3:uid="{4EFEB122-1CD6-4895-ABAA-A4BA5FD30E97}" name="Capex ($B)" dataDxfId="17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F8D85B-33B5-45FB-928D-4EF74CF3C662}" name="Table2" displayName="Table2" ref="A1:M11" totalsRowShown="0" headerRowDxfId="2" dataDxfId="3" headerRowBorderDxfId="15" tableBorderDxfId="16">
  <autoFilter ref="A1:M11" xr:uid="{70F8D85B-33B5-45FB-928D-4EF74CF3C662}"/>
  <tableColumns count="13">
    <tableColumn id="1" xr3:uid="{4F3E2FF7-08AD-4CDF-85AF-B20382A8F7EF}" name="Year Ended" dataDxfId="0"/>
    <tableColumn id="2" xr3:uid="{10B94BAD-CF9E-47E4-8639-C5AD3D362448}" name="Gross Margin (%)" dataDxfId="1">
      <calculatedColumnFormula>IFERROR((Inputs!B2-Inputs!C2)/Inputs!B2,"")</calculatedColumnFormula>
    </tableColumn>
    <tableColumn id="3" xr3:uid="{1E2BF796-EA37-434E-B06C-2AF1797C30C1}" name="Operating Margin (%)" dataDxfId="14">
      <calculatedColumnFormula>IFERROR(Inputs!D2/Inputs!B2,"")</calculatedColumnFormula>
    </tableColumn>
    <tableColumn id="4" xr3:uid="{3C653497-6F17-498B-B476-D7F4B4C5C35E}" name="Net Margin (%)" dataDxfId="13">
      <calculatedColumnFormula>IFERROR(Inputs!E2/Inputs!B2,"")</calculatedColumnFormula>
    </tableColumn>
    <tableColumn id="5" xr3:uid="{E0D53E61-DFC6-4809-AED5-BF9DF70CF900}" name="ROA (%)" dataDxfId="12">
      <calculatedColumnFormula>IFERROR(Inputs!E2/Inputs!I2,"")</calculatedColumnFormula>
    </tableColumn>
    <tableColumn id="6" xr3:uid="{4743322D-F110-4A4B-B898-308131E06A3B}" name="ROE (%)" dataDxfId="11">
      <calculatedColumnFormula>IFERROR(Inputs!E2/Inputs!K2,"")</calculatedColumnFormula>
    </tableColumn>
    <tableColumn id="7" xr3:uid="{F4419AD6-D868-4856-A747-0E08D120482D}" name="Current Ratio" dataDxfId="10">
      <calculatedColumnFormula>IFERROR(Inputs!M2/Inputs!O2,"")</calculatedColumnFormula>
    </tableColumn>
    <tableColumn id="8" xr3:uid="{09175952-1309-4E87-8F4E-FC42C421B82D}" name="Quick Ratio" dataDxfId="9">
      <calculatedColumnFormula>IFERROR((Inputs!M2-Inputs!N2)/Inputs!O2,"")</calculatedColumnFormula>
    </tableColumn>
    <tableColumn id="9" xr3:uid="{A7361891-7FB1-431F-A2FF-4247319D97BD}" name="Debt to Equity" dataDxfId="8">
      <calculatedColumnFormula>IFERROR(Inputs!P2/Inputs!K2,"")</calculatedColumnFormula>
    </tableColumn>
    <tableColumn id="10" xr3:uid="{26896489-C578-4CCE-9762-6F5500D445B4}" name="Debt to Assets" dataDxfId="7">
      <calculatedColumnFormula>IFERROR(Inputs!P2/Inputs!I2,"")</calculatedColumnFormula>
    </tableColumn>
    <tableColumn id="11" xr3:uid="{FF493662-734F-46FC-ACFD-1B9C762A6CA9}" name="Interest Coverage" dataDxfId="6">
      <calculatedColumnFormula>IFERROR(Inputs!F2/Inputs!G2,"")</calculatedColumnFormula>
    </tableColumn>
    <tableColumn id="12" xr3:uid="{40EA5756-F022-48C2-B24E-C10149638F45}" name="Asset Turnover" dataDxfId="5">
      <calculatedColumnFormula>IFERROR(Inputs!B2/Inputs!I2,"")</calculatedColumnFormula>
    </tableColumn>
    <tableColumn id="13" xr3:uid="{F96F8502-8DE2-42D9-A991-01E37956BA97}" name="Free Cash Flow ($B)" dataDxfId="4">
      <calculatedColumnFormula>IFERROR(Inputs!Q2-Inputs!R2,"")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5-09-10T17:43:00.01" personId="{D91F7B2C-70EB-4956-8F5C-8DF8A57FC58B}" id="{6189E67F-3D31-427C-91C9-54CA4ACA923F}">
    <text>Cost of Sales</text>
  </threadedComment>
  <threadedComment ref="D1" dT="2025-09-10T17:08:37.95" personId="{D91F7B2C-70EB-4956-8F5C-8DF8A57FC58B}" id="{D6D23188-62D8-4E86-8299-0559E91B1F94}">
    <text>= Revenue - Total Costs and Expenses on 10K</text>
  </threadedComment>
  <threadedComment ref="F1" dT="2025-09-10T17:09:20.73" personId="{D91F7B2C-70EB-4956-8F5C-8DF8A57FC58B}" id="{2D82BC25-8C1B-4AEA-B695-C99E844FAF2B}">
    <text>EBIT = Income before income taxes + Interest Expense on Automotive debt (+ Interest Expense on Other debt)</text>
  </threadedComment>
  <threadedComment ref="G1" dT="2025-09-10T17:12:37.99" personId="{D91F7B2C-70EB-4956-8F5C-8DF8A57FC58B}" id="{2A25E633-9E24-4ADC-A3C2-112C94D69316}">
    <text>From “Interest expense on Automotive debt” line + Interest Expense on Other debt</text>
  </threadedComment>
  <threadedComment ref="H1" dT="2025-09-10T17:12:28.26" personId="{D91F7B2C-70EB-4956-8F5C-8DF8A57FC58B}" id="{1A6522E1-B6BC-4CA1-859C-D84DDC26F97F}">
    <text xml:space="preserve">From “Provision for/(Benefit from) income taxes” line </text>
  </threadedComment>
  <threadedComment ref="L1" dT="2025-09-10T18:24:32.35" personId="{D91F7B2C-70EB-4956-8F5C-8DF8A57FC58B}" id="{BE08586B-8E7B-4AB8-921D-429931191391}">
    <text>Balance Sheet</text>
  </threadedComment>
  <threadedComment ref="N1" dT="2025-09-10T18:25:23.73" personId="{D91F7B2C-70EB-4956-8F5C-8DF8A57FC58B}" id="{D47FB1D3-705C-4192-8700-18ED4C47C173}">
    <text>Balance Sheet</text>
  </threadedComment>
  <threadedComment ref="P1" dT="2025-09-10T17:30:58.57" personId="{D91F7B2C-70EB-4956-8F5C-8DF8A57FC58B}" id="{01DF3699-4907-4C7E-834D-634BFD22699B}">
    <text xml:space="preserve">Total Debt = Automotive Debt (ST + LT)+Financial Services Debt (ST + LT) </text>
  </threadedComment>
  <threadedComment ref="R1" dT="2025-09-10T18:22:25.08" personId="{D91F7B2C-70EB-4956-8F5C-8DF8A57FC58B}" id="{CB214342-6C1D-4728-8EBD-47F4BE6E6944}">
    <text>Capital Spending under CF from Investing activities (Statement of CF)
Enter positive in Excel file as formula for Free Cash Flow = CFO - Capex already accounts for the outflow</text>
  </threadedComment>
  <threadedComment ref="A2" dT="2025-09-10T17:44:04.25" personId="{D91F7B2C-70EB-4956-8F5C-8DF8A57FC58B}" id="{5AA1B015-ACDA-44B6-A91E-FCA567ED56B7}">
    <text>2015-2017 Segments: Automotive and Financial Services (+ Other)</text>
  </threadedComment>
  <threadedComment ref="A5" dT="2025-09-10T17:44:43.67" personId="{D91F7B2C-70EB-4956-8F5C-8DF8A57FC58B}" id="{EC4C7E92-5AAF-4647-8AD0-758EACC39DA5}">
    <text>Since 2018, Segments: 
- Automotive
- Ford Credit
- Mobility</text>
  </threadedComment>
  <threadedComment ref="A7" dT="2025-09-10T19:28:09.80" personId="{D91F7B2C-70EB-4956-8F5C-8DF8A57FC58B}" id="{F8DA564A-C87C-4D44-8F27-55E566EA1D5E}">
    <text>PANDEMIC</text>
  </threadedComment>
  <threadedComment ref="A8" dT="2025-09-10T19:02:00.79" personId="{D91F7B2C-70EB-4956-8F5C-8DF8A57FC58B}" id="{885EF375-332F-4520-9267-E6767F52DD99}">
    <text>Segments:
- Company Excluding Ford Credit
- For Credit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H3" sqref="H3"/>
    </sheetView>
  </sheetViews>
  <sheetFormatPr defaultRowHeight="15" x14ac:dyDescent="0.25"/>
  <cols>
    <col min="1" max="1" width="12.7109375" style="6" customWidth="1"/>
    <col min="2" max="18" width="11.5703125" style="7" customWidth="1"/>
  </cols>
  <sheetData>
    <row r="1" spans="1:18" s="11" customFormat="1" ht="45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0" t="s">
        <v>17</v>
      </c>
    </row>
    <row r="2" spans="1:18" x14ac:dyDescent="0.25">
      <c r="A2" s="16">
        <v>2015</v>
      </c>
      <c r="B2" s="12">
        <v>149.56</v>
      </c>
      <c r="C2" s="12">
        <v>124.45</v>
      </c>
      <c r="D2" s="12">
        <f>B2-142.58</f>
        <v>6.9799999999999898</v>
      </c>
      <c r="E2" s="12">
        <v>7.37</v>
      </c>
      <c r="F2" s="12">
        <f>G2+10.25</f>
        <v>11.02</v>
      </c>
      <c r="G2" s="12">
        <v>0.77</v>
      </c>
      <c r="H2" s="12">
        <v>2.88</v>
      </c>
      <c r="I2" s="12">
        <v>224.93</v>
      </c>
      <c r="J2" s="12">
        <v>196.17</v>
      </c>
      <c r="K2" s="12">
        <v>28.66</v>
      </c>
      <c r="L2" s="12">
        <v>3.95</v>
      </c>
      <c r="M2" s="12">
        <v>102.59</v>
      </c>
      <c r="N2" s="12">
        <v>8.32</v>
      </c>
      <c r="O2" s="12">
        <v>82.34</v>
      </c>
      <c r="P2" s="12">
        <f>1.78+41.2+11.06+78.82</f>
        <v>132.86000000000001</v>
      </c>
      <c r="Q2" s="12">
        <v>16.23</v>
      </c>
      <c r="R2" s="13">
        <v>7.2</v>
      </c>
    </row>
    <row r="3" spans="1:18" x14ac:dyDescent="0.25">
      <c r="A3" s="16">
        <v>2016</v>
      </c>
      <c r="B3" s="12">
        <v>151.80000000000001</v>
      </c>
      <c r="C3" s="12">
        <v>126.18</v>
      </c>
      <c r="D3" s="12">
        <f>B3-146.06</f>
        <v>5.7400000000000091</v>
      </c>
      <c r="E3" s="12">
        <v>4.6100000000000003</v>
      </c>
      <c r="F3" s="12">
        <f>G3+6.8</f>
        <v>7.6899999999999995</v>
      </c>
      <c r="G3" s="12">
        <v>0.89</v>
      </c>
      <c r="H3" s="12">
        <v>2.19</v>
      </c>
      <c r="I3" s="12">
        <v>237.95</v>
      </c>
      <c r="J3" s="12">
        <v>208.67</v>
      </c>
      <c r="K3" s="12">
        <v>29.19</v>
      </c>
      <c r="L3" s="12">
        <v>3.05</v>
      </c>
      <c r="M3" s="12">
        <v>108.46</v>
      </c>
      <c r="N3" s="12">
        <v>8.9</v>
      </c>
      <c r="O3" s="12">
        <v>90.28</v>
      </c>
      <c r="P3" s="12">
        <f>2.69+46.98+13.22+80.08</f>
        <v>142.97</v>
      </c>
      <c r="Q3" s="12">
        <v>19.850000000000001</v>
      </c>
      <c r="R3" s="13">
        <v>6.99</v>
      </c>
    </row>
    <row r="4" spans="1:18" x14ac:dyDescent="0.25">
      <c r="A4" s="16">
        <v>2017</v>
      </c>
      <c r="B4" s="12">
        <v>156.78</v>
      </c>
      <c r="C4" s="12">
        <v>131.33000000000001</v>
      </c>
      <c r="D4" s="12">
        <f>B4-151.96</f>
        <v>4.8199999999999932</v>
      </c>
      <c r="E4" s="12">
        <v>7.63</v>
      </c>
      <c r="F4" s="12">
        <f>G4+8.15</f>
        <v>9.2800000000000011</v>
      </c>
      <c r="G4" s="12">
        <v>1.1299999999999999</v>
      </c>
      <c r="H4" s="12">
        <v>0.52</v>
      </c>
      <c r="I4" s="12">
        <v>257.81</v>
      </c>
      <c r="J4" s="12">
        <v>222.79</v>
      </c>
      <c r="K4" s="12">
        <v>34.92</v>
      </c>
      <c r="L4" s="12">
        <v>3.48</v>
      </c>
      <c r="M4" s="12">
        <v>115.9</v>
      </c>
      <c r="N4" s="12">
        <v>10.28</v>
      </c>
      <c r="O4" s="12">
        <v>94.6</v>
      </c>
      <c r="P4" s="12">
        <f>3.36+48.27+12.58+90.09</f>
        <v>154.30000000000001</v>
      </c>
      <c r="Q4" s="12">
        <v>18.100000000000001</v>
      </c>
      <c r="R4" s="13">
        <v>7.05</v>
      </c>
    </row>
    <row r="5" spans="1:18" x14ac:dyDescent="0.25">
      <c r="A5" s="22">
        <v>2018</v>
      </c>
      <c r="B5" s="12">
        <v>160.34</v>
      </c>
      <c r="C5" s="12">
        <v>136.27000000000001</v>
      </c>
      <c r="D5" s="12">
        <v>3.2</v>
      </c>
      <c r="E5" s="12">
        <v>3.7</v>
      </c>
      <c r="F5" s="12">
        <f>Table1[[#This Row],[Interest Expense ($B)]]+4.35</f>
        <v>6.09</v>
      </c>
      <c r="G5" s="12">
        <f>1.17+0.57</f>
        <v>1.7399999999999998</v>
      </c>
      <c r="H5" s="12">
        <v>0.65</v>
      </c>
      <c r="I5" s="12">
        <v>256.54000000000002</v>
      </c>
      <c r="J5" s="12">
        <v>220.47</v>
      </c>
      <c r="K5" s="12">
        <v>35.97</v>
      </c>
      <c r="L5" s="12">
        <v>2.73</v>
      </c>
      <c r="M5" s="12">
        <v>114.65</v>
      </c>
      <c r="N5" s="12">
        <v>11.22</v>
      </c>
      <c r="O5" s="12">
        <v>95.57</v>
      </c>
      <c r="P5" s="12">
        <f>2.31+51.18+11.23+88.89+0.6</f>
        <v>154.21</v>
      </c>
      <c r="Q5" s="12">
        <v>15.02</v>
      </c>
      <c r="R5" s="13">
        <v>7.79</v>
      </c>
    </row>
    <row r="6" spans="1:18" x14ac:dyDescent="0.25">
      <c r="A6" s="22">
        <v>2019</v>
      </c>
      <c r="B6" s="12">
        <v>155.9</v>
      </c>
      <c r="C6" s="12">
        <v>134.69</v>
      </c>
      <c r="D6" s="12">
        <v>0.56999999999999995</v>
      </c>
      <c r="E6" s="12">
        <v>0.84</v>
      </c>
      <c r="F6" s="12">
        <f>Table1[[#This Row],[Interest Expense ($B)]]-0.64</f>
        <v>0.88999999999999979</v>
      </c>
      <c r="G6" s="12">
        <f>0.96+0.57</f>
        <v>1.5299999999999998</v>
      </c>
      <c r="H6" s="12">
        <v>-0.72</v>
      </c>
      <c r="I6" s="12">
        <v>258.54000000000002</v>
      </c>
      <c r="J6" s="12">
        <v>225.31</v>
      </c>
      <c r="K6" s="12">
        <v>33.229999999999997</v>
      </c>
      <c r="L6" s="12">
        <v>17.5</v>
      </c>
      <c r="M6" s="12">
        <v>114.05</v>
      </c>
      <c r="N6" s="12">
        <v>10.79</v>
      </c>
      <c r="O6" s="12">
        <v>98.13</v>
      </c>
      <c r="P6" s="12">
        <f>1.45+52.37+13.23+87.66</f>
        <v>154.70999999999998</v>
      </c>
      <c r="Q6" s="12">
        <v>17.64</v>
      </c>
      <c r="R6" s="13">
        <v>7.63</v>
      </c>
    </row>
    <row r="7" spans="1:18" x14ac:dyDescent="0.25">
      <c r="A7" s="23">
        <v>2020</v>
      </c>
      <c r="B7" s="12">
        <v>127.14</v>
      </c>
      <c r="C7" s="12">
        <v>112.75</v>
      </c>
      <c r="D7" s="12">
        <v>-4.41</v>
      </c>
      <c r="E7" s="12">
        <v>-1.28</v>
      </c>
      <c r="F7" s="12">
        <f>Table1[[#This Row],[Interest Expense ($B)]]-1.12</f>
        <v>0.94</v>
      </c>
      <c r="G7" s="12">
        <f>1.6+0.46</f>
        <v>2.06</v>
      </c>
      <c r="H7" s="12">
        <v>0.16</v>
      </c>
      <c r="I7" s="12">
        <v>267.26</v>
      </c>
      <c r="J7" s="12">
        <v>236.45</v>
      </c>
      <c r="K7" s="12">
        <v>30.81</v>
      </c>
      <c r="L7" s="12">
        <v>25.24</v>
      </c>
      <c r="M7" s="12">
        <v>116.74</v>
      </c>
      <c r="N7" s="12">
        <v>10.81</v>
      </c>
      <c r="O7" s="12">
        <v>97.19</v>
      </c>
      <c r="P7" s="12">
        <f>1.19+49.97+22.34+87.71</f>
        <v>161.20999999999998</v>
      </c>
      <c r="Q7" s="12">
        <v>24.27</v>
      </c>
      <c r="R7" s="13">
        <v>5.74</v>
      </c>
    </row>
    <row r="8" spans="1:18" x14ac:dyDescent="0.25">
      <c r="A8" s="17">
        <v>2021</v>
      </c>
      <c r="B8" s="12">
        <v>136.34</v>
      </c>
      <c r="C8" s="12">
        <v>114.65</v>
      </c>
      <c r="D8" s="12">
        <v>4.5199999999999996</v>
      </c>
      <c r="E8" s="12">
        <v>17.91</v>
      </c>
      <c r="F8" s="12">
        <f>Table1[[#This Row],[Interest Expense ($B)]]+17.78</f>
        <v>19.580000000000002</v>
      </c>
      <c r="G8" s="12">
        <v>1.8</v>
      </c>
      <c r="H8" s="12">
        <v>-0.13</v>
      </c>
      <c r="I8" s="12">
        <v>257.04000000000002</v>
      </c>
      <c r="J8" s="12">
        <v>208.41</v>
      </c>
      <c r="K8" s="12">
        <v>48.62</v>
      </c>
      <c r="L8" s="12">
        <v>20.54</v>
      </c>
      <c r="M8" s="12">
        <v>109</v>
      </c>
      <c r="N8" s="12">
        <v>12.07</v>
      </c>
      <c r="O8" s="12">
        <v>90.73</v>
      </c>
      <c r="P8" s="12">
        <f>3.18+46.52+17.2+71.2</f>
        <v>138.10000000000002</v>
      </c>
      <c r="Q8" s="12">
        <v>15.79</v>
      </c>
      <c r="R8" s="13">
        <v>6.23</v>
      </c>
    </row>
    <row r="9" spans="1:18" x14ac:dyDescent="0.25">
      <c r="A9" s="17">
        <v>2022</v>
      </c>
      <c r="B9" s="12">
        <v>158.06</v>
      </c>
      <c r="C9" s="12">
        <v>134.4</v>
      </c>
      <c r="D9" s="12">
        <v>6.28</v>
      </c>
      <c r="E9" s="12">
        <v>-2.15</v>
      </c>
      <c r="F9" s="12">
        <f>Table1[[#This Row],[Interest Expense ($B)]]-3.02</f>
        <v>-1.76</v>
      </c>
      <c r="G9" s="12">
        <v>1.26</v>
      </c>
      <c r="H9" s="12">
        <v>-0.86</v>
      </c>
      <c r="I9" s="12">
        <v>255.88</v>
      </c>
      <c r="J9" s="12">
        <v>212.72</v>
      </c>
      <c r="K9" s="12">
        <v>43.17</v>
      </c>
      <c r="L9" s="12">
        <v>25.13</v>
      </c>
      <c r="M9" s="12">
        <v>116.48</v>
      </c>
      <c r="N9" s="12">
        <v>14.08</v>
      </c>
      <c r="O9" s="12">
        <v>96.87</v>
      </c>
      <c r="P9" s="12">
        <f>0.73+49.43+19.2+69.61</f>
        <v>138.97</v>
      </c>
      <c r="Q9" s="12">
        <v>6.85</v>
      </c>
      <c r="R9" s="13">
        <v>6.87</v>
      </c>
    </row>
    <row r="10" spans="1:18" x14ac:dyDescent="0.25">
      <c r="A10" s="17">
        <v>2023</v>
      </c>
      <c r="B10" s="12">
        <v>176.19</v>
      </c>
      <c r="C10" s="12">
        <v>150.55000000000001</v>
      </c>
      <c r="D10" s="12">
        <v>5.46</v>
      </c>
      <c r="E10" s="12">
        <v>4.33</v>
      </c>
      <c r="F10" s="12">
        <f>Table1[[#This Row],[Interest Expense ($B)]]+3.97</f>
        <v>5.2700000000000005</v>
      </c>
      <c r="G10" s="12">
        <v>1.3</v>
      </c>
      <c r="H10" s="12">
        <v>-0.36</v>
      </c>
      <c r="I10" s="12">
        <v>273.31</v>
      </c>
      <c r="J10" s="12">
        <v>230.51</v>
      </c>
      <c r="K10" s="12">
        <v>42.8</v>
      </c>
      <c r="L10" s="12">
        <v>24.86</v>
      </c>
      <c r="M10" s="12">
        <v>121.48</v>
      </c>
      <c r="N10" s="12">
        <v>15.65</v>
      </c>
      <c r="O10" s="12">
        <v>101.53</v>
      </c>
      <c r="P10" s="12">
        <f>0.48+49.19+19.47+80.1</f>
        <v>149.23999999999998</v>
      </c>
      <c r="Q10" s="12">
        <v>14.92</v>
      </c>
      <c r="R10" s="13">
        <v>8.24</v>
      </c>
    </row>
    <row r="11" spans="1:18" x14ac:dyDescent="0.25">
      <c r="A11" s="18">
        <v>2024</v>
      </c>
      <c r="B11" s="14">
        <v>184.99</v>
      </c>
      <c r="C11" s="14">
        <v>158.43</v>
      </c>
      <c r="D11" s="14">
        <v>5.22</v>
      </c>
      <c r="E11" s="14">
        <v>5.89</v>
      </c>
      <c r="F11" s="14">
        <f>Table1[[#This Row],[Interest Expense ($B)]]+7.23</f>
        <v>8.3500000000000014</v>
      </c>
      <c r="G11" s="14">
        <v>1.1200000000000001</v>
      </c>
      <c r="H11" s="14">
        <v>1.34</v>
      </c>
      <c r="I11" s="14">
        <v>285.2</v>
      </c>
      <c r="J11" s="14">
        <v>240.34</v>
      </c>
      <c r="K11" s="14">
        <v>44.86</v>
      </c>
      <c r="L11" s="14">
        <v>22.94</v>
      </c>
      <c r="M11" s="14">
        <v>124.47</v>
      </c>
      <c r="N11" s="14">
        <v>14.95</v>
      </c>
      <c r="O11" s="14">
        <v>106.86</v>
      </c>
      <c r="P11" s="14">
        <f>1.76+53.19+18.9+84.68</f>
        <v>158.53</v>
      </c>
      <c r="Q11" s="14">
        <v>15.42</v>
      </c>
      <c r="R11" s="15">
        <v>8.68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G1" sqref="G1"/>
    </sheetView>
  </sheetViews>
  <sheetFormatPr defaultRowHeight="15" x14ac:dyDescent="0.25"/>
  <cols>
    <col min="1" max="13" width="16.28515625" style="7" customWidth="1"/>
  </cols>
  <sheetData>
    <row r="1" spans="1:13" s="11" customFormat="1" ht="36.75" customHeight="1" x14ac:dyDescent="0.25">
      <c r="A1" s="9" t="s">
        <v>0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</row>
    <row r="2" spans="1:13" x14ac:dyDescent="0.25">
      <c r="A2" s="21">
        <v>2015</v>
      </c>
      <c r="B2" s="19">
        <f>IFERROR((Inputs!B2-Inputs!C2)/Inputs!B2,"")</f>
        <v>0.16789248462155656</v>
      </c>
      <c r="C2" s="19">
        <f>IFERROR(Inputs!D2/Inputs!B2,"")</f>
        <v>4.6670232682535367E-2</v>
      </c>
      <c r="D2" s="19">
        <f>IFERROR(Inputs!E2/Inputs!B2,"")</f>
        <v>4.9277881786573947E-2</v>
      </c>
      <c r="E2" s="19">
        <f>IFERROR(Inputs!E2/Inputs!I2,"")</f>
        <v>3.2765749344240432E-2</v>
      </c>
      <c r="F2" s="19">
        <f>IFERROR(Inputs!E2/Inputs!K2,"")</f>
        <v>0.25715282623866015</v>
      </c>
      <c r="G2" s="20">
        <f>IFERROR(Inputs!M2/Inputs!O2,"")</f>
        <v>1.245931503521982</v>
      </c>
      <c r="H2" s="20">
        <f>IFERROR((Inputs!M2-Inputs!N2)/Inputs!O2,"")</f>
        <v>1.1448870536798641</v>
      </c>
      <c r="I2" s="20">
        <f>IFERROR(Inputs!P2/Inputs!K2,"")</f>
        <v>4.6357292393579907</v>
      </c>
      <c r="J2" s="20">
        <f>IFERROR(Inputs!P2/Inputs!I2,"")</f>
        <v>0.59067265371448896</v>
      </c>
      <c r="K2" s="20">
        <f>IFERROR(Inputs!F2/Inputs!G2,"")</f>
        <v>14.311688311688311</v>
      </c>
      <c r="L2" s="20">
        <f>IFERROR(Inputs!B2/Inputs!I2,"")</f>
        <v>0.66491797448094958</v>
      </c>
      <c r="M2" s="20">
        <f>IFERROR(Inputs!Q2-Inputs!R2,"")</f>
        <v>9.0300000000000011</v>
      </c>
    </row>
    <row r="3" spans="1:13" x14ac:dyDescent="0.25">
      <c r="A3" s="21">
        <v>2016</v>
      </c>
      <c r="B3" s="19">
        <f>IFERROR((Inputs!B3-Inputs!C3)/Inputs!B3,"")</f>
        <v>0.16877470355731228</v>
      </c>
      <c r="C3" s="19">
        <f>IFERROR(Inputs!D3/Inputs!B3,"")</f>
        <v>3.7812911725955259E-2</v>
      </c>
      <c r="D3" s="19">
        <f>IFERROR(Inputs!E3/Inputs!B3,"")</f>
        <v>3.0368906455862977E-2</v>
      </c>
      <c r="E3" s="19">
        <f>IFERROR(Inputs!E3/Inputs!I3,"")</f>
        <v>1.9373818028997691E-2</v>
      </c>
      <c r="F3" s="19">
        <f>IFERROR(Inputs!E3/Inputs!K3,"")</f>
        <v>0.15793079821856801</v>
      </c>
      <c r="G3" s="20">
        <f>IFERROR(Inputs!M3/Inputs!O3,"")</f>
        <v>1.2013735046521932</v>
      </c>
      <c r="H3" s="20">
        <f>IFERROR((Inputs!M3-Inputs!N3)/Inputs!O3,"")</f>
        <v>1.1027913159060698</v>
      </c>
      <c r="I3" s="20">
        <f>IFERROR(Inputs!P3/Inputs!K3,"")</f>
        <v>4.8979102432339836</v>
      </c>
      <c r="J3" s="20">
        <f>IFERROR(Inputs!P3/Inputs!I3,"")</f>
        <v>0.60084051271275485</v>
      </c>
      <c r="K3" s="20">
        <f>IFERROR(Inputs!F3/Inputs!G3,"")</f>
        <v>8.6404494382022463</v>
      </c>
      <c r="L3" s="20">
        <f>IFERROR(Inputs!B3/Inputs!I3,"")</f>
        <v>0.6379491489808784</v>
      </c>
      <c r="M3" s="20">
        <f>IFERROR(Inputs!Q3-Inputs!R3,"")</f>
        <v>12.860000000000001</v>
      </c>
    </row>
    <row r="4" spans="1:13" x14ac:dyDescent="0.25">
      <c r="A4" s="21">
        <v>2017</v>
      </c>
      <c r="B4" s="19">
        <f>IFERROR((Inputs!B4-Inputs!C4)/Inputs!B4,"")</f>
        <v>0.16232937874728912</v>
      </c>
      <c r="C4" s="19">
        <f>IFERROR(Inputs!D4/Inputs!B4,"")</f>
        <v>3.0743717310881446E-2</v>
      </c>
      <c r="D4" s="19">
        <f>IFERROR(Inputs!E4/Inputs!B4,"")</f>
        <v>4.8666921801250158E-2</v>
      </c>
      <c r="E4" s="19">
        <f>IFERROR(Inputs!E4/Inputs!I4,"")</f>
        <v>2.959543850122183E-2</v>
      </c>
      <c r="F4" s="19">
        <f>IFERROR(Inputs!E4/Inputs!K4,"")</f>
        <v>0.21849942726231383</v>
      </c>
      <c r="G4" s="20">
        <f>IFERROR(Inputs!M4/Inputs!O4,"")</f>
        <v>1.2251585623678649</v>
      </c>
      <c r="H4" s="20">
        <f>IFERROR((Inputs!M4-Inputs!N4)/Inputs!O4,"")</f>
        <v>1.1164904862579281</v>
      </c>
      <c r="I4" s="20">
        <f>IFERROR(Inputs!P4/Inputs!K4,"")</f>
        <v>4.4186712485681561</v>
      </c>
      <c r="J4" s="20">
        <f>IFERROR(Inputs!P4/Inputs!I4,"")</f>
        <v>0.59850277336022661</v>
      </c>
      <c r="K4" s="20">
        <f>IFERROR(Inputs!F4/Inputs!G4,"")</f>
        <v>8.2123893805309756</v>
      </c>
      <c r="L4" s="20">
        <f>IFERROR(Inputs!B4/Inputs!I4,"")</f>
        <v>0.60812226057949648</v>
      </c>
      <c r="M4" s="20">
        <f>IFERROR(Inputs!Q4-Inputs!R4,"")</f>
        <v>11.05</v>
      </c>
    </row>
    <row r="5" spans="1:13" x14ac:dyDescent="0.25">
      <c r="A5" s="21">
        <v>2018</v>
      </c>
      <c r="B5" s="19">
        <f>IFERROR((Inputs!B5-Inputs!C5)/Inputs!B5,"")</f>
        <v>0.15011849819134335</v>
      </c>
      <c r="C5" s="19">
        <f>IFERROR(Inputs!D5/Inputs!B5,"")</f>
        <v>1.995759012099289E-2</v>
      </c>
      <c r="D5" s="19">
        <f>IFERROR(Inputs!E5/Inputs!B5,"")</f>
        <v>2.307596357739803E-2</v>
      </c>
      <c r="E5" s="19">
        <f>IFERROR(Inputs!E5/Inputs!I5,"")</f>
        <v>1.4422702112730957E-2</v>
      </c>
      <c r="F5" s="19">
        <f>IFERROR(Inputs!E5/Inputs!K5,"")</f>
        <v>0.10286349735891021</v>
      </c>
      <c r="G5" s="20">
        <f>IFERROR(Inputs!M5/Inputs!O5,"")</f>
        <v>1.1996442398242129</v>
      </c>
      <c r="H5" s="20">
        <f>IFERROR((Inputs!M5-Inputs!N5)/Inputs!O5,"")</f>
        <v>1.0822433818143771</v>
      </c>
      <c r="I5" s="20">
        <f>IFERROR(Inputs!P5/Inputs!K5,"")</f>
        <v>4.2871837642479846</v>
      </c>
      <c r="J5" s="20">
        <f>IFERROR(Inputs!P5/Inputs!I5,"")</f>
        <v>0.60111483589303816</v>
      </c>
      <c r="K5" s="20">
        <f>IFERROR(Inputs!F5/Inputs!G5,"")</f>
        <v>3.5000000000000004</v>
      </c>
      <c r="L5" s="20">
        <f>IFERROR(Inputs!B5/Inputs!I5,"")</f>
        <v>0.62500974506899509</v>
      </c>
      <c r="M5" s="20">
        <f>IFERROR(Inputs!Q5-Inputs!R5,"")</f>
        <v>7.2299999999999995</v>
      </c>
    </row>
    <row r="6" spans="1:13" x14ac:dyDescent="0.25">
      <c r="A6" s="21">
        <v>2019</v>
      </c>
      <c r="B6" s="19">
        <f>IFERROR((Inputs!B6-Inputs!C6)/Inputs!B6,"")</f>
        <v>0.13604874919820403</v>
      </c>
      <c r="C6" s="19">
        <f>IFERROR(Inputs!D6/Inputs!B6,"")</f>
        <v>3.6561898652982677E-3</v>
      </c>
      <c r="D6" s="19">
        <f>IFERROR(Inputs!E6/Inputs!B6,"")</f>
        <v>5.3880692751763944E-3</v>
      </c>
      <c r="E6" s="19">
        <f>IFERROR(Inputs!E6/Inputs!I6,"")</f>
        <v>3.2490136922719887E-3</v>
      </c>
      <c r="F6" s="19">
        <f>IFERROR(Inputs!E6/Inputs!K6,"")</f>
        <v>2.5278362925067712E-2</v>
      </c>
      <c r="G6" s="20">
        <f>IFERROR(Inputs!M6/Inputs!O6,"")</f>
        <v>1.1622337715275655</v>
      </c>
      <c r="H6" s="20">
        <f>IFERROR((Inputs!M6-Inputs!N6)/Inputs!O6,"")</f>
        <v>1.0522775909507796</v>
      </c>
      <c r="I6" s="20">
        <f>IFERROR(Inputs!P6/Inputs!K6,"")</f>
        <v>4.6557327715919348</v>
      </c>
      <c r="J6" s="20">
        <f>IFERROR(Inputs!P6/Inputs!I6,"")</f>
        <v>0.59839870039452292</v>
      </c>
      <c r="K6" s="20">
        <f>IFERROR(Inputs!F6/Inputs!G6,"")</f>
        <v>0.58169934640522869</v>
      </c>
      <c r="L6" s="20">
        <f>IFERROR(Inputs!B6/Inputs!I6,"")</f>
        <v>0.60300146979190838</v>
      </c>
      <c r="M6" s="20">
        <f>IFERROR(Inputs!Q6-Inputs!R6,"")</f>
        <v>10.010000000000002</v>
      </c>
    </row>
    <row r="7" spans="1:13" x14ac:dyDescent="0.25">
      <c r="A7" s="21">
        <v>2020</v>
      </c>
      <c r="B7" s="19">
        <f>IFERROR((Inputs!B7-Inputs!C7)/Inputs!B7,"")</f>
        <v>0.1131823187037911</v>
      </c>
      <c r="C7" s="19">
        <f>IFERROR(Inputs!D7/Inputs!B7,"")</f>
        <v>-3.4686172722982543E-2</v>
      </c>
      <c r="D7" s="19">
        <f>IFERROR(Inputs!E7/Inputs!B7,"")</f>
        <v>-1.006764196948246E-2</v>
      </c>
      <c r="E7" s="19">
        <f>IFERROR(Inputs!E7/Inputs!I7,"")</f>
        <v>-4.7893437102447057E-3</v>
      </c>
      <c r="F7" s="19">
        <f>IFERROR(Inputs!E7/Inputs!K7,"")</f>
        <v>-4.1544952937358E-2</v>
      </c>
      <c r="G7" s="20">
        <f>IFERROR(Inputs!M7/Inputs!O7,"")</f>
        <v>1.2011523819322976</v>
      </c>
      <c r="H7" s="20">
        <f>IFERROR((Inputs!M7-Inputs!N7)/Inputs!O7,"")</f>
        <v>1.0899269472167918</v>
      </c>
      <c r="I7" s="20">
        <f>IFERROR(Inputs!P7/Inputs!K7,"")</f>
        <v>5.2323920804933461</v>
      </c>
      <c r="J7" s="20">
        <f>IFERROR(Inputs!P7/Inputs!I7,"")</f>
        <v>0.60319539025667879</v>
      </c>
      <c r="K7" s="20">
        <f>IFERROR(Inputs!F7/Inputs!G7,"")</f>
        <v>0.45631067961165045</v>
      </c>
      <c r="L7" s="20">
        <f>IFERROR(Inputs!B7/Inputs!I7,"")</f>
        <v>0.47571653071914993</v>
      </c>
      <c r="M7" s="20">
        <f>IFERROR(Inputs!Q7-Inputs!R7,"")</f>
        <v>18.53</v>
      </c>
    </row>
    <row r="8" spans="1:13" x14ac:dyDescent="0.25">
      <c r="A8" s="21">
        <v>2021</v>
      </c>
      <c r="B8" s="19">
        <f>IFERROR((Inputs!B8-Inputs!C8)/Inputs!B8,"")</f>
        <v>0.15908757517969779</v>
      </c>
      <c r="C8" s="19">
        <f>IFERROR(Inputs!D8/Inputs!B8,"")</f>
        <v>3.3152413084934718E-2</v>
      </c>
      <c r="D8" s="19">
        <f>IFERROR(Inputs!E8/Inputs!B8,"")</f>
        <v>0.13136276954672144</v>
      </c>
      <c r="E8" s="19">
        <f>IFERROR(Inputs!E8/Inputs!I8,"")</f>
        <v>6.9677871148459372E-2</v>
      </c>
      <c r="F8" s="19">
        <f>IFERROR(Inputs!E8/Inputs!K8,"")</f>
        <v>0.36836692719045661</v>
      </c>
      <c r="G8" s="20">
        <f>IFERROR(Inputs!M8/Inputs!O8,"")</f>
        <v>1.2013666923839965</v>
      </c>
      <c r="H8" s="20">
        <f>IFERROR((Inputs!M8-Inputs!N8)/Inputs!O8,"")</f>
        <v>1.0683346191998238</v>
      </c>
      <c r="I8" s="20">
        <f>IFERROR(Inputs!P8/Inputs!K8,"")</f>
        <v>2.8403948992184294</v>
      </c>
      <c r="J8" s="20">
        <f>IFERROR(Inputs!P8/Inputs!I8,"")</f>
        <v>0.53727046374105203</v>
      </c>
      <c r="K8" s="20">
        <f>IFERROR(Inputs!F8/Inputs!G8,"")</f>
        <v>10.877777777777778</v>
      </c>
      <c r="L8" s="20">
        <f>IFERROR(Inputs!B8/Inputs!I8,"")</f>
        <v>0.53042328042328035</v>
      </c>
      <c r="M8" s="20">
        <f>IFERROR(Inputs!Q8-Inputs!R8,"")</f>
        <v>9.5599999999999987</v>
      </c>
    </row>
    <row r="9" spans="1:13" x14ac:dyDescent="0.25">
      <c r="A9" s="21">
        <v>2022</v>
      </c>
      <c r="B9" s="19">
        <f>IFERROR((Inputs!B9-Inputs!C9)/Inputs!B9,"")</f>
        <v>0.14968999114260406</v>
      </c>
      <c r="C9" s="19">
        <f>IFERROR(Inputs!D9/Inputs!B9,"")</f>
        <v>3.9731747437681895E-2</v>
      </c>
      <c r="D9" s="19">
        <f>IFERROR(Inputs!E9/Inputs!B9,"")</f>
        <v>-1.3602429457168164E-2</v>
      </c>
      <c r="E9" s="19">
        <f>IFERROR(Inputs!E9/Inputs!I9,"")</f>
        <v>-8.4023761138033448E-3</v>
      </c>
      <c r="F9" s="19">
        <f>IFERROR(Inputs!E9/Inputs!K9,"")</f>
        <v>-4.9803104007412551E-2</v>
      </c>
      <c r="G9" s="20">
        <f>IFERROR(Inputs!M9/Inputs!O9,"")</f>
        <v>1.20243625477444</v>
      </c>
      <c r="H9" s="20">
        <f>IFERROR((Inputs!M9-Inputs!N9)/Inputs!O9,"")</f>
        <v>1.057086817384123</v>
      </c>
      <c r="I9" s="20">
        <f>IFERROR(Inputs!P9/Inputs!K9,"")</f>
        <v>3.2191336576326153</v>
      </c>
      <c r="J9" s="20">
        <f>IFERROR(Inputs!P9/Inputs!I9,"")</f>
        <v>0.54310614350476782</v>
      </c>
      <c r="K9" s="20">
        <f>IFERROR(Inputs!F9/Inputs!G9,"")</f>
        <v>-1.3968253968253967</v>
      </c>
      <c r="L9" s="20">
        <f>IFERROR(Inputs!B9/Inputs!I9,"")</f>
        <v>0.61771142723151484</v>
      </c>
      <c r="M9" s="20">
        <f>IFERROR(Inputs!Q9-Inputs!R9,"")</f>
        <v>-2.0000000000000462E-2</v>
      </c>
    </row>
    <row r="10" spans="1:13" x14ac:dyDescent="0.25">
      <c r="A10" s="21">
        <v>2023</v>
      </c>
      <c r="B10" s="19">
        <f>IFERROR((Inputs!B10-Inputs!C10)/Inputs!B10,"")</f>
        <v>0.14552471763437191</v>
      </c>
      <c r="C10" s="19">
        <f>IFERROR(Inputs!D10/Inputs!B10,"")</f>
        <v>3.098927294398093E-2</v>
      </c>
      <c r="D10" s="19">
        <f>IFERROR(Inputs!E10/Inputs!B10,"")</f>
        <v>2.457574209660026E-2</v>
      </c>
      <c r="E10" s="19">
        <f>IFERROR(Inputs!E10/Inputs!I10,"")</f>
        <v>1.5842815850133547E-2</v>
      </c>
      <c r="F10" s="19">
        <f>IFERROR(Inputs!E10/Inputs!K10,"")</f>
        <v>0.10116822429906543</v>
      </c>
      <c r="G10" s="20">
        <f>IFERROR(Inputs!M10/Inputs!O10,"")</f>
        <v>1.1964936471978727</v>
      </c>
      <c r="H10" s="20">
        <f>IFERROR((Inputs!M10-Inputs!N10)/Inputs!O10,"")</f>
        <v>1.0423520141830001</v>
      </c>
      <c r="I10" s="20">
        <f>IFERROR(Inputs!P10/Inputs!K10,"")</f>
        <v>3.4869158878504671</v>
      </c>
      <c r="J10" s="20">
        <f>IFERROR(Inputs!P10/Inputs!I10,"")</f>
        <v>0.54604661373531882</v>
      </c>
      <c r="K10" s="20">
        <f>IFERROR(Inputs!F10/Inputs!G10,"")</f>
        <v>4.0538461538461537</v>
      </c>
      <c r="L10" s="20">
        <f>IFERROR(Inputs!B10/Inputs!I10,"")</f>
        <v>0.64465259229446414</v>
      </c>
      <c r="M10" s="20">
        <f>IFERROR(Inputs!Q10-Inputs!R10,"")</f>
        <v>6.68</v>
      </c>
    </row>
    <row r="11" spans="1:13" x14ac:dyDescent="0.25">
      <c r="A11" s="21">
        <v>2024</v>
      </c>
      <c r="B11" s="19">
        <f>IFERROR((Inputs!B11-Inputs!C11)/Inputs!B11,"")</f>
        <v>0.14357532839612952</v>
      </c>
      <c r="C11" s="19">
        <f>IFERROR(Inputs!D11/Inputs!B11,"")</f>
        <v>2.8217741499540514E-2</v>
      </c>
      <c r="D11" s="19">
        <f>IFERROR(Inputs!E11/Inputs!B11,"")</f>
        <v>3.1839558895075407E-2</v>
      </c>
      <c r="E11" s="19">
        <f>IFERROR(Inputs!E11/Inputs!I11,"")</f>
        <v>2.0652173913043477E-2</v>
      </c>
      <c r="F11" s="19">
        <f>IFERROR(Inputs!E11/Inputs!K11,"")</f>
        <v>0.13129736959429336</v>
      </c>
      <c r="G11" s="20">
        <f>IFERROR(Inputs!M11/Inputs!O11,"")</f>
        <v>1.1647950589556428</v>
      </c>
      <c r="H11" s="20">
        <f>IFERROR((Inputs!M11-Inputs!N11)/Inputs!O11,"")</f>
        <v>1.0248923825566161</v>
      </c>
      <c r="I11" s="20">
        <f>IFERROR(Inputs!P11/Inputs!K11,"")</f>
        <v>3.533883192153366</v>
      </c>
      <c r="J11" s="20">
        <f>IFERROR(Inputs!P11/Inputs!I11,"")</f>
        <v>0.55585553997194959</v>
      </c>
      <c r="K11" s="20">
        <f>IFERROR(Inputs!F11/Inputs!G11,"")</f>
        <v>7.4553571428571432</v>
      </c>
      <c r="L11" s="20">
        <f>IFERROR(Inputs!B11/Inputs!I11,"")</f>
        <v>0.64863253856942504</v>
      </c>
      <c r="M11" s="20">
        <f>IFERROR(Inputs!Q11-Inputs!R11,"")</f>
        <v>6.74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"/>
  <sheetViews>
    <sheetView workbookViewId="0">
      <selection activeCell="M12" sqref="M12"/>
    </sheetView>
  </sheetViews>
  <sheetFormatPr defaultRowHeight="15" x14ac:dyDescent="0.25"/>
  <sheetData>
    <row r="1" spans="1:13" x14ac:dyDescent="0.25">
      <c r="A1" s="5"/>
    </row>
    <row r="3" spans="1:13" x14ac:dyDescent="0.25">
      <c r="M3" t="s">
        <v>38</v>
      </c>
    </row>
    <row r="5" spans="1:13" x14ac:dyDescent="0.25">
      <c r="M5" s="2" t="s">
        <v>39</v>
      </c>
    </row>
    <row r="7" spans="1:13" x14ac:dyDescent="0.25">
      <c r="M7" s="2" t="s">
        <v>40</v>
      </c>
    </row>
    <row r="9" spans="1:13" x14ac:dyDescent="0.25">
      <c r="M9" t="s">
        <v>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16" sqref="B16"/>
    </sheetView>
  </sheetViews>
  <sheetFormatPr defaultRowHeight="15" x14ac:dyDescent="0.25"/>
  <cols>
    <col min="1" max="1" width="12.7109375" customWidth="1"/>
    <col min="2" max="2" width="80.7109375" customWidth="1"/>
  </cols>
  <sheetData>
    <row r="1" spans="1:2" x14ac:dyDescent="0.25">
      <c r="A1" s="3" t="s">
        <v>0</v>
      </c>
      <c r="B1" s="3" t="s">
        <v>25</v>
      </c>
    </row>
    <row r="2" spans="1:2" x14ac:dyDescent="0.25">
      <c r="A2" s="1">
        <v>2015</v>
      </c>
      <c r="B2" s="4"/>
    </row>
    <row r="3" spans="1:2" x14ac:dyDescent="0.25">
      <c r="A3" s="1">
        <v>2016</v>
      </c>
      <c r="B3" s="4"/>
    </row>
    <row r="4" spans="1:2" x14ac:dyDescent="0.25">
      <c r="A4" s="1">
        <v>2017</v>
      </c>
      <c r="B4" s="4"/>
    </row>
    <row r="5" spans="1:2" x14ac:dyDescent="0.25">
      <c r="A5" s="1">
        <v>2018</v>
      </c>
      <c r="B5" s="4"/>
    </row>
    <row r="6" spans="1:2" x14ac:dyDescent="0.25">
      <c r="A6" s="1">
        <v>2019</v>
      </c>
      <c r="B6" s="4"/>
    </row>
    <row r="7" spans="1:2" x14ac:dyDescent="0.25">
      <c r="A7" s="1">
        <v>2020</v>
      </c>
      <c r="B7" s="4"/>
    </row>
    <row r="8" spans="1:2" x14ac:dyDescent="0.25">
      <c r="A8" s="1">
        <v>2021</v>
      </c>
      <c r="B8" s="4"/>
    </row>
    <row r="9" spans="1:2" x14ac:dyDescent="0.25">
      <c r="A9" s="1">
        <v>2022</v>
      </c>
      <c r="B9" s="4"/>
    </row>
    <row r="10" spans="1:2" x14ac:dyDescent="0.25">
      <c r="A10" s="1">
        <v>2023</v>
      </c>
      <c r="B10" s="4"/>
    </row>
    <row r="11" spans="1:2" x14ac:dyDescent="0.25">
      <c r="A11" s="1">
        <v>2024</v>
      </c>
      <c r="B1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34998626667073579"/>
  </sheetPr>
  <dimension ref="A1:A8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2" t="s">
        <v>18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21</v>
      </c>
    </row>
    <row r="6" spans="1:1" x14ac:dyDescent="0.25">
      <c r="A6" t="s">
        <v>22</v>
      </c>
    </row>
    <row r="7" spans="1:1" x14ac:dyDescent="0.25">
      <c r="A7" t="s">
        <v>23</v>
      </c>
    </row>
    <row r="8" spans="1:1" x14ac:dyDescent="0.25">
      <c r="A8" t="s">
        <v>24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Ratios</vt:lpstr>
      <vt:lpstr>Charts</vt:lpstr>
      <vt:lpstr>Notes</vt:lpstr>
      <vt:lpstr>Guidance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Nguyen</dc:creator>
  <cp:lastModifiedBy>Nguyen, Trixie</cp:lastModifiedBy>
  <dcterms:created xsi:type="dcterms:W3CDTF">2025-09-10T16:24:22Z</dcterms:created>
  <dcterms:modified xsi:type="dcterms:W3CDTF">2025-09-10T20:05:21Z</dcterms:modified>
</cp:coreProperties>
</file>