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02"/>
  <workbookPr defaultThemeVersion="124226"/>
  <mc:AlternateContent xmlns:mc="http://schemas.openxmlformats.org/markup-compatibility/2006">
    <mc:Choice Requires="x15">
      <x15ac:absPath xmlns:x15ac="http://schemas.microsoft.com/office/spreadsheetml/2010/11/ac" url="C:\Users\pruth\Desktop\"/>
    </mc:Choice>
  </mc:AlternateContent>
  <xr:revisionPtr revIDLastSave="0" documentId="11_47EC4D0CAD0C227543E03465823648B63DB5ECE0" xr6:coauthVersionLast="47" xr6:coauthVersionMax="47" xr10:uidLastSave="{00000000-0000-0000-0000-000000000000}"/>
  <bookViews>
    <workbookView xWindow="0" yWindow="0" windowWidth="20490" windowHeight="7380" xr2:uid="{00000000-000D-0000-FFFF-FFFF00000000}"/>
  </bookViews>
  <sheets>
    <sheet name="Quotation Summary" sheetId="6" r:id="rId1"/>
    <sheet name="Quotation" sheetId="4" r:id="rId2"/>
    <sheet name="FBC" sheetId="5" state="hidden" r:id="rId3"/>
  </sheets>
  <calcPr calcId="171027"/>
</workbook>
</file>

<file path=xl/calcChain.xml><?xml version="1.0" encoding="utf-8"?>
<calcChain xmlns="http://schemas.openxmlformats.org/spreadsheetml/2006/main">
  <c r="K13" i="6" l="1"/>
  <c r="M6" i="4"/>
  <c r="D25" i="6" l="1"/>
  <c r="J9" i="4" l="1"/>
  <c r="J8" i="4"/>
  <c r="J12" i="4" l="1"/>
  <c r="H11" i="6" l="1"/>
  <c r="J7" i="4"/>
  <c r="J10" i="4"/>
  <c r="J11" i="4"/>
  <c r="J6" i="4" l="1"/>
  <c r="G14" i="4" l="1"/>
  <c r="G15" i="4" s="1"/>
  <c r="C16" i="4"/>
  <c r="C17" i="4"/>
  <c r="J15" i="4" l="1"/>
  <c r="H13" i="6" l="1"/>
  <c r="H15" i="6" l="1"/>
  <c r="J14" i="4"/>
  <c r="J5" i="4"/>
  <c r="J13" i="4" s="1"/>
  <c r="G17" i="4" l="1"/>
  <c r="C19" i="4"/>
  <c r="B7" i="5" s="1"/>
  <c r="C8" i="4" l="1"/>
  <c r="C6" i="5" l="1"/>
  <c r="B8" i="5"/>
  <c r="C11" i="4" l="1"/>
  <c r="I4" i="4" l="1"/>
  <c r="J4" i="4" s="1"/>
  <c r="K4" i="4" s="1"/>
  <c r="O8" i="4"/>
  <c r="M5" i="4" l="1"/>
  <c r="C14" i="4" l="1"/>
  <c r="C13" i="4"/>
  <c r="F8" i="4"/>
  <c r="M7" i="4"/>
  <c r="M8" i="4" s="1"/>
  <c r="M31" i="4" l="1"/>
  <c r="H31" i="4"/>
  <c r="I31" i="4" s="1"/>
  <c r="O31" i="4" s="1"/>
  <c r="C12" i="4"/>
  <c r="U23" i="4" s="1"/>
  <c r="U90" i="4" l="1"/>
  <c r="U74" i="4"/>
  <c r="U72" i="4"/>
  <c r="U89" i="4"/>
  <c r="U73" i="4"/>
  <c r="U67" i="4"/>
  <c r="U88" i="4"/>
  <c r="U81" i="4"/>
  <c r="U75" i="4"/>
  <c r="U80" i="4"/>
  <c r="U77" i="4"/>
  <c r="U68" i="4"/>
  <c r="U86" i="4"/>
  <c r="U70" i="4"/>
  <c r="U87" i="4"/>
  <c r="U85" i="4"/>
  <c r="U69" i="4"/>
  <c r="U83" i="4"/>
  <c r="U82" i="4"/>
  <c r="U79" i="4"/>
  <c r="U84" i="4"/>
  <c r="U78" i="4"/>
  <c r="U71" i="4"/>
  <c r="U76" i="4"/>
  <c r="U65" i="4"/>
  <c r="U61" i="4"/>
  <c r="U57" i="4"/>
  <c r="U53" i="4"/>
  <c r="U49" i="4"/>
  <c r="U45" i="4"/>
  <c r="U42" i="4"/>
  <c r="U36" i="4"/>
  <c r="U32" i="4"/>
  <c r="U63" i="4"/>
  <c r="U55" i="4"/>
  <c r="U47" i="4"/>
  <c r="U40" i="4"/>
  <c r="U34" i="4"/>
  <c r="U64" i="4"/>
  <c r="U60" i="4"/>
  <c r="U56" i="4"/>
  <c r="U52" i="4"/>
  <c r="U48" i="4"/>
  <c r="U44" i="4"/>
  <c r="U41" i="4"/>
  <c r="U39" i="4"/>
  <c r="U35" i="4"/>
  <c r="U31" i="4"/>
  <c r="U59" i="4"/>
  <c r="U51" i="4"/>
  <c r="U43" i="4"/>
  <c r="U38" i="4"/>
  <c r="U62" i="4"/>
  <c r="U46" i="4"/>
  <c r="U37" i="4"/>
  <c r="U58" i="4"/>
  <c r="U33" i="4"/>
  <c r="U54" i="4"/>
  <c r="U66" i="4"/>
  <c r="U50" i="4"/>
  <c r="J31" i="4"/>
  <c r="K31" i="4" s="1"/>
  <c r="L31" i="4" s="1"/>
  <c r="M32" i="4"/>
  <c r="M33" i="4" s="1"/>
  <c r="M34" i="4" s="1"/>
  <c r="G13" i="4"/>
  <c r="N31" i="4"/>
  <c r="P31" i="4"/>
  <c r="Q31" i="4" s="1"/>
  <c r="B6" i="5"/>
  <c r="F9" i="4"/>
  <c r="C15" i="4" s="1"/>
  <c r="H32" i="4"/>
  <c r="C18" i="4"/>
  <c r="K15" i="6" s="1"/>
  <c r="K16" i="6" s="1"/>
  <c r="A14" i="5"/>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N32" i="4" l="1"/>
  <c r="M35" i="4"/>
  <c r="G9" i="4"/>
  <c r="D6" i="5"/>
  <c r="Y30" i="4" s="1"/>
  <c r="O11" i="4"/>
  <c r="O12" i="4" s="1"/>
  <c r="I32" i="4"/>
  <c r="O32" i="4" s="1"/>
  <c r="H33" i="4"/>
  <c r="J32" i="4" l="1"/>
  <c r="K32" i="4" s="1"/>
  <c r="M36" i="4"/>
  <c r="C20" i="4"/>
  <c r="H34" i="4"/>
  <c r="L32" i="4" l="1"/>
  <c r="I33" i="4"/>
  <c r="O33" i="4" s="1"/>
  <c r="P32" i="4"/>
  <c r="M37" i="4"/>
  <c r="B31" i="4"/>
  <c r="G31" i="4" s="1"/>
  <c r="G11" i="4"/>
  <c r="B10" i="5"/>
  <c r="C31" i="4"/>
  <c r="D31" i="4" s="1"/>
  <c r="H35" i="4"/>
  <c r="Q32" i="4" l="1"/>
  <c r="N33" i="4"/>
  <c r="J33" i="4"/>
  <c r="K33" i="4" s="1"/>
  <c r="L33" i="4" s="1"/>
  <c r="M38" i="4"/>
  <c r="B32" i="4"/>
  <c r="G32" i="4" s="1"/>
  <c r="E31" i="4"/>
  <c r="F31" i="4" s="1"/>
  <c r="H36" i="4"/>
  <c r="S31" i="4" l="1"/>
  <c r="T31" i="4" s="1"/>
  <c r="R31" i="4"/>
  <c r="I34" i="4"/>
  <c r="P33" i="4"/>
  <c r="Q33" i="4" s="1"/>
  <c r="M39" i="4"/>
  <c r="B33" i="4"/>
  <c r="G33" i="4" s="1"/>
  <c r="C32" i="4"/>
  <c r="H37" i="4"/>
  <c r="O34" i="4" l="1"/>
  <c r="P34" i="4" s="1"/>
  <c r="Q34" i="4" s="1"/>
  <c r="V31" i="4"/>
  <c r="J34" i="4"/>
  <c r="K34" i="4" s="1"/>
  <c r="L34" i="4" s="1"/>
  <c r="N34" i="4"/>
  <c r="M40" i="4"/>
  <c r="B34" i="4"/>
  <c r="G34" i="4" s="1"/>
  <c r="H38" i="4"/>
  <c r="N35" i="4" l="1"/>
  <c r="I35" i="4"/>
  <c r="M41" i="4"/>
  <c r="B35" i="4"/>
  <c r="G35" i="4" s="1"/>
  <c r="H39" i="4"/>
  <c r="J35" i="4" l="1"/>
  <c r="K35" i="4" s="1"/>
  <c r="O35" i="4"/>
  <c r="P35" i="4" s="1"/>
  <c r="M42" i="4"/>
  <c r="B36" i="4"/>
  <c r="G36" i="4" s="1"/>
  <c r="H40" i="4"/>
  <c r="Q35" i="4" l="1"/>
  <c r="N36" i="4"/>
  <c r="M43" i="4"/>
  <c r="B37" i="4"/>
  <c r="G37" i="4" s="1"/>
  <c r="L35" i="4"/>
  <c r="I36" i="4"/>
  <c r="O36" i="4" s="1"/>
  <c r="H41" i="4"/>
  <c r="J36" i="4" l="1"/>
  <c r="M44" i="4"/>
  <c r="B38" i="4"/>
  <c r="G38" i="4" s="1"/>
  <c r="H42" i="4"/>
  <c r="P36" i="4" l="1"/>
  <c r="M45" i="4"/>
  <c r="B39" i="4"/>
  <c r="G39" i="4" s="1"/>
  <c r="K36" i="4"/>
  <c r="H43" i="4"/>
  <c r="N37" i="4" l="1"/>
  <c r="Q36" i="4"/>
  <c r="M46" i="4"/>
  <c r="B40" i="4"/>
  <c r="G40" i="4" s="1"/>
  <c r="I37" i="4"/>
  <c r="O37" i="4" s="1"/>
  <c r="L36" i="4"/>
  <c r="H44" i="4"/>
  <c r="P37" i="4" l="1"/>
  <c r="Q37" i="4" s="1"/>
  <c r="J37" i="4"/>
  <c r="K37" i="4" s="1"/>
  <c r="L37" i="4" s="1"/>
  <c r="M47" i="4"/>
  <c r="B41" i="4"/>
  <c r="G41" i="4" s="1"/>
  <c r="H45" i="4"/>
  <c r="N38" i="4" l="1"/>
  <c r="M48" i="4"/>
  <c r="I38" i="4"/>
  <c r="O38" i="4" s="1"/>
  <c r="B42" i="4"/>
  <c r="G42" i="4" s="1"/>
  <c r="H46" i="4"/>
  <c r="J38" i="4" l="1"/>
  <c r="K38" i="4" s="1"/>
  <c r="L38" i="4" s="1"/>
  <c r="P38" i="4"/>
  <c r="M49" i="4"/>
  <c r="B43" i="4"/>
  <c r="G43" i="4" s="1"/>
  <c r="H47" i="4"/>
  <c r="Q38" i="4" l="1"/>
  <c r="N39" i="4"/>
  <c r="M50" i="4"/>
  <c r="B44" i="4"/>
  <c r="G44" i="4" s="1"/>
  <c r="I39" i="4"/>
  <c r="O39" i="4" s="1"/>
  <c r="H48" i="4"/>
  <c r="P39" i="4" l="1"/>
  <c r="Q39" i="4" s="1"/>
  <c r="J39" i="4"/>
  <c r="K39" i="4" s="1"/>
  <c r="M51" i="4"/>
  <c r="B45" i="4"/>
  <c r="G45" i="4" s="1"/>
  <c r="H49" i="4"/>
  <c r="L39" i="4" l="1"/>
  <c r="I40" i="4"/>
  <c r="O40" i="4" s="1"/>
  <c r="N40" i="4"/>
  <c r="M52" i="4"/>
  <c r="B46" i="4"/>
  <c r="G46" i="4" s="1"/>
  <c r="H50" i="4"/>
  <c r="P40" i="4" l="1"/>
  <c r="Q40" i="4" s="1"/>
  <c r="J40" i="4"/>
  <c r="K40" i="4" s="1"/>
  <c r="M53" i="4"/>
  <c r="B47" i="4"/>
  <c r="G47" i="4" s="1"/>
  <c r="H51" i="4"/>
  <c r="L40" i="4" l="1"/>
  <c r="I41" i="4"/>
  <c r="O41" i="4" s="1"/>
  <c r="N41" i="4"/>
  <c r="M54" i="4"/>
  <c r="B48" i="4"/>
  <c r="G48" i="4" s="1"/>
  <c r="H52" i="4"/>
  <c r="P41" i="4" l="1"/>
  <c r="Q41" i="4" s="1"/>
  <c r="J41" i="4"/>
  <c r="K41" i="4" s="1"/>
  <c r="M55" i="4"/>
  <c r="B49" i="4"/>
  <c r="G49" i="4" s="1"/>
  <c r="H53" i="4"/>
  <c r="L41" i="4" l="1"/>
  <c r="I42" i="4"/>
  <c r="O42" i="4" s="1"/>
  <c r="N42" i="4"/>
  <c r="M56" i="4"/>
  <c r="B50" i="4"/>
  <c r="G50" i="4" s="1"/>
  <c r="H54" i="4"/>
  <c r="P42" i="4" l="1"/>
  <c r="Q42" i="4" s="1"/>
  <c r="J42" i="4"/>
  <c r="K42" i="4" s="1"/>
  <c r="M57" i="4"/>
  <c r="B51" i="4"/>
  <c r="G51" i="4" s="1"/>
  <c r="H55" i="4"/>
  <c r="L42" i="4" l="1"/>
  <c r="I43" i="4"/>
  <c r="O43" i="4" s="1"/>
  <c r="N43" i="4"/>
  <c r="M58" i="4"/>
  <c r="B52" i="4"/>
  <c r="G52" i="4" s="1"/>
  <c r="H56" i="4"/>
  <c r="P43" i="4" l="1"/>
  <c r="Q43" i="4" s="1"/>
  <c r="J43" i="4"/>
  <c r="K43" i="4" s="1"/>
  <c r="M59" i="4"/>
  <c r="B53" i="4"/>
  <c r="G53" i="4" s="1"/>
  <c r="H57" i="4"/>
  <c r="L43" i="4" l="1"/>
  <c r="I44" i="4"/>
  <c r="O44" i="4" s="1"/>
  <c r="N44" i="4"/>
  <c r="M60" i="4"/>
  <c r="B54" i="4"/>
  <c r="G54" i="4" s="1"/>
  <c r="H58" i="4"/>
  <c r="P44" i="4" l="1"/>
  <c r="Q44" i="4" s="1"/>
  <c r="J44" i="4"/>
  <c r="K44" i="4" s="1"/>
  <c r="L44" i="4" s="1"/>
  <c r="M61" i="4"/>
  <c r="B55" i="4"/>
  <c r="G55" i="4" s="1"/>
  <c r="H59" i="4"/>
  <c r="I45" i="4" l="1"/>
  <c r="N45" i="4"/>
  <c r="M62" i="4"/>
  <c r="B56" i="4"/>
  <c r="G56" i="4" s="1"/>
  <c r="H60" i="4"/>
  <c r="B9" i="5"/>
  <c r="J45" i="4" l="1"/>
  <c r="K45" i="4" s="1"/>
  <c r="L45" i="4" s="1"/>
  <c r="O45" i="4"/>
  <c r="P45" i="4" s="1"/>
  <c r="Q45" i="4" s="1"/>
  <c r="M63" i="4"/>
  <c r="B57" i="4"/>
  <c r="G57" i="4" s="1"/>
  <c r="H13" i="5"/>
  <c r="H61" i="4"/>
  <c r="I46" i="4" l="1"/>
  <c r="O46" i="4" s="1"/>
  <c r="P46" i="4" s="1"/>
  <c r="N46" i="4"/>
  <c r="M64" i="4"/>
  <c r="B58" i="4"/>
  <c r="G58" i="4" s="1"/>
  <c r="I13" i="5"/>
  <c r="H62" i="4"/>
  <c r="J46" i="4" l="1"/>
  <c r="K46" i="4" s="1"/>
  <c r="L46" i="4" s="1"/>
  <c r="Q46" i="4"/>
  <c r="N47" i="4"/>
  <c r="M65" i="4"/>
  <c r="B59" i="4"/>
  <c r="G59" i="4" s="1"/>
  <c r="H63" i="4"/>
  <c r="B13" i="5"/>
  <c r="D13" i="5" s="1"/>
  <c r="I47" i="4" l="1"/>
  <c r="O47" i="4" s="1"/>
  <c r="P47" i="4" s="1"/>
  <c r="N48" i="4" s="1"/>
  <c r="M66" i="4"/>
  <c r="B60" i="4"/>
  <c r="G60" i="4" s="1"/>
  <c r="H64" i="4"/>
  <c r="E13" i="5"/>
  <c r="F13" i="5" s="1"/>
  <c r="D32" i="4"/>
  <c r="J47" i="4" l="1"/>
  <c r="K47" i="4" s="1"/>
  <c r="L47" i="4" s="1"/>
  <c r="Q47" i="4"/>
  <c r="M67" i="4"/>
  <c r="B61" i="4"/>
  <c r="G61" i="4" s="1"/>
  <c r="E32" i="4"/>
  <c r="F32" i="4" s="1"/>
  <c r="H65" i="4"/>
  <c r="H66" i="4" s="1"/>
  <c r="B14" i="5"/>
  <c r="I48" i="4" l="1"/>
  <c r="O48" i="4" s="1"/>
  <c r="P48" i="4" s="1"/>
  <c r="N49" i="4" s="1"/>
  <c r="R32" i="4"/>
  <c r="S32" i="4"/>
  <c r="T32" i="4" s="1"/>
  <c r="M68" i="4"/>
  <c r="D14" i="5"/>
  <c r="E14" i="5" s="1"/>
  <c r="B62" i="4"/>
  <c r="G62" i="4" s="1"/>
  <c r="H67" i="4"/>
  <c r="H68" i="4" s="1"/>
  <c r="H69" i="4" s="1"/>
  <c r="H70" i="4" s="1"/>
  <c r="H71" i="4" s="1"/>
  <c r="H72" i="4" s="1"/>
  <c r="H73" i="4" s="1"/>
  <c r="H74" i="4" s="1"/>
  <c r="H75" i="4" s="1"/>
  <c r="H76" i="4" s="1"/>
  <c r="H77" i="4" s="1"/>
  <c r="H78" i="4" s="1"/>
  <c r="H79" i="4" s="1"/>
  <c r="C33" i="4"/>
  <c r="D33" i="4" s="1"/>
  <c r="C13" i="5"/>
  <c r="G13" i="5" s="1"/>
  <c r="J48" i="4" l="1"/>
  <c r="K48" i="4" s="1"/>
  <c r="L48" i="4" s="1"/>
  <c r="V32" i="4"/>
  <c r="Q48" i="4"/>
  <c r="M69" i="4"/>
  <c r="B15" i="5"/>
  <c r="D15" i="5" s="1"/>
  <c r="E15" i="5" s="1"/>
  <c r="C15" i="5" s="1"/>
  <c r="G15" i="5" s="1"/>
  <c r="F14" i="5"/>
  <c r="B63" i="4"/>
  <c r="G63" i="4" s="1"/>
  <c r="H80" i="4"/>
  <c r="E33" i="4"/>
  <c r="F33" i="4" s="1"/>
  <c r="I49" i="4" l="1"/>
  <c r="O49" i="4" s="1"/>
  <c r="P49" i="4" s="1"/>
  <c r="N50" i="4" s="1"/>
  <c r="R33" i="4"/>
  <c r="S33" i="4"/>
  <c r="T33" i="4" s="1"/>
  <c r="J49" i="4"/>
  <c r="K49" i="4" s="1"/>
  <c r="L49" i="4" s="1"/>
  <c r="M70" i="4"/>
  <c r="B64" i="4"/>
  <c r="G64" i="4" s="1"/>
  <c r="H81" i="4"/>
  <c r="C34" i="4"/>
  <c r="D34" i="4" s="1"/>
  <c r="E34" i="4" s="1"/>
  <c r="C35" i="4" s="1"/>
  <c r="D35" i="4" s="1"/>
  <c r="E35" i="4" s="1"/>
  <c r="C36" i="4" s="1"/>
  <c r="D36" i="4" s="1"/>
  <c r="E36" i="4" s="1"/>
  <c r="C37" i="4" s="1"/>
  <c r="D37" i="4" s="1"/>
  <c r="E37" i="4" s="1"/>
  <c r="C38" i="4" s="1"/>
  <c r="D38" i="4" s="1"/>
  <c r="E38" i="4" s="1"/>
  <c r="C39" i="4" s="1"/>
  <c r="D39" i="4" s="1"/>
  <c r="E39" i="4" s="1"/>
  <c r="C40" i="4" s="1"/>
  <c r="D40" i="4" s="1"/>
  <c r="E40" i="4" s="1"/>
  <c r="C41" i="4" s="1"/>
  <c r="D41" i="4" s="1"/>
  <c r="E41" i="4" s="1"/>
  <c r="C42" i="4" s="1"/>
  <c r="D42" i="4" s="1"/>
  <c r="E42" i="4" s="1"/>
  <c r="C43" i="4" s="1"/>
  <c r="D43" i="4" s="1"/>
  <c r="E43" i="4" s="1"/>
  <c r="C44" i="4" s="1"/>
  <c r="D44" i="4" s="1"/>
  <c r="E44" i="4" s="1"/>
  <c r="C45" i="4" s="1"/>
  <c r="D45" i="4" s="1"/>
  <c r="E45" i="4" s="1"/>
  <c r="C46" i="4" s="1"/>
  <c r="D46" i="4" s="1"/>
  <c r="E46" i="4" s="1"/>
  <c r="C47" i="4" s="1"/>
  <c r="D47" i="4" s="1"/>
  <c r="F15" i="5"/>
  <c r="B16" i="5"/>
  <c r="D16" i="5" s="1"/>
  <c r="V33" i="4" l="1"/>
  <c r="I50" i="4"/>
  <c r="Q49" i="4"/>
  <c r="M71" i="4"/>
  <c r="B65" i="4"/>
  <c r="G65" i="4" s="1"/>
  <c r="H82" i="4"/>
  <c r="F34" i="4"/>
  <c r="S34" i="4" s="1"/>
  <c r="T34" i="4" s="1"/>
  <c r="E47" i="4"/>
  <c r="C48" i="4" s="1"/>
  <c r="D48" i="4" s="1"/>
  <c r="E48" i="4" s="1"/>
  <c r="C49" i="4" s="1"/>
  <c r="D49" i="4" s="1"/>
  <c r="E49" i="4" s="1"/>
  <c r="C50" i="4" s="1"/>
  <c r="D50" i="4" s="1"/>
  <c r="E50" i="4" s="1"/>
  <c r="C51" i="4" s="1"/>
  <c r="D51" i="4" s="1"/>
  <c r="E51" i="4" s="1"/>
  <c r="C52" i="4" s="1"/>
  <c r="D52" i="4" s="1"/>
  <c r="E52" i="4" s="1"/>
  <c r="C53" i="4" s="1"/>
  <c r="D53" i="4" s="1"/>
  <c r="E53" i="4" s="1"/>
  <c r="C54" i="4" s="1"/>
  <c r="D54" i="4" s="1"/>
  <c r="E54" i="4" s="1"/>
  <c r="C55" i="4" s="1"/>
  <c r="D55" i="4" s="1"/>
  <c r="E55" i="4" s="1"/>
  <c r="C56" i="4" s="1"/>
  <c r="C14" i="5"/>
  <c r="J50" i="4" l="1"/>
  <c r="K50" i="4" s="1"/>
  <c r="L50" i="4" s="1"/>
  <c r="O50" i="4"/>
  <c r="P50" i="4" s="1"/>
  <c r="N51" i="4" s="1"/>
  <c r="F35" i="4"/>
  <c r="S35" i="4" s="1"/>
  <c r="T35" i="4" s="1"/>
  <c r="R34" i="4"/>
  <c r="V34" i="4" s="1"/>
  <c r="M72" i="4"/>
  <c r="B66" i="4"/>
  <c r="B67" i="4" s="1"/>
  <c r="G67" i="4" s="1"/>
  <c r="H83" i="4"/>
  <c r="G14" i="5"/>
  <c r="H14" i="5" s="1"/>
  <c r="H15" i="5" s="1"/>
  <c r="D56" i="4"/>
  <c r="E56" i="4" s="1"/>
  <c r="C57" i="4" s="1"/>
  <c r="E16" i="5"/>
  <c r="C16" i="5" s="1"/>
  <c r="G16" i="5" s="1"/>
  <c r="I51" i="4" l="1"/>
  <c r="O51" i="4" s="1"/>
  <c r="P51" i="4" s="1"/>
  <c r="N52" i="4" s="1"/>
  <c r="Q50" i="4"/>
  <c r="M73" i="4"/>
  <c r="F36" i="4"/>
  <c r="S36" i="4" s="1"/>
  <c r="T36" i="4" s="1"/>
  <c r="R35" i="4"/>
  <c r="V35" i="4" s="1"/>
  <c r="G66" i="4"/>
  <c r="H84" i="4"/>
  <c r="H16" i="5"/>
  <c r="I16" i="5" s="1"/>
  <c r="I15" i="5"/>
  <c r="I14" i="5"/>
  <c r="B68" i="4"/>
  <c r="G68" i="4" s="1"/>
  <c r="D57" i="4"/>
  <c r="E57" i="4" s="1"/>
  <c r="C58" i="4" s="1"/>
  <c r="B17" i="5"/>
  <c r="D17" i="5" s="1"/>
  <c r="F16" i="5"/>
  <c r="J51" i="4" l="1"/>
  <c r="K51" i="4" s="1"/>
  <c r="L51" i="4" s="1"/>
  <c r="Q51" i="4"/>
  <c r="F37" i="4"/>
  <c r="S37" i="4" s="1"/>
  <c r="T37" i="4" s="1"/>
  <c r="R36" i="4"/>
  <c r="V36" i="4" s="1"/>
  <c r="M74" i="4"/>
  <c r="H85" i="4"/>
  <c r="B69" i="4"/>
  <c r="G69" i="4" s="1"/>
  <c r="D58" i="4"/>
  <c r="E58" i="4" s="1"/>
  <c r="C59" i="4" s="1"/>
  <c r="I52" i="4" l="1"/>
  <c r="O52" i="4" s="1"/>
  <c r="P52" i="4" s="1"/>
  <c r="J52" i="4"/>
  <c r="K52" i="4" s="1"/>
  <c r="L52" i="4" s="1"/>
  <c r="M75" i="4"/>
  <c r="F38" i="4"/>
  <c r="S38" i="4" s="1"/>
  <c r="T38" i="4" s="1"/>
  <c r="R37" i="4"/>
  <c r="V37" i="4" s="1"/>
  <c r="H86" i="4"/>
  <c r="B70" i="4"/>
  <c r="G70" i="4" s="1"/>
  <c r="D59" i="4"/>
  <c r="E59" i="4" s="1"/>
  <c r="C60" i="4" s="1"/>
  <c r="E17" i="5"/>
  <c r="C17" i="5" s="1"/>
  <c r="I53" i="4" l="1"/>
  <c r="Q52" i="4"/>
  <c r="N53" i="4"/>
  <c r="F39" i="4"/>
  <c r="S39" i="4" s="1"/>
  <c r="T39" i="4" s="1"/>
  <c r="R38" i="4"/>
  <c r="V38" i="4" s="1"/>
  <c r="M76" i="4"/>
  <c r="H87" i="4"/>
  <c r="B71" i="4"/>
  <c r="G71" i="4" s="1"/>
  <c r="G17" i="5"/>
  <c r="D60" i="4"/>
  <c r="E60" i="4" s="1"/>
  <c r="C61" i="4" s="1"/>
  <c r="B18" i="5"/>
  <c r="D18" i="5" s="1"/>
  <c r="F17" i="5"/>
  <c r="O53" i="4" l="1"/>
  <c r="P53" i="4" s="1"/>
  <c r="J53" i="4"/>
  <c r="K53" i="4" s="1"/>
  <c r="I54" i="4" s="1"/>
  <c r="O54" i="4" s="1"/>
  <c r="M77" i="4"/>
  <c r="F40" i="4"/>
  <c r="S40" i="4" s="1"/>
  <c r="T40" i="4" s="1"/>
  <c r="R39" i="4"/>
  <c r="V39" i="4" s="1"/>
  <c r="H88" i="4"/>
  <c r="B72" i="4"/>
  <c r="G72" i="4" s="1"/>
  <c r="H17" i="5"/>
  <c r="D61" i="4"/>
  <c r="E61" i="4" s="1"/>
  <c r="C62" i="4" s="1"/>
  <c r="N54" i="4" l="1"/>
  <c r="Q53" i="4"/>
  <c r="L53" i="4"/>
  <c r="J54" i="4"/>
  <c r="K54" i="4" s="1"/>
  <c r="I55" i="4" s="1"/>
  <c r="O55" i="4" s="1"/>
  <c r="P54" i="4"/>
  <c r="F41" i="4"/>
  <c r="S41" i="4" s="1"/>
  <c r="T41" i="4" s="1"/>
  <c r="R40" i="4"/>
  <c r="V40" i="4" s="1"/>
  <c r="M78" i="4"/>
  <c r="H89" i="4"/>
  <c r="B73" i="4"/>
  <c r="G73" i="4" s="1"/>
  <c r="I17" i="5"/>
  <c r="D62" i="4"/>
  <c r="E62" i="4" s="1"/>
  <c r="C63" i="4" s="1"/>
  <c r="E18" i="5"/>
  <c r="C18" i="5" s="1"/>
  <c r="Q54" i="4" l="1"/>
  <c r="L54" i="4"/>
  <c r="N55" i="4"/>
  <c r="J55" i="4"/>
  <c r="K55" i="4" s="1"/>
  <c r="I56" i="4" s="1"/>
  <c r="O56" i="4" s="1"/>
  <c r="P55" i="4"/>
  <c r="Q55" i="4" s="1"/>
  <c r="M79" i="4"/>
  <c r="F42" i="4"/>
  <c r="S42" i="4" s="1"/>
  <c r="T42" i="4" s="1"/>
  <c r="R41" i="4"/>
  <c r="V41" i="4" s="1"/>
  <c r="H90" i="4"/>
  <c r="B74" i="4"/>
  <c r="G74" i="4" s="1"/>
  <c r="G18" i="5"/>
  <c r="D63" i="4"/>
  <c r="E63" i="4" s="1"/>
  <c r="C64" i="4" s="1"/>
  <c r="F18" i="5"/>
  <c r="B19" i="5"/>
  <c r="D19" i="5" s="1"/>
  <c r="N56" i="4" l="1"/>
  <c r="L55" i="4"/>
  <c r="J56" i="4"/>
  <c r="K56" i="4" s="1"/>
  <c r="I57" i="4" s="1"/>
  <c r="O57" i="4" s="1"/>
  <c r="P56" i="4"/>
  <c r="Q56" i="4" s="1"/>
  <c r="F43" i="4"/>
  <c r="S43" i="4" s="1"/>
  <c r="T43" i="4" s="1"/>
  <c r="R42" i="4"/>
  <c r="V42" i="4" s="1"/>
  <c r="M80" i="4"/>
  <c r="B75" i="4"/>
  <c r="G75" i="4" s="1"/>
  <c r="H18" i="5"/>
  <c r="D64" i="4"/>
  <c r="E64" i="4" s="1"/>
  <c r="C65" i="4" s="1"/>
  <c r="L56" i="4" l="1"/>
  <c r="J57" i="4"/>
  <c r="K57" i="4" s="1"/>
  <c r="P57" i="4"/>
  <c r="Q57" i="4" s="1"/>
  <c r="N57" i="4"/>
  <c r="M81" i="4"/>
  <c r="F44" i="4"/>
  <c r="S44" i="4" s="1"/>
  <c r="T44" i="4" s="1"/>
  <c r="R43" i="4"/>
  <c r="V43" i="4" s="1"/>
  <c r="B76" i="4"/>
  <c r="G76" i="4" s="1"/>
  <c r="I18" i="5"/>
  <c r="D65" i="4"/>
  <c r="E65" i="4" s="1"/>
  <c r="C66" i="4" s="1"/>
  <c r="E19" i="5"/>
  <c r="C19" i="5" s="1"/>
  <c r="I58" i="4" l="1"/>
  <c r="O58" i="4" s="1"/>
  <c r="L57" i="4"/>
  <c r="N58" i="4"/>
  <c r="M82" i="4"/>
  <c r="F45" i="4"/>
  <c r="S45" i="4" s="1"/>
  <c r="T45" i="4" s="1"/>
  <c r="R44" i="4"/>
  <c r="V44" i="4" s="1"/>
  <c r="B77" i="4"/>
  <c r="G77" i="4" s="1"/>
  <c r="G19" i="5"/>
  <c r="D66" i="4"/>
  <c r="E66" i="4" s="1"/>
  <c r="C67" i="4" s="1"/>
  <c r="B20" i="5"/>
  <c r="D20" i="5" s="1"/>
  <c r="F19" i="5"/>
  <c r="P58" i="4" l="1"/>
  <c r="Q58" i="4" s="1"/>
  <c r="J58" i="4"/>
  <c r="K58" i="4" s="1"/>
  <c r="I59" i="4" s="1"/>
  <c r="O59" i="4" s="1"/>
  <c r="F46" i="4"/>
  <c r="S46" i="4" s="1"/>
  <c r="T46" i="4" s="1"/>
  <c r="R45" i="4"/>
  <c r="V45" i="4" s="1"/>
  <c r="M83" i="4"/>
  <c r="B78" i="4"/>
  <c r="G78" i="4" s="1"/>
  <c r="H19" i="5"/>
  <c r="D67" i="4"/>
  <c r="E67" i="4" s="1"/>
  <c r="C68" i="4" s="1"/>
  <c r="P59" i="4" l="1"/>
  <c r="Q59" i="4" s="1"/>
  <c r="J59" i="4"/>
  <c r="K59" i="4" s="1"/>
  <c r="I60" i="4" s="1"/>
  <c r="O60" i="4" s="1"/>
  <c r="L58" i="4"/>
  <c r="N59" i="4"/>
  <c r="R46" i="4"/>
  <c r="V46" i="4" s="1"/>
  <c r="F47" i="4"/>
  <c r="S47" i="4" s="1"/>
  <c r="T47" i="4" s="1"/>
  <c r="M84" i="4"/>
  <c r="B79" i="4"/>
  <c r="G79" i="4" s="1"/>
  <c r="I19" i="5"/>
  <c r="D68" i="4"/>
  <c r="E68" i="4" s="1"/>
  <c r="C69" i="4" s="1"/>
  <c r="E20" i="5"/>
  <c r="C20" i="5" s="1"/>
  <c r="L59" i="4" l="1"/>
  <c r="N60" i="4"/>
  <c r="J60" i="4"/>
  <c r="K60" i="4" s="1"/>
  <c r="P60" i="4"/>
  <c r="Q60" i="4" s="1"/>
  <c r="F48" i="4"/>
  <c r="S48" i="4" s="1"/>
  <c r="T48" i="4" s="1"/>
  <c r="R47" i="4"/>
  <c r="V47" i="4" s="1"/>
  <c r="M85" i="4"/>
  <c r="B80" i="4"/>
  <c r="B81" i="4" s="1"/>
  <c r="G20" i="5"/>
  <c r="D69" i="4"/>
  <c r="E69" i="4" s="1"/>
  <c r="C70" i="4" s="1"/>
  <c r="B21" i="5"/>
  <c r="D21" i="5" s="1"/>
  <c r="F20" i="5"/>
  <c r="L60" i="4" l="1"/>
  <c r="I61" i="4"/>
  <c r="O61" i="4" s="1"/>
  <c r="N61" i="4"/>
  <c r="M86" i="4"/>
  <c r="F49" i="4"/>
  <c r="S49" i="4" s="1"/>
  <c r="T49" i="4" s="1"/>
  <c r="R48" i="4"/>
  <c r="V48" i="4" s="1"/>
  <c r="G80" i="4"/>
  <c r="H20" i="5"/>
  <c r="G81" i="4"/>
  <c r="B82" i="4"/>
  <c r="D70" i="4"/>
  <c r="E70" i="4" s="1"/>
  <c r="C71" i="4" s="1"/>
  <c r="E21" i="5"/>
  <c r="C21" i="5" s="1"/>
  <c r="J61" i="4" l="1"/>
  <c r="K61" i="4" s="1"/>
  <c r="P61" i="4"/>
  <c r="Q61" i="4" s="1"/>
  <c r="F50" i="4"/>
  <c r="S50" i="4" s="1"/>
  <c r="T50" i="4" s="1"/>
  <c r="R49" i="4"/>
  <c r="V49" i="4" s="1"/>
  <c r="M87" i="4"/>
  <c r="I20" i="5"/>
  <c r="G21" i="5"/>
  <c r="H21" i="5" s="1"/>
  <c r="G82" i="4"/>
  <c r="B83" i="4"/>
  <c r="D71" i="4"/>
  <c r="E71" i="4" s="1"/>
  <c r="C72" i="4" s="1"/>
  <c r="F21" i="5"/>
  <c r="B22" i="5"/>
  <c r="D22" i="5" s="1"/>
  <c r="L61" i="4" l="1"/>
  <c r="I62" i="4"/>
  <c r="O62" i="4" s="1"/>
  <c r="N62" i="4"/>
  <c r="M88" i="4"/>
  <c r="F51" i="4"/>
  <c r="S51" i="4" s="1"/>
  <c r="T51" i="4" s="1"/>
  <c r="R50" i="4"/>
  <c r="V50" i="4" s="1"/>
  <c r="I21" i="5"/>
  <c r="G83" i="4"/>
  <c r="B84" i="4"/>
  <c r="D72" i="4"/>
  <c r="E72" i="4" s="1"/>
  <c r="C73" i="4" s="1"/>
  <c r="J62" i="4" l="1"/>
  <c r="K62" i="4" s="1"/>
  <c r="L62" i="4" s="1"/>
  <c r="P62" i="4"/>
  <c r="Q62" i="4" s="1"/>
  <c r="M89" i="4"/>
  <c r="F52" i="4"/>
  <c r="S52" i="4" s="1"/>
  <c r="T52" i="4" s="1"/>
  <c r="R51" i="4"/>
  <c r="V51" i="4" s="1"/>
  <c r="G84" i="4"/>
  <c r="B85" i="4"/>
  <c r="D73" i="4"/>
  <c r="E73" i="4" s="1"/>
  <c r="C74" i="4" s="1"/>
  <c r="E22" i="5"/>
  <c r="C22" i="5" s="1"/>
  <c r="I63" i="4" l="1"/>
  <c r="O63" i="4" s="1"/>
  <c r="N63" i="4"/>
  <c r="F53" i="4"/>
  <c r="S53" i="4" s="1"/>
  <c r="T53" i="4" s="1"/>
  <c r="R52" i="4"/>
  <c r="V52" i="4" s="1"/>
  <c r="M90" i="4"/>
  <c r="G22" i="5"/>
  <c r="G85" i="4"/>
  <c r="B86" i="4"/>
  <c r="D74" i="4"/>
  <c r="E74" i="4" s="1"/>
  <c r="C75" i="4" s="1"/>
  <c r="B23" i="5"/>
  <c r="D23" i="5" s="1"/>
  <c r="F22" i="5"/>
  <c r="J63" i="4" l="1"/>
  <c r="K63" i="4" s="1"/>
  <c r="P63" i="4"/>
  <c r="Q63" i="4" s="1"/>
  <c r="F54" i="4"/>
  <c r="S54" i="4" s="1"/>
  <c r="T54" i="4" s="1"/>
  <c r="R53" i="4"/>
  <c r="V53" i="4" s="1"/>
  <c r="H22" i="5"/>
  <c r="G86" i="4"/>
  <c r="B87" i="4"/>
  <c r="D75" i="4"/>
  <c r="E75" i="4" s="1"/>
  <c r="C76" i="4" s="1"/>
  <c r="I64" i="4" l="1"/>
  <c r="O64" i="4" s="1"/>
  <c r="L63" i="4"/>
  <c r="N64" i="4"/>
  <c r="F55" i="4"/>
  <c r="S55" i="4" s="1"/>
  <c r="T55" i="4" s="1"/>
  <c r="R54" i="4"/>
  <c r="V54" i="4" s="1"/>
  <c r="I22" i="5"/>
  <c r="G87" i="4"/>
  <c r="B88" i="4"/>
  <c r="D76" i="4"/>
  <c r="E76" i="4" s="1"/>
  <c r="C77" i="4" s="1"/>
  <c r="E23" i="5"/>
  <c r="C23" i="5" s="1"/>
  <c r="J64" i="4" l="1"/>
  <c r="K64" i="4" s="1"/>
  <c r="P64" i="4"/>
  <c r="Q64" i="4" s="1"/>
  <c r="F56" i="4"/>
  <c r="S56" i="4" s="1"/>
  <c r="T56" i="4" s="1"/>
  <c r="R55" i="4"/>
  <c r="V55" i="4" s="1"/>
  <c r="G23" i="5"/>
  <c r="G88" i="4"/>
  <c r="B89" i="4"/>
  <c r="D77" i="4"/>
  <c r="E77" i="4" s="1"/>
  <c r="C78" i="4" s="1"/>
  <c r="B24" i="5"/>
  <c r="D24" i="5" s="1"/>
  <c r="F23" i="5"/>
  <c r="I65" i="4" l="1"/>
  <c r="O65" i="4" s="1"/>
  <c r="L64" i="4"/>
  <c r="N65" i="4"/>
  <c r="F57" i="4"/>
  <c r="S57" i="4" s="1"/>
  <c r="T57" i="4" s="1"/>
  <c r="R56" i="4"/>
  <c r="V56" i="4" s="1"/>
  <c r="H23" i="5"/>
  <c r="D78" i="4"/>
  <c r="E78" i="4" s="1"/>
  <c r="C79" i="4" s="1"/>
  <c r="G89" i="4"/>
  <c r="B90" i="4"/>
  <c r="G90" i="4" s="1"/>
  <c r="J65" i="4" l="1"/>
  <c r="K65" i="4" s="1"/>
  <c r="I66" i="4" s="1"/>
  <c r="O66" i="4" s="1"/>
  <c r="P65" i="4"/>
  <c r="Q65" i="4" s="1"/>
  <c r="F58" i="4"/>
  <c r="S58" i="4" s="1"/>
  <c r="T58" i="4" s="1"/>
  <c r="R57" i="4"/>
  <c r="V57" i="4" s="1"/>
  <c r="I23" i="5"/>
  <c r="D79" i="4"/>
  <c r="E79" i="4" s="1"/>
  <c r="E24" i="5"/>
  <c r="C24" i="5" s="1"/>
  <c r="L65" i="4" l="1"/>
  <c r="J66" i="4"/>
  <c r="K66" i="4" s="1"/>
  <c r="I67" i="4" s="1"/>
  <c r="O67" i="4" s="1"/>
  <c r="N66" i="4"/>
  <c r="F59" i="4"/>
  <c r="S59" i="4" s="1"/>
  <c r="T59" i="4" s="1"/>
  <c r="R58" i="4"/>
  <c r="V58" i="4" s="1"/>
  <c r="G24" i="5"/>
  <c r="C80" i="4"/>
  <c r="D80" i="4" s="1"/>
  <c r="E80" i="4" s="1"/>
  <c r="B25" i="5"/>
  <c r="D25" i="5" s="1"/>
  <c r="F24" i="5"/>
  <c r="J67" i="4" l="1"/>
  <c r="K67" i="4" s="1"/>
  <c r="I68" i="4" s="1"/>
  <c r="O68" i="4" s="1"/>
  <c r="P67" i="4"/>
  <c r="P66" i="4"/>
  <c r="Q66" i="4" s="1"/>
  <c r="L66" i="4"/>
  <c r="R59" i="4"/>
  <c r="V59" i="4" s="1"/>
  <c r="F60" i="4"/>
  <c r="S60" i="4" s="1"/>
  <c r="T60" i="4" s="1"/>
  <c r="H24" i="5"/>
  <c r="C81" i="4"/>
  <c r="D81" i="4" s="1"/>
  <c r="E81" i="4" s="1"/>
  <c r="E25" i="5"/>
  <c r="C25" i="5" s="1"/>
  <c r="Q67" i="4" l="1"/>
  <c r="P68" i="4"/>
  <c r="J68" i="4"/>
  <c r="K68" i="4" s="1"/>
  <c r="I69" i="4" s="1"/>
  <c r="O69" i="4" s="1"/>
  <c r="L67" i="4"/>
  <c r="N67" i="4"/>
  <c r="N68" i="4" s="1"/>
  <c r="R60" i="4"/>
  <c r="V60" i="4" s="1"/>
  <c r="F61" i="4"/>
  <c r="S61" i="4" s="1"/>
  <c r="T61" i="4" s="1"/>
  <c r="I24" i="5"/>
  <c r="G25" i="5"/>
  <c r="H25" i="5" s="1"/>
  <c r="F25" i="5"/>
  <c r="B26" i="5"/>
  <c r="D26" i="5" s="1"/>
  <c r="C82" i="4"/>
  <c r="N69" i="4" l="1"/>
  <c r="Q68" i="4"/>
  <c r="J69" i="4"/>
  <c r="K69" i="4" s="1"/>
  <c r="I70" i="4" s="1"/>
  <c r="O70" i="4" s="1"/>
  <c r="L68" i="4"/>
  <c r="R61" i="4"/>
  <c r="V61" i="4" s="1"/>
  <c r="F62" i="4"/>
  <c r="S62" i="4" s="1"/>
  <c r="T62" i="4" s="1"/>
  <c r="I25" i="5"/>
  <c r="D82" i="4"/>
  <c r="E82" i="4" s="1"/>
  <c r="J70" i="4" l="1"/>
  <c r="K70" i="4" s="1"/>
  <c r="I71" i="4" s="1"/>
  <c r="O71" i="4" s="1"/>
  <c r="P70" i="4"/>
  <c r="P69" i="4"/>
  <c r="Q69" i="4" s="1"/>
  <c r="L69" i="4"/>
  <c r="F63" i="4"/>
  <c r="S63" i="4" s="1"/>
  <c r="T63" i="4" s="1"/>
  <c r="R62" i="4"/>
  <c r="V62" i="4" s="1"/>
  <c r="E26" i="5"/>
  <c r="C26" i="5" s="1"/>
  <c r="C83" i="4"/>
  <c r="Q70" i="4" l="1"/>
  <c r="J71" i="4"/>
  <c r="K71" i="4" s="1"/>
  <c r="I72" i="4" s="1"/>
  <c r="O72" i="4" s="1"/>
  <c r="N70" i="4"/>
  <c r="N71" i="4" s="1"/>
  <c r="L70" i="4"/>
  <c r="F64" i="4"/>
  <c r="S64" i="4" s="1"/>
  <c r="T64" i="4" s="1"/>
  <c r="R63" i="4"/>
  <c r="V63" i="4" s="1"/>
  <c r="G26" i="5"/>
  <c r="F26" i="5"/>
  <c r="B27" i="5"/>
  <c r="D27" i="5" s="1"/>
  <c r="D83" i="4"/>
  <c r="E83" i="4" s="1"/>
  <c r="P72" i="4" l="1"/>
  <c r="J72" i="4"/>
  <c r="K72" i="4" s="1"/>
  <c r="I73" i="4" s="1"/>
  <c r="O73" i="4" s="1"/>
  <c r="P71" i="4"/>
  <c r="Q71" i="4" s="1"/>
  <c r="L71" i="4"/>
  <c r="F65" i="4"/>
  <c r="S65" i="4" s="1"/>
  <c r="T65" i="4" s="1"/>
  <c r="R64" i="4"/>
  <c r="V64" i="4" s="1"/>
  <c r="H26" i="5"/>
  <c r="C84" i="4"/>
  <c r="Q72" i="4" l="1"/>
  <c r="N72" i="4"/>
  <c r="N73" i="4" s="1"/>
  <c r="L72" i="4"/>
  <c r="J73" i="4"/>
  <c r="K73" i="4" s="1"/>
  <c r="I74" i="4" s="1"/>
  <c r="O74" i="4" s="1"/>
  <c r="P73" i="4"/>
  <c r="F66" i="4"/>
  <c r="R65" i="4"/>
  <c r="V65" i="4" s="1"/>
  <c r="I26" i="5"/>
  <c r="E27" i="5"/>
  <c r="C27" i="5" s="1"/>
  <c r="D84" i="4"/>
  <c r="E84" i="4" s="1"/>
  <c r="Q73" i="4" l="1"/>
  <c r="S66" i="4"/>
  <c r="T66" i="4" s="1"/>
  <c r="R66" i="4"/>
  <c r="N74" i="4"/>
  <c r="J74" i="4"/>
  <c r="K74" i="4" s="1"/>
  <c r="I75" i="4" s="1"/>
  <c r="O75" i="4" s="1"/>
  <c r="P74" i="4"/>
  <c r="L73" i="4"/>
  <c r="F67" i="4"/>
  <c r="G27" i="5"/>
  <c r="B28" i="5"/>
  <c r="D28" i="5" s="1"/>
  <c r="F27" i="5"/>
  <c r="C85" i="4"/>
  <c r="Q74" i="4" l="1"/>
  <c r="V66" i="4"/>
  <c r="S67" i="4"/>
  <c r="T67" i="4" s="1"/>
  <c r="R67" i="4"/>
  <c r="N75" i="4"/>
  <c r="J75" i="4"/>
  <c r="K75" i="4" s="1"/>
  <c r="I76" i="4" s="1"/>
  <c r="O76" i="4" s="1"/>
  <c r="P75" i="4"/>
  <c r="L74" i="4"/>
  <c r="F68" i="4"/>
  <c r="H27" i="5"/>
  <c r="D85" i="4"/>
  <c r="E85" i="4" s="1"/>
  <c r="V67" i="4" l="1"/>
  <c r="N76" i="4"/>
  <c r="Q75" i="4"/>
  <c r="S68" i="4"/>
  <c r="T68" i="4" s="1"/>
  <c r="R68" i="4"/>
  <c r="J76" i="4"/>
  <c r="K76" i="4" s="1"/>
  <c r="I77" i="4" s="1"/>
  <c r="O77" i="4" s="1"/>
  <c r="P76" i="4"/>
  <c r="L75" i="4"/>
  <c r="F69" i="4"/>
  <c r="I27" i="5"/>
  <c r="E28" i="5"/>
  <c r="C28" i="5" s="1"/>
  <c r="C86" i="4"/>
  <c r="N77" i="4" l="1"/>
  <c r="V68" i="4"/>
  <c r="Q76" i="4"/>
  <c r="S69" i="4"/>
  <c r="T69" i="4" s="1"/>
  <c r="R69" i="4"/>
  <c r="P77" i="4"/>
  <c r="J77" i="4"/>
  <c r="K77" i="4" s="1"/>
  <c r="I78" i="4" s="1"/>
  <c r="O78" i="4" s="1"/>
  <c r="L76" i="4"/>
  <c r="F70" i="4"/>
  <c r="G28" i="5"/>
  <c r="F28" i="5"/>
  <c r="B29" i="5"/>
  <c r="D29" i="5" s="1"/>
  <c r="D86" i="4"/>
  <c r="E86" i="4" s="1"/>
  <c r="N78" i="4" l="1"/>
  <c r="V69" i="4"/>
  <c r="Q77" i="4"/>
  <c r="S70" i="4"/>
  <c r="T70" i="4" s="1"/>
  <c r="R70" i="4"/>
  <c r="J78" i="4"/>
  <c r="K78" i="4" s="1"/>
  <c r="I79" i="4" s="1"/>
  <c r="O79" i="4" s="1"/>
  <c r="P78" i="4"/>
  <c r="N79" i="4" s="1"/>
  <c r="L77" i="4"/>
  <c r="F71" i="4"/>
  <c r="H28" i="5"/>
  <c r="E29" i="5"/>
  <c r="C29" i="5" s="1"/>
  <c r="C87" i="4"/>
  <c r="V70" i="4" l="1"/>
  <c r="Q78" i="4"/>
  <c r="S71" i="4"/>
  <c r="T71" i="4" s="1"/>
  <c r="R71" i="4"/>
  <c r="L78" i="4"/>
  <c r="P79" i="4"/>
  <c r="J79" i="4"/>
  <c r="K79" i="4" s="1"/>
  <c r="I80" i="4" s="1"/>
  <c r="O80" i="4" s="1"/>
  <c r="F72" i="4"/>
  <c r="I28" i="5"/>
  <c r="G29" i="5"/>
  <c r="H29" i="5" s="1"/>
  <c r="F29" i="5"/>
  <c r="B30" i="5"/>
  <c r="D30" i="5" s="1"/>
  <c r="D87" i="4"/>
  <c r="E87" i="4" s="1"/>
  <c r="Q79" i="4" l="1"/>
  <c r="V71" i="4"/>
  <c r="S72" i="4"/>
  <c r="T72" i="4" s="1"/>
  <c r="R72" i="4"/>
  <c r="N80" i="4"/>
  <c r="L79" i="4"/>
  <c r="P80" i="4"/>
  <c r="J80" i="4"/>
  <c r="K80" i="4" s="1"/>
  <c r="I81" i="4" s="1"/>
  <c r="O81" i="4" s="1"/>
  <c r="F73" i="4"/>
  <c r="I29" i="5"/>
  <c r="E30" i="5"/>
  <c r="C30" i="5" s="1"/>
  <c r="C88" i="4"/>
  <c r="L80" i="4" l="1"/>
  <c r="V72" i="4"/>
  <c r="Q80" i="4"/>
  <c r="S73" i="4"/>
  <c r="T73" i="4" s="1"/>
  <c r="R73" i="4"/>
  <c r="P81" i="4"/>
  <c r="J81" i="4"/>
  <c r="K81" i="4" s="1"/>
  <c r="I82" i="4" s="1"/>
  <c r="O82" i="4" s="1"/>
  <c r="N81" i="4"/>
  <c r="F74" i="4"/>
  <c r="G30" i="5"/>
  <c r="F30" i="5"/>
  <c r="B31" i="5"/>
  <c r="D31" i="5" s="1"/>
  <c r="D88" i="4"/>
  <c r="E88" i="4" s="1"/>
  <c r="Q81" i="4" l="1"/>
  <c r="V73" i="4"/>
  <c r="S74" i="4"/>
  <c r="T74" i="4" s="1"/>
  <c r="R74" i="4"/>
  <c r="J82" i="4"/>
  <c r="P82" i="4"/>
  <c r="N82" i="4"/>
  <c r="L81" i="4"/>
  <c r="F75" i="4"/>
  <c r="H30" i="5"/>
  <c r="C89" i="4"/>
  <c r="N83" i="4" l="1"/>
  <c r="Q82" i="4"/>
  <c r="V74" i="4"/>
  <c r="S75" i="4"/>
  <c r="T75" i="4" s="1"/>
  <c r="R75" i="4"/>
  <c r="K82" i="4"/>
  <c r="I83" i="4" s="1"/>
  <c r="O83" i="4" s="1"/>
  <c r="F76" i="4"/>
  <c r="I30" i="5"/>
  <c r="E31" i="5"/>
  <c r="D89" i="4"/>
  <c r="E89" i="4" s="1"/>
  <c r="L82" i="4" l="1"/>
  <c r="V75" i="4"/>
  <c r="S76" i="4"/>
  <c r="T76" i="4" s="1"/>
  <c r="R76" i="4"/>
  <c r="J83" i="4"/>
  <c r="P83" i="4"/>
  <c r="Q83" i="4" s="1"/>
  <c r="F77" i="4"/>
  <c r="F31" i="5"/>
  <c r="B32" i="5"/>
  <c r="D32" i="5" s="1"/>
  <c r="C31" i="5"/>
  <c r="C90" i="4"/>
  <c r="D90" i="4" s="1"/>
  <c r="V76" i="4" l="1"/>
  <c r="S77" i="4"/>
  <c r="T77" i="4" s="1"/>
  <c r="R77" i="4"/>
  <c r="K83" i="4"/>
  <c r="N84" i="4"/>
  <c r="F78" i="4"/>
  <c r="G31" i="5"/>
  <c r="E90" i="4"/>
  <c r="V77" i="4" l="1"/>
  <c r="S78" i="4"/>
  <c r="T78" i="4" s="1"/>
  <c r="R78" i="4"/>
  <c r="L83" i="4"/>
  <c r="I84" i="4"/>
  <c r="O84" i="4" s="1"/>
  <c r="F79" i="4"/>
  <c r="H31" i="5"/>
  <c r="E32" i="5"/>
  <c r="C32" i="5" s="1"/>
  <c r="V78" i="4" l="1"/>
  <c r="S79" i="4"/>
  <c r="T79" i="4" s="1"/>
  <c r="R79" i="4"/>
  <c r="J84" i="4"/>
  <c r="K84" i="4" s="1"/>
  <c r="I85" i="4" s="1"/>
  <c r="O85" i="4" s="1"/>
  <c r="P84" i="4"/>
  <c r="Q84" i="4" s="1"/>
  <c r="F80" i="4"/>
  <c r="I31" i="5"/>
  <c r="G32" i="5"/>
  <c r="H32" i="5" s="1"/>
  <c r="B33" i="5"/>
  <c r="D33" i="5" s="1"/>
  <c r="F32" i="5"/>
  <c r="V79" i="4" l="1"/>
  <c r="R80" i="4"/>
  <c r="S80" i="4"/>
  <c r="T80" i="4" s="1"/>
  <c r="P85" i="4"/>
  <c r="Q85" i="4" s="1"/>
  <c r="J85" i="4"/>
  <c r="K85" i="4" s="1"/>
  <c r="I86" i="4" s="1"/>
  <c r="O86" i="4" s="1"/>
  <c r="L84" i="4"/>
  <c r="N85" i="4"/>
  <c r="F81" i="4"/>
  <c r="I32" i="5"/>
  <c r="N86" i="4" l="1"/>
  <c r="V80" i="4"/>
  <c r="S81" i="4"/>
  <c r="T81" i="4" s="1"/>
  <c r="R81" i="4"/>
  <c r="P86" i="4"/>
  <c r="Q86" i="4" s="1"/>
  <c r="J86" i="4"/>
  <c r="L85" i="4"/>
  <c r="F82" i="4"/>
  <c r="E33" i="5"/>
  <c r="N87" i="4" l="1"/>
  <c r="V81" i="4"/>
  <c r="S82" i="4"/>
  <c r="T82" i="4" s="1"/>
  <c r="R82" i="4"/>
  <c r="K86" i="4"/>
  <c r="I87" i="4" s="1"/>
  <c r="O87" i="4" s="1"/>
  <c r="F83" i="4"/>
  <c r="B34" i="5"/>
  <c r="D34" i="5" s="1"/>
  <c r="F33" i="5"/>
  <c r="C33" i="5"/>
  <c r="V82" i="4" l="1"/>
  <c r="S83" i="4"/>
  <c r="T83" i="4" s="1"/>
  <c r="R83" i="4"/>
  <c r="P87" i="4"/>
  <c r="Q87" i="4" s="1"/>
  <c r="J87" i="4"/>
  <c r="K87" i="4" s="1"/>
  <c r="I88" i="4" s="1"/>
  <c r="O88" i="4" s="1"/>
  <c r="L86" i="4"/>
  <c r="F84" i="4"/>
  <c r="G33" i="5"/>
  <c r="L87" i="4" l="1"/>
  <c r="V83" i="4"/>
  <c r="S84" i="4"/>
  <c r="T84" i="4" s="1"/>
  <c r="R84" i="4"/>
  <c r="N88" i="4"/>
  <c r="J88" i="4"/>
  <c r="K88" i="4" s="1"/>
  <c r="I89" i="4" s="1"/>
  <c r="O89" i="4" s="1"/>
  <c r="P88" i="4"/>
  <c r="N89" i="4" s="1"/>
  <c r="F85" i="4"/>
  <c r="H33" i="5"/>
  <c r="E34" i="5"/>
  <c r="V84" i="4" l="1"/>
  <c r="Q88" i="4"/>
  <c r="S85" i="4"/>
  <c r="T85" i="4" s="1"/>
  <c r="R85" i="4"/>
  <c r="L88" i="4"/>
  <c r="P89" i="4"/>
  <c r="N90" i="4" s="1"/>
  <c r="J89" i="4"/>
  <c r="K89" i="4" s="1"/>
  <c r="L89" i="4" s="1"/>
  <c r="F86" i="4"/>
  <c r="I33" i="5"/>
  <c r="B35" i="5"/>
  <c r="D35" i="5" s="1"/>
  <c r="F34" i="5"/>
  <c r="C34" i="5"/>
  <c r="I90" i="4" l="1"/>
  <c r="O90" i="4" s="1"/>
  <c r="V85" i="4"/>
  <c r="Q89" i="4"/>
  <c r="S86" i="4"/>
  <c r="T86" i="4" s="1"/>
  <c r="R86" i="4"/>
  <c r="J90" i="4"/>
  <c r="J91" i="4" s="1"/>
  <c r="F87" i="4"/>
  <c r="G34" i="5"/>
  <c r="V86" i="4" l="1"/>
  <c r="S87" i="4"/>
  <c r="T87" i="4" s="1"/>
  <c r="R87" i="4"/>
  <c r="P90" i="4"/>
  <c r="Q90" i="4" s="1"/>
  <c r="O91" i="4"/>
  <c r="G18" i="4" s="1"/>
  <c r="K90" i="4"/>
  <c r="L90" i="4" s="1"/>
  <c r="F88" i="4"/>
  <c r="H34" i="5"/>
  <c r="E35" i="5"/>
  <c r="V87" i="4" l="1"/>
  <c r="R88" i="4"/>
  <c r="S88" i="4"/>
  <c r="T88" i="4" s="1"/>
  <c r="F89" i="4"/>
  <c r="I34" i="5"/>
  <c r="B36" i="5"/>
  <c r="D36" i="5" s="1"/>
  <c r="F35" i="5"/>
  <c r="C35" i="5"/>
  <c r="V88" i="4" l="1"/>
  <c r="S89" i="4"/>
  <c r="T89" i="4" s="1"/>
  <c r="R89" i="4"/>
  <c r="F90" i="4"/>
  <c r="G35" i="5"/>
  <c r="E36" i="5"/>
  <c r="C36" i="5" s="1"/>
  <c r="V89" i="4" l="1"/>
  <c r="S90" i="4"/>
  <c r="T90" i="4" s="1"/>
  <c r="R90" i="4"/>
  <c r="H35" i="5"/>
  <c r="G36" i="5"/>
  <c r="B37" i="5"/>
  <c r="D37" i="5" s="1"/>
  <c r="F36" i="5"/>
  <c r="V90" i="4" l="1"/>
  <c r="H36" i="5"/>
  <c r="I36" i="5" s="1"/>
  <c r="I35" i="5"/>
  <c r="E37" i="5" l="1"/>
  <c r="C37" i="5" s="1"/>
  <c r="G37" i="5" l="1"/>
  <c r="F37" i="5"/>
  <c r="B38" i="5"/>
  <c r="D38" i="5" s="1"/>
  <c r="H37" i="5" l="1"/>
  <c r="I37" i="5" l="1"/>
  <c r="E38" i="5"/>
  <c r="C38" i="5" s="1"/>
  <c r="G38" i="5" l="1"/>
  <c r="B39" i="5"/>
  <c r="D39" i="5" s="1"/>
  <c r="F38" i="5"/>
  <c r="H38" i="5" l="1"/>
  <c r="I38" i="5" l="1"/>
  <c r="E39" i="5"/>
  <c r="C39" i="5" s="1"/>
  <c r="G39" i="5" l="1"/>
  <c r="F39" i="5"/>
  <c r="B40" i="5"/>
  <c r="D40" i="5" s="1"/>
  <c r="H39" i="5" l="1"/>
  <c r="I39" i="5" l="1"/>
  <c r="E40" i="5"/>
  <c r="C40" i="5" s="1"/>
  <c r="G40" i="5" l="1"/>
  <c r="B41" i="5"/>
  <c r="D41" i="5" s="1"/>
  <c r="F40" i="5"/>
  <c r="H40" i="5" l="1"/>
  <c r="E41" i="5"/>
  <c r="C41" i="5" s="1"/>
  <c r="I40" i="5" l="1"/>
  <c r="G41" i="5"/>
  <c r="H41" i="5" s="1"/>
  <c r="B42" i="5"/>
  <c r="D42" i="5" s="1"/>
  <c r="F41" i="5"/>
  <c r="I41" i="5" l="1"/>
  <c r="E42" i="5"/>
  <c r="B43" i="5" s="1"/>
  <c r="D43" i="5" s="1"/>
  <c r="C42" i="5" l="1"/>
  <c r="F42" i="5"/>
  <c r="G42" i="5" l="1"/>
  <c r="E43" i="5"/>
  <c r="B44" i="5" s="1"/>
  <c r="D44" i="5" s="1"/>
  <c r="H42" i="5" l="1"/>
  <c r="C43" i="5"/>
  <c r="F43" i="5"/>
  <c r="I42" i="5" l="1"/>
  <c r="G43" i="5"/>
  <c r="H43" i="5" s="1"/>
  <c r="E44" i="5"/>
  <c r="B45" i="5" s="1"/>
  <c r="D45" i="5" s="1"/>
  <c r="I43" i="5" l="1"/>
  <c r="C44" i="5"/>
  <c r="E45" i="5"/>
  <c r="C45" i="5" s="1"/>
  <c r="G45" i="5" s="1"/>
  <c r="F44" i="5"/>
  <c r="G44" i="5" l="1"/>
  <c r="H44" i="5" s="1"/>
  <c r="H45" i="5" s="1"/>
  <c r="B46" i="5"/>
  <c r="D46" i="5" s="1"/>
  <c r="F45" i="5"/>
  <c r="I44" i="5" l="1"/>
  <c r="I45" i="5"/>
  <c r="E46" i="5"/>
  <c r="B47" i="5" l="1"/>
  <c r="D47" i="5" s="1"/>
  <c r="F46" i="5"/>
  <c r="C46" i="5"/>
  <c r="G46" i="5" l="1"/>
  <c r="H46" i="5" l="1"/>
  <c r="E47" i="5"/>
  <c r="I46" i="5" l="1"/>
  <c r="B48" i="5"/>
  <c r="D48" i="5" s="1"/>
  <c r="F47" i="5"/>
  <c r="C47" i="5"/>
  <c r="G47" i="5" l="1"/>
  <c r="E48" i="5"/>
  <c r="C48" i="5" s="1"/>
  <c r="H47" i="5" l="1"/>
  <c r="G48" i="5"/>
  <c r="B49" i="5"/>
  <c r="D49" i="5" s="1"/>
  <c r="F48" i="5"/>
  <c r="H48" i="5" l="1"/>
  <c r="I48" i="5" s="1"/>
  <c r="I47" i="5"/>
  <c r="E49" i="5" l="1"/>
  <c r="C49" i="5" s="1"/>
  <c r="G49" i="5" l="1"/>
  <c r="F49" i="5"/>
  <c r="B50" i="5"/>
  <c r="D50" i="5" s="1"/>
  <c r="H49" i="5" l="1"/>
  <c r="E50" i="5"/>
  <c r="C50" i="5" s="1"/>
  <c r="I49" i="5" l="1"/>
  <c r="G50" i="5"/>
  <c r="H50" i="5" s="1"/>
  <c r="B51" i="5"/>
  <c r="D51" i="5" s="1"/>
  <c r="F50" i="5"/>
  <c r="I50" i="5" l="1"/>
  <c r="E51" i="5"/>
  <c r="C51" i="5" s="1"/>
  <c r="G51" i="5" l="1"/>
  <c r="F51" i="5"/>
  <c r="B52" i="5"/>
  <c r="D52" i="5" s="1"/>
  <c r="H51" i="5" l="1"/>
  <c r="I51" i="5" l="1"/>
  <c r="E52" i="5"/>
  <c r="B53" i="5" l="1"/>
  <c r="D53" i="5" s="1"/>
  <c r="F52" i="5"/>
  <c r="C52" i="5"/>
  <c r="G52" i="5" l="1"/>
  <c r="H52" i="5" l="1"/>
  <c r="E53" i="5"/>
  <c r="I52" i="5" l="1"/>
  <c r="F53" i="5"/>
  <c r="B54" i="5"/>
  <c r="D54" i="5" s="1"/>
  <c r="C53" i="5"/>
  <c r="G53" i="5" l="1"/>
  <c r="H53" i="5" l="1"/>
  <c r="E54" i="5"/>
  <c r="C54" i="5" s="1"/>
  <c r="I53" i="5" l="1"/>
  <c r="G54" i="5"/>
  <c r="H54" i="5" s="1"/>
  <c r="B55" i="5"/>
  <c r="D55" i="5" s="1"/>
  <c r="F54" i="5"/>
  <c r="I54" i="5" l="1"/>
  <c r="E55" i="5"/>
  <c r="C55" i="5" s="1"/>
  <c r="G55" i="5" l="1"/>
  <c r="B56" i="5"/>
  <c r="D56" i="5" s="1"/>
  <c r="F55" i="5"/>
  <c r="H55" i="5" l="1"/>
  <c r="E56" i="5"/>
  <c r="B57" i="5" s="1"/>
  <c r="D57" i="5" s="1"/>
  <c r="I55" i="5" l="1"/>
  <c r="C56" i="5"/>
  <c r="F56" i="5"/>
  <c r="G56" i="5" l="1"/>
  <c r="E57" i="5"/>
  <c r="B58" i="5" s="1"/>
  <c r="D58" i="5" s="1"/>
  <c r="H56" i="5" l="1"/>
  <c r="C57" i="5"/>
  <c r="F57" i="5"/>
  <c r="I56" i="5" l="1"/>
  <c r="G57" i="5"/>
  <c r="E58" i="5"/>
  <c r="B59" i="5" s="1"/>
  <c r="D59" i="5" s="1"/>
  <c r="H57" i="5" l="1"/>
  <c r="C58" i="5"/>
  <c r="F58" i="5"/>
  <c r="I57" i="5" l="1"/>
  <c r="G58" i="5"/>
  <c r="E59" i="5"/>
  <c r="B60" i="5" s="1"/>
  <c r="D60" i="5" s="1"/>
  <c r="H58" i="5" l="1"/>
  <c r="E60" i="5"/>
  <c r="C60" i="5" s="1"/>
  <c r="G60" i="5" s="1"/>
  <c r="C59" i="5"/>
  <c r="F59" i="5"/>
  <c r="I58" i="5" l="1"/>
  <c r="G59" i="5"/>
  <c r="H59" i="5" s="1"/>
  <c r="H60" i="5" s="1"/>
  <c r="B61" i="5"/>
  <c r="D61" i="5" s="1"/>
  <c r="F60" i="5"/>
  <c r="I59" i="5" l="1"/>
  <c r="I60" i="5"/>
  <c r="E61" i="5" l="1"/>
  <c r="C61" i="5" s="1"/>
  <c r="G61" i="5" l="1"/>
  <c r="F61" i="5"/>
  <c r="B62" i="5"/>
  <c r="D62" i="5" s="1"/>
  <c r="H61" i="5" l="1"/>
  <c r="I61" i="5" l="1"/>
  <c r="E62" i="5"/>
  <c r="B63" i="5" l="1"/>
  <c r="D63" i="5" s="1"/>
  <c r="F62" i="5"/>
  <c r="C62" i="5"/>
  <c r="G62" i="5" l="1"/>
  <c r="H62" i="5" l="1"/>
  <c r="E63" i="5"/>
  <c r="I62" i="5" l="1"/>
  <c r="F63" i="5"/>
  <c r="B64" i="5"/>
  <c r="D64" i="5" s="1"/>
  <c r="C63" i="5"/>
  <c r="G63" i="5" l="1"/>
  <c r="H63" i="5" l="1"/>
  <c r="E64" i="5"/>
  <c r="C64" i="5" s="1"/>
  <c r="I63" i="5" l="1"/>
  <c r="G64" i="5"/>
  <c r="B65" i="5"/>
  <c r="D65" i="5" s="1"/>
  <c r="F64" i="5"/>
  <c r="H64" i="5" l="1"/>
  <c r="I64" i="5" l="1"/>
  <c r="E65" i="5"/>
  <c r="C65" i="5" s="1"/>
  <c r="G65" i="5" l="1"/>
  <c r="F65" i="5"/>
  <c r="B66" i="5"/>
  <c r="D66" i="5" s="1"/>
  <c r="H65" i="5" l="1"/>
  <c r="I65" i="5" l="1"/>
  <c r="E66" i="5"/>
  <c r="C66" i="5" s="1"/>
  <c r="G66" i="5" l="1"/>
  <c r="B67" i="5"/>
  <c r="D67" i="5" s="1"/>
  <c r="F66" i="5"/>
  <c r="H66" i="5" l="1"/>
  <c r="I66" i="5" l="1"/>
  <c r="E67" i="5"/>
  <c r="C67" i="5" s="1"/>
  <c r="G67" i="5" l="1"/>
  <c r="F67" i="5"/>
  <c r="B68" i="5"/>
  <c r="D68" i="5" s="1"/>
  <c r="H67" i="5" l="1"/>
  <c r="I67" i="5" l="1"/>
  <c r="E68" i="5"/>
  <c r="C68" i="5" s="1"/>
  <c r="G68" i="5" l="1"/>
  <c r="B69" i="5"/>
  <c r="D69" i="5" s="1"/>
  <c r="F68" i="5"/>
  <c r="H68" i="5" l="1"/>
  <c r="I68" i="5" l="1"/>
  <c r="E69" i="5"/>
  <c r="F69" i="5" l="1"/>
  <c r="B70" i="5"/>
  <c r="D70" i="5" s="1"/>
  <c r="C69" i="5"/>
  <c r="G69" i="5" l="1"/>
  <c r="H69" i="5" l="1"/>
  <c r="E70" i="5"/>
  <c r="I69" i="5" l="1"/>
  <c r="B71" i="5"/>
  <c r="D71" i="5" s="1"/>
  <c r="F70" i="5"/>
  <c r="C70" i="5"/>
  <c r="G70" i="5" l="1"/>
  <c r="H70" i="5" l="1"/>
  <c r="E71" i="5"/>
  <c r="C71" i="5" s="1"/>
  <c r="I70" i="5" l="1"/>
  <c r="G71" i="5"/>
  <c r="H71" i="5" s="1"/>
  <c r="F71" i="5"/>
  <c r="B72" i="5"/>
  <c r="D72" i="5" s="1"/>
  <c r="I71" i="5" l="1"/>
  <c r="E72" i="5"/>
  <c r="E73" i="5" s="1"/>
  <c r="D73" i="5"/>
  <c r="C72" i="5" l="1"/>
  <c r="F72" i="5"/>
  <c r="F73" i="5" s="1"/>
  <c r="G72" i="5" l="1"/>
  <c r="H72" i="5" l="1"/>
  <c r="I72" i="5" s="1"/>
  <c r="I73" i="5" s="1"/>
  <c r="I74" i="5" s="1"/>
  <c r="J13" i="5" s="1"/>
  <c r="G16" i="4" s="1"/>
  <c r="D31" i="6" s="1"/>
  <c r="J14" i="5" l="1"/>
  <c r="J15" i="5" s="1"/>
  <c r="K13" i="5"/>
  <c r="L13" i="5" l="1"/>
  <c r="K14" i="5"/>
  <c r="L14" i="5" s="1"/>
  <c r="K15" i="5"/>
  <c r="L15" i="5" s="1"/>
  <c r="J16" i="5"/>
  <c r="K16" i="5" l="1"/>
  <c r="L16" i="5" s="1"/>
  <c r="J17" i="5"/>
  <c r="K17" i="5" l="1"/>
  <c r="L17" i="5" s="1"/>
  <c r="J18" i="5"/>
  <c r="K18" i="5" l="1"/>
  <c r="L18" i="5" s="1"/>
  <c r="J19" i="5"/>
  <c r="K19" i="5" l="1"/>
  <c r="L19" i="5" s="1"/>
  <c r="J20" i="5"/>
  <c r="K20" i="5" l="1"/>
  <c r="L20" i="5" s="1"/>
  <c r="J21" i="5"/>
  <c r="K21" i="5" l="1"/>
  <c r="L21" i="5" s="1"/>
  <c r="J22" i="5"/>
  <c r="K22" i="5" l="1"/>
  <c r="L22" i="5" s="1"/>
  <c r="J23" i="5"/>
  <c r="K23" i="5" l="1"/>
  <c r="L23" i="5" s="1"/>
  <c r="J24" i="5"/>
  <c r="K24" i="5" l="1"/>
  <c r="L24" i="5" s="1"/>
  <c r="J25" i="5"/>
  <c r="K25" i="5" l="1"/>
  <c r="L25" i="5" s="1"/>
  <c r="J26" i="5"/>
  <c r="K26" i="5" l="1"/>
  <c r="L26" i="5" s="1"/>
  <c r="J27" i="5"/>
  <c r="K27" i="5" l="1"/>
  <c r="L27" i="5" s="1"/>
  <c r="J28" i="5"/>
  <c r="K28" i="5" l="1"/>
  <c r="L28" i="5" s="1"/>
  <c r="J29" i="5"/>
  <c r="K29" i="5" l="1"/>
  <c r="L29" i="5" s="1"/>
  <c r="J30" i="5"/>
  <c r="K30" i="5" l="1"/>
  <c r="L30" i="5" s="1"/>
  <c r="J31" i="5"/>
  <c r="K31" i="5" l="1"/>
  <c r="L31" i="5" s="1"/>
  <c r="J32" i="5"/>
  <c r="K32" i="5" l="1"/>
  <c r="L32" i="5" s="1"/>
  <c r="J33" i="5"/>
  <c r="K33" i="5" l="1"/>
  <c r="L33" i="5" s="1"/>
  <c r="J34" i="5"/>
  <c r="K34" i="5" l="1"/>
  <c r="L34" i="5" s="1"/>
  <c r="J35" i="5"/>
  <c r="K35" i="5" l="1"/>
  <c r="L35" i="5" s="1"/>
  <c r="J36" i="5"/>
  <c r="K36" i="5" l="1"/>
  <c r="L36" i="5" s="1"/>
  <c r="J37" i="5"/>
  <c r="K37" i="5" l="1"/>
  <c r="L37" i="5" s="1"/>
  <c r="J38" i="5"/>
  <c r="K38" i="5" l="1"/>
  <c r="L38" i="5" s="1"/>
  <c r="J39" i="5"/>
  <c r="K39" i="5" l="1"/>
  <c r="L39" i="5" s="1"/>
  <c r="J40" i="5"/>
  <c r="K40" i="5" l="1"/>
  <c r="L40" i="5" s="1"/>
  <c r="J41" i="5"/>
  <c r="K41" i="5" l="1"/>
  <c r="L41" i="5" s="1"/>
  <c r="J42" i="5"/>
  <c r="K42" i="5" l="1"/>
  <c r="L42" i="5" s="1"/>
  <c r="J43" i="5"/>
  <c r="K43" i="5" l="1"/>
  <c r="L43" i="5" s="1"/>
  <c r="J44" i="5"/>
  <c r="K44" i="5" l="1"/>
  <c r="L44" i="5" s="1"/>
  <c r="J45" i="5"/>
  <c r="K45" i="5" l="1"/>
  <c r="L45" i="5" s="1"/>
  <c r="J46" i="5"/>
  <c r="K46" i="5" l="1"/>
  <c r="L46" i="5" s="1"/>
  <c r="J47" i="5"/>
  <c r="K47" i="5" l="1"/>
  <c r="L47" i="5" s="1"/>
  <c r="J48" i="5"/>
  <c r="K48" i="5" l="1"/>
  <c r="L48" i="5" s="1"/>
  <c r="J49" i="5"/>
  <c r="K49" i="5" l="1"/>
  <c r="L49" i="5" s="1"/>
  <c r="J50" i="5"/>
  <c r="K50" i="5" l="1"/>
  <c r="L50" i="5" s="1"/>
  <c r="J51" i="5"/>
  <c r="K51" i="5" l="1"/>
  <c r="L51" i="5" s="1"/>
  <c r="J52" i="5"/>
  <c r="K52" i="5" l="1"/>
  <c r="L52" i="5" s="1"/>
  <c r="J53" i="5"/>
  <c r="K53" i="5" l="1"/>
  <c r="L53" i="5" s="1"/>
  <c r="J54" i="5"/>
  <c r="K54" i="5" l="1"/>
  <c r="L54" i="5" s="1"/>
  <c r="J55" i="5"/>
  <c r="K55" i="5" l="1"/>
  <c r="L55" i="5" s="1"/>
  <c r="J56" i="5"/>
  <c r="K56" i="5" l="1"/>
  <c r="L56" i="5" s="1"/>
  <c r="J57" i="5"/>
  <c r="K57" i="5" l="1"/>
  <c r="L57" i="5" s="1"/>
  <c r="J58" i="5"/>
  <c r="K58" i="5" l="1"/>
  <c r="L58" i="5" s="1"/>
  <c r="J59" i="5"/>
  <c r="K59" i="5" l="1"/>
  <c r="L59" i="5" s="1"/>
  <c r="J60" i="5"/>
  <c r="K60" i="5" l="1"/>
  <c r="L60" i="5" s="1"/>
  <c r="J61" i="5"/>
  <c r="K61" i="5" l="1"/>
  <c r="L61" i="5" s="1"/>
  <c r="J62" i="5"/>
  <c r="K62" i="5" l="1"/>
  <c r="L62" i="5" s="1"/>
  <c r="J63" i="5"/>
  <c r="K63" i="5" l="1"/>
  <c r="L63" i="5" s="1"/>
  <c r="J64" i="5"/>
  <c r="K64" i="5" l="1"/>
  <c r="L64" i="5" s="1"/>
  <c r="J65" i="5"/>
  <c r="K65" i="5" l="1"/>
  <c r="L65" i="5" s="1"/>
  <c r="J66" i="5"/>
  <c r="K66" i="5" l="1"/>
  <c r="L66" i="5" s="1"/>
  <c r="J67" i="5"/>
  <c r="K67" i="5" l="1"/>
  <c r="L67" i="5" s="1"/>
  <c r="J68" i="5"/>
  <c r="K68" i="5" l="1"/>
  <c r="L68" i="5" s="1"/>
  <c r="J69" i="5"/>
  <c r="K69" i="5" l="1"/>
  <c r="L69" i="5" s="1"/>
  <c r="J70" i="5"/>
  <c r="K70" i="5" l="1"/>
  <c r="L70" i="5" s="1"/>
  <c r="J71" i="5"/>
  <c r="K71" i="5" l="1"/>
  <c r="L71" i="5" s="1"/>
  <c r="J72" i="5"/>
  <c r="K72" i="5" l="1"/>
  <c r="L72" i="5" s="1"/>
  <c r="G12" i="4" l="1"/>
  <c r="G19" i="4" s="1"/>
  <c r="O5" i="4" s="1"/>
  <c r="O6" i="4" s="1"/>
  <c r="O9" i="4" l="1"/>
  <c r="O10" i="4" s="1"/>
  <c r="O13" i="4" s="1"/>
  <c r="O14" i="4" s="1"/>
  <c r="D32" i="6"/>
  <c r="D33" i="6" s="1"/>
  <c r="K11" i="6" s="1"/>
  <c r="K12" i="6" s="1"/>
  <c r="K14" i="6" l="1"/>
  <c r="K17" i="6" s="1"/>
  <c r="J2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Kamal Deep. Nanda</author>
  </authors>
  <commentList>
    <comment ref="D14" authorId="0" shapeId="0" xr:uid="{00000000-0006-0000-0000-000001000000}">
      <text>
        <r>
          <rPr>
            <b/>
            <sz val="9"/>
            <color indexed="81"/>
            <rFont val="Tahoma"/>
            <family val="2"/>
          </rPr>
          <t>LP: Please Select Correct GST rate</t>
        </r>
        <r>
          <rPr>
            <sz val="9"/>
            <color indexed="81"/>
            <rFont val="Tahoma"/>
            <family val="2"/>
          </rPr>
          <t xml:space="preserve">
</t>
        </r>
      </text>
    </comment>
    <comment ref="D15" authorId="0" shapeId="0" xr:uid="{00000000-0006-0000-0000-000002000000}">
      <text>
        <r>
          <rPr>
            <b/>
            <sz val="9"/>
            <color indexed="81"/>
            <rFont val="Tahoma"/>
            <family val="2"/>
          </rPr>
          <t>LP: Please Select Yes or NO for Green Cess</t>
        </r>
        <r>
          <rPr>
            <sz val="9"/>
            <color indexed="81"/>
            <rFont val="Tahoma"/>
            <family val="2"/>
          </rPr>
          <t xml:space="preserve">
</t>
        </r>
      </text>
    </comment>
    <comment ref="D18" authorId="0" shapeId="0" xr:uid="{00000000-0006-0000-0000-000003000000}">
      <text>
        <r>
          <rPr>
            <b/>
            <sz val="9"/>
            <color indexed="81"/>
            <rFont val="Tahoma"/>
            <family val="2"/>
          </rPr>
          <t>Expand this field &amp; input Insurance value as per Lease term</t>
        </r>
      </text>
    </comment>
    <comment ref="D27" authorId="0" shapeId="0" xr:uid="{00000000-0006-0000-0000-000004000000}">
      <text>
        <r>
          <rPr>
            <b/>
            <sz val="9"/>
            <color indexed="81"/>
            <rFont val="Tahoma"/>
            <family val="2"/>
          </rPr>
          <t>LP: Please Select Tenure for LR Calculation</t>
        </r>
        <r>
          <rPr>
            <sz val="9"/>
            <color indexed="81"/>
            <rFont val="Tahoma"/>
            <family val="2"/>
          </rPr>
          <t xml:space="preserve">
</t>
        </r>
      </text>
    </comment>
    <comment ref="D30" authorId="0" shapeId="0" xr:uid="{00000000-0006-0000-0000-000005000000}">
      <text>
        <r>
          <rPr>
            <b/>
            <sz val="9"/>
            <color indexed="81"/>
            <rFont val="Tahoma"/>
            <family val="2"/>
          </rPr>
          <t>LP:
#Indicative Only
# Actual Might Vary</t>
        </r>
      </text>
    </comment>
  </commentList>
</comments>
</file>

<file path=xl/sharedStrings.xml><?xml version="1.0" encoding="utf-8"?>
<sst xmlns="http://schemas.openxmlformats.org/spreadsheetml/2006/main" count="161" uniqueCount="132">
  <si>
    <t>Quotation Summary</t>
  </si>
  <si>
    <t>LeasePlan Quotation</t>
  </si>
  <si>
    <t>Savings with Lease</t>
  </si>
  <si>
    <t>Client Name</t>
  </si>
  <si>
    <t>UH Group</t>
  </si>
  <si>
    <t>Car Loan (Bank)</t>
  </si>
  <si>
    <t>Car Lease (SalaryPlan)</t>
  </si>
  <si>
    <t>Employee Name</t>
  </si>
  <si>
    <t>Sample</t>
  </si>
  <si>
    <t>Car Cost (Funding Value)</t>
  </si>
  <si>
    <t>Lease Rent</t>
  </si>
  <si>
    <t>Vehicle Model/Variant</t>
  </si>
  <si>
    <t>ROI (%)</t>
  </si>
  <si>
    <t>Outflow</t>
  </si>
  <si>
    <t>EMI</t>
  </si>
  <si>
    <t>IT Saving (assumed) @30%</t>
  </si>
  <si>
    <t>GST% on vehicle</t>
  </si>
  <si>
    <t>Maintenance &amp; Fuel</t>
  </si>
  <si>
    <t>Outflow Post Tax Saving</t>
  </si>
  <si>
    <t>Green Cess (Vehicle &gt; 2000 CC, Delhi NCR only)</t>
  </si>
  <si>
    <t>No</t>
  </si>
  <si>
    <t>Total Outflow (INR)</t>
  </si>
  <si>
    <t>RV</t>
  </si>
  <si>
    <t>Ex-Showroom Price</t>
  </si>
  <si>
    <r>
      <t>GST on RV</t>
    </r>
    <r>
      <rPr>
        <b/>
        <i/>
        <sz val="9"/>
        <rFont val="Arial"/>
        <family val="2"/>
      </rPr>
      <t>***</t>
    </r>
  </si>
  <si>
    <t>Road Tax</t>
  </si>
  <si>
    <t>Insurance : 1st Year</t>
  </si>
  <si>
    <t>2nd Year</t>
  </si>
  <si>
    <t>3rd Year</t>
  </si>
  <si>
    <t>OEM / Dealer Discount (if any)</t>
  </si>
  <si>
    <t>SAVINGS (INR)</t>
  </si>
  <si>
    <t>Accessories (Optional)</t>
  </si>
  <si>
    <t xml:space="preserve">GST 28% </t>
  </si>
  <si>
    <t xml:space="preserve"># Opportunity to avail additional policy benefits e.g Tax saving on Fuel &amp; Chauffer Salary </t>
  </si>
  <si>
    <t>GST 18%</t>
  </si>
  <si>
    <t>TCS</t>
  </si>
  <si>
    <t>Tenure in Months</t>
  </si>
  <si>
    <t>Mileage</t>
  </si>
  <si>
    <t>Residual Value %</t>
  </si>
  <si>
    <t>Base LR (Excluding GST)</t>
  </si>
  <si>
    <t>GST</t>
  </si>
  <si>
    <t>Total LR (Including GST)</t>
  </si>
  <si>
    <t>* Price &amp; Taxes are subject to change</t>
  </si>
  <si>
    <r>
      <t xml:space="preserve">** Indicative quote calculator, for actual quotes please visit </t>
    </r>
    <r>
      <rPr>
        <b/>
        <i/>
        <sz val="10"/>
        <color rgb="FF0070C0"/>
        <rFont val="Arial"/>
        <family val="2"/>
      </rPr>
      <t>salaryplan.co.in</t>
    </r>
    <r>
      <rPr>
        <b/>
        <i/>
        <sz val="9"/>
        <rFont val="Arial"/>
        <family val="2"/>
      </rPr>
      <t xml:space="preserve"> and create a quote</t>
    </r>
  </si>
  <si>
    <t>*** GST reverse charge will be applied on FC &amp; Termination on or before 36 months</t>
  </si>
  <si>
    <t>QUOTATION - Break Up</t>
  </si>
  <si>
    <t>LEASEPLAN TEAM INPUT FIELDS</t>
  </si>
  <si>
    <t>SAVINGS CALCULATION</t>
  </si>
  <si>
    <t>Ex Showroom</t>
  </si>
  <si>
    <t>On Road Price</t>
  </si>
  <si>
    <t>Lease rent car lease</t>
  </si>
  <si>
    <t>EMI Type</t>
  </si>
  <si>
    <t>Arrear</t>
  </si>
  <si>
    <t>Input</t>
  </si>
  <si>
    <t>Yes</t>
  </si>
  <si>
    <t>Bank Loan IRR</t>
  </si>
  <si>
    <t>Total outflow</t>
  </si>
  <si>
    <t>Insurance</t>
  </si>
  <si>
    <t>Bank loan EMI</t>
  </si>
  <si>
    <t xml:space="preserve">Fuel/Chauffer/Insurance/Maintenance Reimbursements </t>
  </si>
  <si>
    <t>(Assumed Value)</t>
  </si>
  <si>
    <t>Ex-showroom price</t>
  </si>
  <si>
    <t>Discount</t>
  </si>
  <si>
    <t>GST on Discount</t>
  </si>
  <si>
    <t>Accessories@ 28%</t>
  </si>
  <si>
    <t>Total Outflow Bank loan</t>
  </si>
  <si>
    <t>Reimbursement Value</t>
  </si>
  <si>
    <t>(Entire Term)</t>
  </si>
  <si>
    <t>CGST</t>
  </si>
  <si>
    <t>Base Discount</t>
  </si>
  <si>
    <t>Accessories@18%</t>
  </si>
  <si>
    <t>Tax Savings @30%</t>
  </si>
  <si>
    <t>SGST</t>
  </si>
  <si>
    <t>Outflow net of Tax savings</t>
  </si>
  <si>
    <t>Cess</t>
  </si>
  <si>
    <t>EMI Vehicle</t>
  </si>
  <si>
    <t>Green Cess @ 1%</t>
  </si>
  <si>
    <t>Base Price</t>
  </si>
  <si>
    <t>GST on Vehicle EMI</t>
  </si>
  <si>
    <t>TCS @ .75%</t>
  </si>
  <si>
    <t>GST on RV</t>
  </si>
  <si>
    <t>Road Tax Registration</t>
  </si>
  <si>
    <t xml:space="preserve">Road Tax, Insurance </t>
  </si>
  <si>
    <t>Total Outflow</t>
  </si>
  <si>
    <t>Insurance 1st Year</t>
  </si>
  <si>
    <t>Management Fee</t>
  </si>
  <si>
    <t>GST Rate including cess</t>
  </si>
  <si>
    <t>Savings</t>
  </si>
  <si>
    <t>Net Financed Amt</t>
  </si>
  <si>
    <t>GST on FMS</t>
  </si>
  <si>
    <t>Interest Rate</t>
  </si>
  <si>
    <t>* GST reverse charge will be applied on FC &amp; Termination on or before 36 months</t>
  </si>
  <si>
    <t>Tenure</t>
  </si>
  <si>
    <t>Interest on out standing GST (FBC)</t>
  </si>
  <si>
    <t>Management Fees</t>
  </si>
  <si>
    <t>FBC on TCS</t>
  </si>
  <si>
    <t>Residual Value pre GST</t>
  </si>
  <si>
    <t>GST on RT &amp; Insurance Interest</t>
  </si>
  <si>
    <t>Total</t>
  </si>
  <si>
    <t>Finance EMI vehicle</t>
  </si>
  <si>
    <t>Input credit-</t>
  </si>
  <si>
    <t>Vehicle Calculation</t>
  </si>
  <si>
    <t>Road Tax, Reg, calculation</t>
  </si>
  <si>
    <t>Insurance calculation</t>
  </si>
  <si>
    <t>OBV Without GST</t>
  </si>
  <si>
    <t>GST Calculation</t>
  </si>
  <si>
    <t>Total OBV with Tax</t>
  </si>
  <si>
    <t>No. of months</t>
  </si>
  <si>
    <t>Net Inv</t>
  </si>
  <si>
    <t>Fin Charge</t>
  </si>
  <si>
    <t>Annual Charge</t>
  </si>
  <si>
    <t>Book Value</t>
  </si>
  <si>
    <t>Gst On Vehicle</t>
  </si>
  <si>
    <t>Gst Reversal Impact</t>
  </si>
  <si>
    <t>Input reversal</t>
  </si>
  <si>
    <t xml:space="preserve">FBC (Fund Blockage Charge) is an interest on the GST input credit provided by LP. As per the calculation the financing emi is calculated on the base price of the car (ex- showroom - GST) by doing so LP gives an upfront credit of GST amount to the Client however the recovery of the GST is done on a monthly basis, this leads to significant blockage of interest bearing funds for LP during the lease period.  We levy a charge equivalent to the interest earning applicable on the GST amount.   </t>
  </si>
  <si>
    <t>Ex-showroom</t>
  </si>
  <si>
    <t>GST Credit</t>
  </si>
  <si>
    <t>Dev%</t>
  </si>
  <si>
    <t>Principle</t>
  </si>
  <si>
    <t>Intt. Rate</t>
  </si>
  <si>
    <t>No. period</t>
  </si>
  <si>
    <t>Annuity</t>
  </si>
  <si>
    <t>FBC</t>
  </si>
  <si>
    <t>Sl. No</t>
  </si>
  <si>
    <t>Net Investment</t>
  </si>
  <si>
    <t>Intt</t>
  </si>
  <si>
    <t>Dep</t>
  </si>
  <si>
    <t>BV</t>
  </si>
  <si>
    <t>GST Cr</t>
  </si>
  <si>
    <t>GST Interest</t>
  </si>
  <si>
    <t>Interest EMI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</si>
</sst>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Red]\ \(#,##0\)"/>
    <numFmt numFmtId="166" formatCode="_-* #,##0_-;\-* #,##0_-;_-* &quot;-&quot;??_-;_-@_-"/>
  </numFmts>
  <fonts count="20">
    <font>
      <sz val="10"/>
      <name val="Arial"/>
    </font>
    <font>
      <sz val="10"/>
      <name val="Arial"/>
      <family val="2"/>
    </font>
    <font>
      <b/>
      <sz val="10"/>
      <name val="Arial"/>
      <family val="2"/>
    </font>
    <font>
      <sz val="8"/>
      <name val="Arial"/>
      <family val="2"/>
    </font>
    <font>
      <sz val="10"/>
      <name val="Arial"/>
      <family val="2"/>
    </font>
    <font>
      <b/>
      <sz val="8"/>
      <name val="Arial"/>
      <family val="2"/>
    </font>
    <font>
      <b/>
      <sz val="12"/>
      <name val="Arial"/>
      <family val="2"/>
    </font>
    <font>
      <sz val="9"/>
      <name val="Arial"/>
      <family val="2"/>
    </font>
    <font>
      <b/>
      <sz val="9"/>
      <name val="Arial"/>
      <family val="2"/>
    </font>
    <font>
      <b/>
      <i/>
      <sz val="9"/>
      <name val="Arial"/>
      <family val="2"/>
    </font>
    <font>
      <sz val="9"/>
      <color indexed="81"/>
      <name val="Tahoma"/>
      <family val="2"/>
    </font>
    <font>
      <b/>
      <sz val="9"/>
      <color indexed="81"/>
      <name val="Tahoma"/>
      <family val="2"/>
    </font>
    <font>
      <b/>
      <i/>
      <sz val="10"/>
      <color rgb="FF0070C0"/>
      <name val="Arial"/>
      <family val="2"/>
    </font>
    <font>
      <sz val="8"/>
      <color theme="0"/>
      <name val="Arial"/>
      <family val="2"/>
    </font>
    <font>
      <b/>
      <sz val="9"/>
      <color theme="0"/>
      <name val="Arial"/>
      <family val="2"/>
    </font>
    <font>
      <b/>
      <sz val="10"/>
      <color theme="0"/>
      <name val="Arial"/>
      <family val="2"/>
    </font>
    <font>
      <b/>
      <sz val="12"/>
      <color theme="0"/>
      <name val="Arial"/>
      <family val="2"/>
    </font>
    <font>
      <b/>
      <sz val="14"/>
      <color rgb="FFEE4C14"/>
      <name val="Arial"/>
      <family val="2"/>
    </font>
    <font>
      <b/>
      <sz val="16"/>
      <color rgb="FFEE4C14"/>
      <name val="Arial"/>
      <family val="2"/>
    </font>
    <font>
      <b/>
      <sz val="8"/>
      <color theme="0"/>
      <name val="Arial"/>
      <family val="2"/>
    </font>
  </fonts>
  <fills count="1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rgb="FFEE4C14"/>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00B1AF"/>
        <bgColor indexed="64"/>
      </patternFill>
    </fill>
    <fill>
      <patternFill patternType="solid">
        <fgColor theme="8" tint="0.59999389629810485"/>
        <bgColor indexed="64"/>
      </patternFill>
    </fill>
    <fill>
      <patternFill patternType="solid">
        <fgColor rgb="FF009A17"/>
        <bgColor indexed="64"/>
      </patternFill>
    </fill>
    <fill>
      <patternFill patternType="solid">
        <fgColor theme="0" tint="-0.14999847407452621"/>
        <bgColor indexed="64"/>
      </patternFill>
    </fill>
  </fills>
  <borders count="25">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indexed="64"/>
      </right>
      <top style="thin">
        <color indexed="64"/>
      </top>
      <bottom/>
      <diagonal/>
    </border>
    <border>
      <left style="thin">
        <color theme="0" tint="-0.249977111117893"/>
      </left>
      <right style="thin">
        <color indexed="64"/>
      </right>
      <top/>
      <bottom style="thin">
        <color indexed="64"/>
      </bottom>
      <diagonal/>
    </border>
  </borders>
  <cellStyleXfs count="3">
    <xf numFmtId="0" fontId="0" fillId="0" borderId="0"/>
    <xf numFmtId="164" fontId="4" fillId="0" borderId="0" applyFont="0" applyFill="0" applyBorder="0" applyAlignment="0" applyProtection="0"/>
    <xf numFmtId="9" fontId="4" fillId="0" borderId="0" applyFont="0" applyFill="0" applyBorder="0" applyAlignment="0" applyProtection="0"/>
  </cellStyleXfs>
  <cellXfs count="204">
    <xf numFmtId="0" fontId="0" fillId="0" borderId="0" xfId="0"/>
    <xf numFmtId="0" fontId="0" fillId="0" borderId="0" xfId="0" applyBorder="1"/>
    <xf numFmtId="1" fontId="0" fillId="0" borderId="0" xfId="0" applyNumberFormat="1"/>
    <xf numFmtId="165" fontId="0" fillId="0" borderId="0" xfId="0" applyNumberFormat="1" applyBorder="1"/>
    <xf numFmtId="0" fontId="0" fillId="0" borderId="5" xfId="0" applyBorder="1" applyAlignment="1">
      <alignment horizontal="center"/>
    </xf>
    <xf numFmtId="0" fontId="0" fillId="0" borderId="0" xfId="0" applyFill="1" applyBorder="1" applyAlignment="1">
      <alignment horizontal="center"/>
    </xf>
    <xf numFmtId="165" fontId="0" fillId="0" borderId="0" xfId="0" applyNumberFormat="1"/>
    <xf numFmtId="166" fontId="0" fillId="0" borderId="0" xfId="0" applyNumberFormat="1"/>
    <xf numFmtId="166" fontId="1" fillId="0" borderId="0" xfId="1" applyNumberFormat="1" applyFont="1" applyBorder="1"/>
    <xf numFmtId="166" fontId="0" fillId="0" borderId="0" xfId="0" applyNumberFormat="1" applyBorder="1"/>
    <xf numFmtId="0" fontId="0" fillId="0" borderId="5" xfId="0" applyBorder="1"/>
    <xf numFmtId="165" fontId="0" fillId="0" borderId="5" xfId="0" applyNumberFormat="1" applyBorder="1"/>
    <xf numFmtId="0" fontId="0" fillId="0" borderId="3" xfId="0" applyBorder="1"/>
    <xf numFmtId="0" fontId="0" fillId="0" borderId="3" xfId="0" applyBorder="1" applyAlignment="1">
      <alignment horizontal="center"/>
    </xf>
    <xf numFmtId="165" fontId="0" fillId="0" borderId="5" xfId="0" applyNumberFormat="1" applyBorder="1" applyAlignment="1">
      <alignment horizontal="center"/>
    </xf>
    <xf numFmtId="166" fontId="1" fillId="0" borderId="5" xfId="1" applyNumberFormat="1" applyFont="1" applyBorder="1" applyAlignment="1">
      <alignment horizontal="center"/>
    </xf>
    <xf numFmtId="166" fontId="0" fillId="0" borderId="5" xfId="0" applyNumberFormat="1" applyBorder="1" applyAlignment="1">
      <alignment horizontal="center"/>
    </xf>
    <xf numFmtId="166" fontId="1" fillId="0" borderId="4" xfId="1" applyNumberFormat="1" applyFont="1" applyBorder="1" applyAlignment="1">
      <alignment horizontal="center"/>
    </xf>
    <xf numFmtId="1" fontId="0" fillId="0" borderId="5" xfId="0" applyNumberFormat="1" applyBorder="1" applyAlignment="1">
      <alignment horizontal="center"/>
    </xf>
    <xf numFmtId="10" fontId="1" fillId="0" borderId="5" xfId="2" applyNumberFormat="1" applyFont="1" applyBorder="1" applyAlignment="1">
      <alignment horizontal="center"/>
    </xf>
    <xf numFmtId="9" fontId="1" fillId="0" borderId="5" xfId="2" applyFont="1" applyBorder="1" applyAlignment="1">
      <alignment horizontal="center"/>
    </xf>
    <xf numFmtId="165" fontId="2" fillId="0" borderId="5" xfId="0" applyNumberFormat="1" applyFont="1" applyBorder="1" applyAlignment="1">
      <alignment horizontal="center"/>
    </xf>
    <xf numFmtId="0" fontId="2" fillId="0" borderId="3" xfId="0" applyFont="1" applyBorder="1"/>
    <xf numFmtId="0" fontId="0" fillId="0" borderId="4" xfId="0" applyBorder="1"/>
    <xf numFmtId="9" fontId="0" fillId="0" borderId="5" xfId="0" applyNumberFormat="1" applyBorder="1"/>
    <xf numFmtId="0" fontId="3" fillId="0" borderId="0" xfId="0" applyFont="1"/>
    <xf numFmtId="0" fontId="3" fillId="2" borderId="0" xfId="0" applyFont="1" applyFill="1"/>
    <xf numFmtId="0" fontId="3" fillId="3" borderId="0" xfId="0" applyFont="1" applyFill="1"/>
    <xf numFmtId="0" fontId="3" fillId="3" borderId="0" xfId="0" applyFont="1" applyFill="1" applyBorder="1"/>
    <xf numFmtId="0" fontId="3" fillId="0" borderId="0" xfId="0" applyFont="1" applyFill="1" applyBorder="1"/>
    <xf numFmtId="0" fontId="5" fillId="2" borderId="0" xfId="0" applyFont="1" applyFill="1"/>
    <xf numFmtId="38" fontId="3" fillId="2" borderId="0" xfId="0" applyNumberFormat="1" applyFont="1" applyFill="1"/>
    <xf numFmtId="0" fontId="3" fillId="2" borderId="0" xfId="0" applyFont="1" applyFill="1" applyBorder="1"/>
    <xf numFmtId="1" fontId="3" fillId="2" borderId="0" xfId="0" applyNumberFormat="1" applyFont="1" applyFill="1"/>
    <xf numFmtId="3" fontId="3" fillId="2" borderId="0" xfId="0" applyNumberFormat="1" applyFont="1" applyFill="1"/>
    <xf numFmtId="0" fontId="6" fillId="2" borderId="0" xfId="0" applyFont="1" applyFill="1" applyAlignment="1">
      <alignment wrapText="1"/>
    </xf>
    <xf numFmtId="0" fontId="8" fillId="2" borderId="0" xfId="0" applyFont="1" applyFill="1" applyAlignment="1">
      <alignment horizontal="center" vertical="center" wrapText="1"/>
    </xf>
    <xf numFmtId="38" fontId="8"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3" fillId="2" borderId="0" xfId="0" applyFont="1" applyFill="1" applyBorder="1" applyAlignment="1">
      <alignment horizontal="center"/>
    </xf>
    <xf numFmtId="0" fontId="1" fillId="0" borderId="0" xfId="2" applyNumberFormat="1" applyFont="1" applyBorder="1"/>
    <xf numFmtId="1" fontId="0" fillId="0" borderId="0" xfId="0" applyNumberFormat="1" applyBorder="1"/>
    <xf numFmtId="9" fontId="0" fillId="0" borderId="5" xfId="2" applyFont="1" applyBorder="1" applyAlignment="1">
      <alignment horizontal="center"/>
    </xf>
    <xf numFmtId="0" fontId="2" fillId="0" borderId="5" xfId="0" applyFont="1" applyBorder="1" applyAlignment="1">
      <alignment horizontal="center"/>
    </xf>
    <xf numFmtId="166" fontId="7" fillId="3" borderId="0" xfId="1" applyNumberFormat="1" applyFont="1" applyFill="1" applyBorder="1" applyAlignment="1" applyProtection="1">
      <alignment horizontal="right" vertical="center" wrapText="1"/>
    </xf>
    <xf numFmtId="10" fontId="7" fillId="3" borderId="0" xfId="0" applyNumberFormat="1" applyFont="1" applyFill="1" applyBorder="1" applyAlignment="1" applyProtection="1">
      <alignment horizontal="right" vertical="center" wrapText="1"/>
    </xf>
    <xf numFmtId="166" fontId="7" fillId="3" borderId="0" xfId="1"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3" borderId="0" xfId="0" applyFont="1" applyFill="1" applyBorder="1" applyAlignment="1" applyProtection="1">
      <alignment horizontal="center" vertical="center" wrapText="1"/>
    </xf>
    <xf numFmtId="0" fontId="0" fillId="3" borderId="0" xfId="0" applyFill="1" applyProtection="1"/>
    <xf numFmtId="0" fontId="0" fillId="0" borderId="0" xfId="0" applyProtection="1"/>
    <xf numFmtId="0" fontId="0" fillId="3" borderId="0" xfId="0" applyFill="1" applyBorder="1" applyProtection="1"/>
    <xf numFmtId="0" fontId="0" fillId="0" borderId="0" xfId="0" applyBorder="1" applyProtection="1"/>
    <xf numFmtId="0" fontId="9" fillId="3" borderId="0" xfId="0" applyFont="1" applyFill="1" applyProtection="1"/>
    <xf numFmtId="0" fontId="13" fillId="3" borderId="0" xfId="0" applyFont="1" applyFill="1"/>
    <xf numFmtId="0" fontId="7" fillId="2" borderId="0" xfId="0" applyFont="1" applyFill="1" applyAlignment="1">
      <alignment horizontal="right" vertical="center" wrapText="1"/>
    </xf>
    <xf numFmtId="0" fontId="9" fillId="2" borderId="0" xfId="0" applyFont="1" applyFill="1" applyAlignment="1">
      <alignment horizontal="left" vertical="center"/>
    </xf>
    <xf numFmtId="0" fontId="3" fillId="2" borderId="5" xfId="0" applyFont="1" applyFill="1" applyBorder="1"/>
    <xf numFmtId="0" fontId="0" fillId="0" borderId="0" xfId="0" applyFill="1" applyBorder="1" applyProtection="1"/>
    <xf numFmtId="0" fontId="2" fillId="3" borderId="0" xfId="0" applyFont="1" applyFill="1" applyBorder="1" applyAlignment="1" applyProtection="1">
      <alignment horizontal="center"/>
    </xf>
    <xf numFmtId="0" fontId="7" fillId="0" borderId="10" xfId="0" applyFont="1" applyFill="1" applyBorder="1" applyAlignment="1" applyProtection="1">
      <alignment vertical="center" wrapText="1"/>
    </xf>
    <xf numFmtId="166" fontId="7" fillId="0" borderId="10" xfId="1" applyNumberFormat="1" applyFont="1" applyFill="1" applyBorder="1" applyAlignment="1" applyProtection="1">
      <alignment horizontal="right" vertical="center" wrapText="1"/>
    </xf>
    <xf numFmtId="10" fontId="7" fillId="0" borderId="10" xfId="0" applyNumberFormat="1" applyFont="1" applyFill="1" applyBorder="1" applyAlignment="1" applyProtection="1">
      <alignment horizontal="right" vertical="center" wrapText="1"/>
    </xf>
    <xf numFmtId="166" fontId="7" fillId="0" borderId="10" xfId="1" applyNumberFormat="1" applyFont="1" applyFill="1" applyBorder="1" applyAlignment="1" applyProtection="1">
      <alignment horizontal="center" vertical="center" wrapText="1"/>
    </xf>
    <xf numFmtId="166" fontId="14" fillId="12" borderId="0" xfId="1" applyNumberFormat="1" applyFont="1" applyFill="1" applyBorder="1" applyAlignment="1" applyProtection="1">
      <alignment horizontal="center" vertical="center" wrapText="1"/>
    </xf>
    <xf numFmtId="0" fontId="14" fillId="12" borderId="0"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38" fontId="7" fillId="0" borderId="10" xfId="0" applyNumberFormat="1" applyFont="1" applyFill="1" applyBorder="1" applyAlignment="1" applyProtection="1">
      <alignment horizontal="right" vertical="center" wrapText="1"/>
    </xf>
    <xf numFmtId="0" fontId="14" fillId="7" borderId="10" xfId="0" applyFont="1" applyFill="1" applyBorder="1" applyAlignment="1" applyProtection="1">
      <alignment horizontal="left" vertical="center" wrapText="1"/>
    </xf>
    <xf numFmtId="38" fontId="14" fillId="7" borderId="10" xfId="0" applyNumberFormat="1" applyFont="1" applyFill="1" applyBorder="1" applyAlignment="1" applyProtection="1">
      <alignment horizontal="right" vertical="center" wrapText="1"/>
    </xf>
    <xf numFmtId="0" fontId="0" fillId="0" borderId="0" xfId="0" applyFill="1" applyProtection="1"/>
    <xf numFmtId="10" fontId="0" fillId="0" borderId="0" xfId="0" applyNumberFormat="1" applyFill="1" applyProtection="1"/>
    <xf numFmtId="0" fontId="2" fillId="4" borderId="0" xfId="0" applyFont="1" applyFill="1" applyBorder="1" applyProtection="1"/>
    <xf numFmtId="9" fontId="7" fillId="0" borderId="10" xfId="0" applyNumberFormat="1" applyFont="1" applyBorder="1" applyAlignment="1" applyProtection="1">
      <alignment horizontal="center"/>
      <protection locked="0"/>
    </xf>
    <xf numFmtId="0" fontId="7" fillId="0" borderId="10" xfId="0" applyFont="1" applyBorder="1" applyAlignment="1" applyProtection="1">
      <alignment horizontal="center"/>
      <protection locked="0"/>
    </xf>
    <xf numFmtId="166" fontId="7" fillId="0" borderId="10" xfId="1" applyNumberFormat="1" applyFont="1" applyBorder="1" applyAlignment="1" applyProtection="1">
      <alignment horizontal="center"/>
      <protection locked="0"/>
    </xf>
    <xf numFmtId="0" fontId="7" fillId="10" borderId="10" xfId="0" applyFont="1" applyFill="1" applyBorder="1" applyAlignment="1" applyProtection="1">
      <alignment horizontal="center"/>
    </xf>
    <xf numFmtId="0" fontId="7" fillId="0" borderId="0" xfId="0" applyFont="1" applyAlignment="1" applyProtection="1"/>
    <xf numFmtId="0" fontId="7" fillId="0" borderId="0" xfId="0" applyFont="1" applyBorder="1" applyAlignment="1" applyProtection="1"/>
    <xf numFmtId="0" fontId="7" fillId="0" borderId="0" xfId="0" applyFont="1" applyBorder="1" applyAlignment="1" applyProtection="1">
      <alignment horizontal="center"/>
    </xf>
    <xf numFmtId="0" fontId="7" fillId="0" borderId="10" xfId="0" applyFont="1" applyFill="1" applyBorder="1" applyAlignment="1" applyProtection="1">
      <alignment horizontal="center"/>
      <protection locked="0"/>
    </xf>
    <xf numFmtId="10" fontId="7" fillId="0" borderId="10" xfId="2" applyNumberFormat="1" applyFont="1" applyFill="1" applyBorder="1" applyAlignment="1" applyProtection="1">
      <alignment horizontal="center"/>
    </xf>
    <xf numFmtId="9" fontId="7" fillId="0" borderId="10" xfId="0" applyNumberFormat="1" applyFont="1" applyFill="1" applyBorder="1" applyAlignment="1" applyProtection="1">
      <alignment horizontal="center"/>
      <protection locked="0"/>
    </xf>
    <xf numFmtId="3" fontId="7" fillId="0" borderId="10" xfId="1" applyNumberFormat="1" applyFont="1" applyFill="1" applyBorder="1" applyAlignment="1" applyProtection="1">
      <alignment horizontal="center"/>
    </xf>
    <xf numFmtId="3" fontId="14" fillId="14" borderId="11" xfId="1" applyNumberFormat="1" applyFont="1" applyFill="1" applyBorder="1" applyAlignment="1" applyProtection="1">
      <alignment horizontal="center"/>
    </xf>
    <xf numFmtId="0" fontId="18" fillId="2" borderId="0" xfId="0" applyFont="1" applyFill="1" applyAlignment="1">
      <alignment horizontal="center"/>
    </xf>
    <xf numFmtId="0" fontId="0" fillId="0" borderId="14" xfId="0" applyFill="1" applyBorder="1" applyProtection="1"/>
    <xf numFmtId="0" fontId="0" fillId="0" borderId="15" xfId="0" applyBorder="1" applyProtection="1"/>
    <xf numFmtId="0" fontId="0" fillId="3" borderId="15" xfId="0" applyFill="1" applyBorder="1" applyProtection="1"/>
    <xf numFmtId="0" fontId="0" fillId="0" borderId="16" xfId="0" applyBorder="1" applyProtection="1"/>
    <xf numFmtId="0" fontId="0" fillId="0" borderId="17" xfId="0" applyFill="1" applyBorder="1" applyProtection="1"/>
    <xf numFmtId="0" fontId="0" fillId="0" borderId="18" xfId="0" applyFill="1" applyBorder="1" applyProtection="1"/>
    <xf numFmtId="0" fontId="0" fillId="3" borderId="18" xfId="0" applyFill="1" applyBorder="1" applyProtection="1"/>
    <xf numFmtId="0" fontId="15" fillId="9" borderId="0" xfId="0" applyFont="1" applyFill="1" applyBorder="1" applyProtection="1"/>
    <xf numFmtId="0" fontId="0" fillId="0" borderId="19" xfId="0" applyFill="1" applyBorder="1" applyProtection="1"/>
    <xf numFmtId="0" fontId="5" fillId="3" borderId="20" xfId="0" applyFont="1" applyFill="1" applyBorder="1" applyProtection="1"/>
    <xf numFmtId="0" fontId="0" fillId="3" borderId="20" xfId="0" applyFill="1" applyBorder="1" applyProtection="1"/>
    <xf numFmtId="0" fontId="0" fillId="3" borderId="21" xfId="0" applyFill="1" applyBorder="1" applyProtection="1"/>
    <xf numFmtId="10" fontId="7" fillId="0" borderId="10" xfId="2" applyNumberFormat="1" applyFont="1" applyFill="1" applyBorder="1" applyAlignment="1" applyProtection="1">
      <alignment horizontal="center" vertical="center"/>
    </xf>
    <xf numFmtId="0" fontId="7" fillId="0" borderId="10" xfId="0" applyFont="1" applyFill="1" applyBorder="1" applyAlignment="1" applyProtection="1">
      <alignment horizontal="center" vertical="center"/>
    </xf>
    <xf numFmtId="10" fontId="7" fillId="0" borderId="10" xfId="0" applyNumberFormat="1" applyFont="1" applyFill="1" applyBorder="1" applyAlignment="1" applyProtection="1">
      <alignment horizontal="center" vertical="center"/>
    </xf>
    <xf numFmtId="3" fontId="7" fillId="0" borderId="10" xfId="0" applyNumberFormat="1" applyFont="1" applyFill="1" applyBorder="1" applyAlignment="1" applyProtection="1">
      <alignment horizontal="center" vertical="center"/>
    </xf>
    <xf numFmtId="38" fontId="7" fillId="0" borderId="10" xfId="0" applyNumberFormat="1" applyFont="1" applyFill="1" applyBorder="1" applyAlignment="1" applyProtection="1">
      <alignment horizontal="center" vertical="center"/>
    </xf>
    <xf numFmtId="166" fontId="7" fillId="0" borderId="10" xfId="1" applyNumberFormat="1" applyFont="1" applyFill="1" applyBorder="1" applyAlignment="1" applyProtection="1">
      <alignment horizontal="center" vertical="center"/>
    </xf>
    <xf numFmtId="38" fontId="3" fillId="8" borderId="10" xfId="0" applyNumberFormat="1" applyFont="1" applyFill="1" applyBorder="1" applyAlignment="1">
      <alignment horizontal="center"/>
    </xf>
    <xf numFmtId="1" fontId="3" fillId="8" borderId="10" xfId="0" applyNumberFormat="1" applyFont="1" applyFill="1" applyBorder="1" applyAlignment="1">
      <alignment horizontal="center"/>
    </xf>
    <xf numFmtId="38" fontId="3" fillId="11" borderId="10" xfId="0" applyNumberFormat="1" applyFont="1" applyFill="1" applyBorder="1" applyAlignment="1">
      <alignment horizontal="center"/>
    </xf>
    <xf numFmtId="1" fontId="3" fillId="11" borderId="10" xfId="0" applyNumberFormat="1" applyFont="1" applyFill="1" applyBorder="1" applyAlignment="1">
      <alignment horizontal="center"/>
    </xf>
    <xf numFmtId="0" fontId="3" fillId="4" borderId="10" xfId="0" applyFont="1" applyFill="1" applyBorder="1" applyAlignment="1">
      <alignment horizontal="center"/>
    </xf>
    <xf numFmtId="38" fontId="3" fillId="4" borderId="10" xfId="0" applyNumberFormat="1" applyFont="1" applyFill="1" applyBorder="1" applyAlignment="1">
      <alignment horizontal="center"/>
    </xf>
    <xf numFmtId="1" fontId="3" fillId="4" borderId="10" xfId="0" applyNumberFormat="1" applyFont="1" applyFill="1" applyBorder="1" applyAlignment="1">
      <alignment horizontal="center"/>
    </xf>
    <xf numFmtId="0" fontId="5" fillId="13" borderId="10" xfId="0" applyFont="1" applyFill="1" applyBorder="1" applyAlignment="1">
      <alignment horizontal="center" vertical="center" wrapText="1"/>
    </xf>
    <xf numFmtId="0" fontId="5" fillId="13" borderId="10" xfId="0" applyFont="1" applyFill="1" applyBorder="1" applyAlignment="1">
      <alignment horizontal="center" vertical="center"/>
    </xf>
    <xf numFmtId="38" fontId="3" fillId="11" borderId="12" xfId="0" applyNumberFormat="1" applyFont="1" applyFill="1" applyBorder="1" applyAlignment="1">
      <alignment horizontal="center"/>
    </xf>
    <xf numFmtId="38" fontId="3" fillId="8" borderId="12" xfId="0" applyNumberFormat="1" applyFont="1" applyFill="1" applyBorder="1" applyAlignment="1">
      <alignment horizontal="center"/>
    </xf>
    <xf numFmtId="3" fontId="3" fillId="2" borderId="8" xfId="0" applyNumberFormat="1" applyFont="1" applyFill="1" applyBorder="1"/>
    <xf numFmtId="0" fontId="3" fillId="2" borderId="9" xfId="0" applyFont="1" applyFill="1" applyBorder="1"/>
    <xf numFmtId="0" fontId="3" fillId="4" borderId="10" xfId="0" applyFont="1" applyFill="1" applyBorder="1" applyAlignment="1">
      <alignment vertical="center"/>
    </xf>
    <xf numFmtId="166" fontId="8" fillId="4" borderId="10" xfId="1" applyNumberFormat="1" applyFont="1" applyFill="1" applyBorder="1" applyAlignment="1">
      <alignment horizontal="center" vertical="center"/>
    </xf>
    <xf numFmtId="0" fontId="8" fillId="2" borderId="10" xfId="0" applyFont="1" applyFill="1" applyBorder="1" applyAlignment="1">
      <alignment horizontal="left" vertical="center"/>
    </xf>
    <xf numFmtId="166" fontId="7" fillId="2" borderId="10" xfId="1" applyNumberFormat="1" applyFont="1" applyFill="1" applyBorder="1" applyAlignment="1">
      <alignment horizontal="center" vertical="center"/>
    </xf>
    <xf numFmtId="38" fontId="7" fillId="0" borderId="10" xfId="0" applyNumberFormat="1" applyFont="1" applyFill="1" applyBorder="1" applyAlignment="1">
      <alignment vertical="center"/>
    </xf>
    <xf numFmtId="1" fontId="7" fillId="0" borderId="10" xfId="0" applyNumberFormat="1" applyFont="1" applyFill="1" applyBorder="1" applyAlignment="1">
      <alignment vertical="center"/>
    </xf>
    <xf numFmtId="0" fontId="5" fillId="16" borderId="10" xfId="0" applyFont="1" applyFill="1" applyBorder="1" applyAlignment="1">
      <alignment horizontal="center" vertical="center"/>
    </xf>
    <xf numFmtId="0" fontId="5" fillId="16" borderId="12"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2" xfId="0" applyFont="1" applyFill="1" applyBorder="1" applyAlignment="1">
      <alignment horizontal="center" vertical="center"/>
    </xf>
    <xf numFmtId="3" fontId="3" fillId="10" borderId="10" xfId="0" applyNumberFormat="1" applyFont="1" applyFill="1" applyBorder="1"/>
    <xf numFmtId="0" fontId="15" fillId="9" borderId="3" xfId="0" applyFont="1" applyFill="1" applyBorder="1" applyAlignment="1">
      <alignment horizontal="center"/>
    </xf>
    <xf numFmtId="0" fontId="15" fillId="9" borderId="5" xfId="0" applyFont="1" applyFill="1" applyBorder="1" applyAlignment="1">
      <alignment horizontal="center"/>
    </xf>
    <xf numFmtId="0" fontId="15" fillId="9" borderId="4" xfId="0" applyFont="1" applyFill="1" applyBorder="1" applyAlignment="1">
      <alignment horizontal="center"/>
    </xf>
    <xf numFmtId="0" fontId="0" fillId="4" borderId="3" xfId="0" applyFill="1" applyBorder="1"/>
    <xf numFmtId="165" fontId="2" fillId="4" borderId="5" xfId="0" applyNumberFormat="1" applyFont="1" applyFill="1" applyBorder="1" applyAlignment="1">
      <alignment horizontal="center"/>
    </xf>
    <xf numFmtId="0" fontId="5" fillId="18"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7" fillId="0" borderId="10" xfId="0" applyFont="1" applyFill="1" applyBorder="1" applyAlignment="1">
      <alignment horizontal="right" vertical="center" wrapText="1"/>
    </xf>
    <xf numFmtId="10" fontId="7" fillId="0" borderId="10" xfId="0" applyNumberFormat="1" applyFont="1" applyFill="1" applyBorder="1" applyAlignment="1">
      <alignment horizontal="right" vertical="center" wrapText="1"/>
    </xf>
    <xf numFmtId="38" fontId="7" fillId="0" borderId="10" xfId="0" applyNumberFormat="1" applyFont="1" applyFill="1" applyBorder="1" applyAlignment="1">
      <alignment horizontal="right" vertical="center" wrapText="1"/>
    </xf>
    <xf numFmtId="0" fontId="7" fillId="0" borderId="12" xfId="0" applyFont="1" applyFill="1" applyBorder="1" applyAlignment="1">
      <alignment vertical="center" wrapText="1"/>
    </xf>
    <xf numFmtId="10" fontId="7" fillId="0" borderId="12" xfId="0" applyNumberFormat="1" applyFont="1" applyFill="1" applyBorder="1" applyAlignment="1">
      <alignment vertical="center" wrapText="1"/>
    </xf>
    <xf numFmtId="1" fontId="7" fillId="0" borderId="12" xfId="0" applyNumberFormat="1" applyFont="1" applyFill="1" applyBorder="1" applyAlignment="1">
      <alignment vertical="center" wrapText="1"/>
    </xf>
    <xf numFmtId="0" fontId="7" fillId="0" borderId="10" xfId="0" applyFont="1" applyFill="1" applyBorder="1" applyAlignment="1">
      <alignment vertical="center" wrapText="1"/>
    </xf>
    <xf numFmtId="0" fontId="3" fillId="0" borderId="10" xfId="0" applyFont="1" applyFill="1" applyBorder="1" applyAlignment="1">
      <alignment vertical="center" wrapText="1"/>
    </xf>
    <xf numFmtId="0" fontId="8" fillId="4" borderId="10" xfId="0" applyFont="1" applyFill="1" applyBorder="1" applyAlignment="1">
      <alignment vertical="center" wrapText="1"/>
    </xf>
    <xf numFmtId="38" fontId="8" fillId="4" borderId="10" xfId="0" applyNumberFormat="1" applyFont="1" applyFill="1" applyBorder="1" applyAlignment="1">
      <alignment horizontal="right" vertical="center" wrapText="1"/>
    </xf>
    <xf numFmtId="10" fontId="8" fillId="4" borderId="10" xfId="0" applyNumberFormat="1" applyFont="1" applyFill="1" applyBorder="1" applyAlignment="1">
      <alignment horizontal="right" vertical="center" wrapText="1"/>
    </xf>
    <xf numFmtId="0" fontId="8" fillId="13" borderId="10" xfId="0" applyFont="1" applyFill="1" applyBorder="1" applyAlignment="1">
      <alignment vertical="center" wrapText="1"/>
    </xf>
    <xf numFmtId="38" fontId="8" fillId="13" borderId="10" xfId="0" applyNumberFormat="1" applyFont="1" applyFill="1" applyBorder="1" applyAlignment="1">
      <alignment horizontal="right" vertical="center" wrapText="1"/>
    </xf>
    <xf numFmtId="0" fontId="8" fillId="16" borderId="10" xfId="0" applyFont="1" applyFill="1" applyBorder="1" applyAlignment="1">
      <alignment horizontal="left" vertical="center" wrapText="1"/>
    </xf>
    <xf numFmtId="1" fontId="8" fillId="16" borderId="12" xfId="0" applyNumberFormat="1" applyFont="1" applyFill="1" applyBorder="1" applyAlignment="1">
      <alignment vertical="center" wrapText="1"/>
    </xf>
    <xf numFmtId="166" fontId="7" fillId="0" borderId="10" xfId="1" applyNumberFormat="1" applyFont="1" applyFill="1" applyBorder="1" applyAlignment="1">
      <alignment horizontal="right" vertical="center" wrapText="1"/>
    </xf>
    <xf numFmtId="166" fontId="7" fillId="0" borderId="10" xfId="0" applyNumberFormat="1" applyFont="1" applyFill="1" applyBorder="1" applyAlignment="1">
      <alignment horizontal="right" vertical="center" wrapText="1"/>
    </xf>
    <xf numFmtId="1" fontId="13" fillId="2" borderId="0" xfId="0" applyNumberFormat="1" applyFont="1" applyFill="1"/>
    <xf numFmtId="0" fontId="13" fillId="2" borderId="0" xfId="0" applyFont="1" applyFill="1"/>
    <xf numFmtId="166" fontId="7" fillId="0" borderId="11" xfId="1" applyNumberFormat="1" applyFont="1" applyBorder="1" applyAlignment="1" applyProtection="1">
      <alignment horizontal="center"/>
      <protection locked="0"/>
    </xf>
    <xf numFmtId="166" fontId="7" fillId="3" borderId="5" xfId="1" applyNumberFormat="1" applyFont="1" applyFill="1" applyBorder="1" applyAlignment="1" applyProtection="1">
      <alignment horizontal="center"/>
      <protection locked="0"/>
    </xf>
    <xf numFmtId="0" fontId="17" fillId="0" borderId="0" xfId="0" applyFont="1" applyAlignment="1" applyProtection="1">
      <alignment horizontal="center" vertical="center"/>
    </xf>
    <xf numFmtId="0" fontId="15" fillId="9" borderId="0" xfId="0" applyFont="1" applyFill="1" applyBorder="1" applyAlignment="1" applyProtection="1">
      <alignment horizontal="center"/>
    </xf>
    <xf numFmtId="0" fontId="2" fillId="11" borderId="10" xfId="0" applyFont="1" applyFill="1" applyBorder="1" applyAlignment="1" applyProtection="1">
      <alignment horizontal="center"/>
    </xf>
    <xf numFmtId="0" fontId="2" fillId="13" borderId="10" xfId="0" applyFont="1" applyFill="1" applyBorder="1" applyAlignment="1" applyProtection="1">
      <alignment horizontal="center"/>
    </xf>
    <xf numFmtId="38" fontId="16" fillId="9" borderId="0" xfId="0" applyNumberFormat="1" applyFont="1" applyFill="1" applyBorder="1" applyAlignment="1" applyProtection="1">
      <alignment horizontal="left" wrapText="1"/>
    </xf>
    <xf numFmtId="0" fontId="16" fillId="9" borderId="0" xfId="0" applyFont="1" applyFill="1" applyBorder="1" applyAlignment="1" applyProtection="1">
      <alignment horizontal="left"/>
    </xf>
    <xf numFmtId="0" fontId="7" fillId="0" borderId="10" xfId="0" applyFont="1" applyFill="1" applyBorder="1" applyAlignment="1" applyProtection="1"/>
    <xf numFmtId="0" fontId="7" fillId="0" borderId="10" xfId="0" applyFont="1" applyFill="1" applyBorder="1" applyAlignment="1" applyProtection="1">
      <alignment wrapText="1"/>
    </xf>
    <xf numFmtId="0" fontId="7" fillId="0" borderId="12" xfId="0" applyFont="1" applyFill="1" applyBorder="1" applyAlignment="1" applyProtection="1">
      <alignment horizontal="left"/>
    </xf>
    <xf numFmtId="0" fontId="7" fillId="0" borderId="13" xfId="0" applyFont="1" applyFill="1" applyBorder="1" applyAlignment="1" applyProtection="1">
      <alignment horizontal="left"/>
    </xf>
    <xf numFmtId="0" fontId="17" fillId="0" borderId="0" xfId="0" applyFont="1" applyAlignment="1" applyProtection="1">
      <alignment horizontal="center" vertical="center"/>
    </xf>
    <xf numFmtId="0" fontId="9" fillId="3" borderId="0" xfId="0" applyFont="1" applyFill="1" applyAlignment="1" applyProtection="1">
      <alignment horizontal="left" wrapText="1"/>
    </xf>
    <xf numFmtId="0" fontId="14" fillId="14" borderId="10" xfId="0" applyFont="1" applyFill="1" applyBorder="1" applyAlignment="1" applyProtection="1"/>
    <xf numFmtId="0" fontId="7" fillId="10" borderId="10" xfId="0" applyFont="1" applyFill="1" applyBorder="1" applyAlignment="1" applyProtection="1"/>
    <xf numFmtId="0" fontId="7" fillId="0" borderId="11" xfId="0" applyFont="1" applyFill="1" applyBorder="1" applyAlignment="1" applyProtection="1"/>
    <xf numFmtId="0" fontId="1" fillId="4" borderId="0" xfId="0" applyFont="1" applyFill="1" applyBorder="1" applyAlignment="1" applyProtection="1">
      <alignment horizontal="center"/>
      <protection locked="0"/>
    </xf>
    <xf numFmtId="0" fontId="0" fillId="4" borderId="0" xfId="0" applyFill="1" applyBorder="1" applyAlignment="1" applyProtection="1">
      <alignment horizontal="center"/>
      <protection locked="0"/>
    </xf>
    <xf numFmtId="0" fontId="7" fillId="3" borderId="6" xfId="0" applyFont="1" applyFill="1" applyBorder="1" applyAlignment="1" applyProtection="1">
      <alignment horizontal="left"/>
    </xf>
    <xf numFmtId="0" fontId="7" fillId="3" borderId="8" xfId="0" applyFont="1" applyFill="1" applyBorder="1" applyAlignment="1" applyProtection="1">
      <alignment horizontal="left"/>
    </xf>
    <xf numFmtId="0" fontId="15" fillId="9" borderId="0" xfId="0" applyFont="1" applyFill="1" applyAlignment="1">
      <alignment horizontal="center" vertical="center"/>
    </xf>
    <xf numFmtId="0" fontId="15" fillId="9" borderId="0" xfId="0" applyFont="1" applyFill="1" applyBorder="1" applyAlignment="1">
      <alignment horizontal="center" vertical="center" wrapText="1"/>
    </xf>
    <xf numFmtId="0" fontId="2" fillId="11" borderId="11" xfId="0" applyFont="1" applyFill="1" applyBorder="1" applyAlignment="1" applyProtection="1">
      <alignment horizontal="center"/>
    </xf>
    <xf numFmtId="0" fontId="2" fillId="13" borderId="11" xfId="0" applyFont="1" applyFill="1" applyBorder="1" applyAlignment="1" applyProtection="1">
      <alignment horizontal="center"/>
    </xf>
    <xf numFmtId="0" fontId="19" fillId="9" borderId="10" xfId="0" applyFont="1" applyFill="1" applyBorder="1" applyAlignment="1">
      <alignment horizontal="center" vertical="center"/>
    </xf>
    <xf numFmtId="0" fontId="18" fillId="2" borderId="0" xfId="0" applyFont="1" applyFill="1" applyAlignment="1">
      <alignment horizontal="center" vertical="center"/>
    </xf>
    <xf numFmtId="0" fontId="19" fillId="15" borderId="10" xfId="0" applyFont="1" applyFill="1" applyBorder="1" applyAlignment="1">
      <alignment horizontal="center" vertical="center"/>
    </xf>
    <xf numFmtId="0" fontId="19" fillId="15" borderId="12" xfId="0" applyFont="1" applyFill="1" applyBorder="1" applyAlignment="1">
      <alignment horizontal="center" vertical="center"/>
    </xf>
    <xf numFmtId="0" fontId="19" fillId="17" borderId="10" xfId="0" applyFont="1" applyFill="1" applyBorder="1" applyAlignment="1">
      <alignment horizontal="center" vertical="center"/>
    </xf>
    <xf numFmtId="0" fontId="19" fillId="17" borderId="12" xfId="0" applyFont="1" applyFill="1" applyBorder="1" applyAlignment="1">
      <alignment horizontal="center" vertical="center"/>
    </xf>
    <xf numFmtId="0" fontId="3" fillId="4" borderId="10" xfId="0" applyFont="1" applyFill="1" applyBorder="1" applyAlignment="1">
      <alignment horizontal="left" vertical="center"/>
    </xf>
    <xf numFmtId="38" fontId="8" fillId="0" borderId="10" xfId="0" applyNumberFormat="1" applyFont="1" applyFill="1" applyBorder="1" applyAlignment="1">
      <alignment horizontal="left" vertical="center"/>
    </xf>
    <xf numFmtId="0" fontId="8" fillId="0" borderId="10" xfId="0" applyFont="1" applyFill="1" applyBorder="1" applyAlignment="1">
      <alignment horizontal="left" vertical="center"/>
    </xf>
    <xf numFmtId="0" fontId="8" fillId="0" borderId="10" xfId="0" applyFont="1" applyFill="1" applyBorder="1" applyAlignment="1">
      <alignment horizontal="left" vertical="center" wrapText="1"/>
    </xf>
    <xf numFmtId="0" fontId="8" fillId="0" borderId="10" xfId="0" applyFont="1" applyFill="1" applyBorder="1" applyAlignment="1" applyProtection="1">
      <alignment horizontal="left" vertical="center"/>
    </xf>
    <xf numFmtId="0" fontId="5" fillId="6" borderId="23" xfId="0" applyFont="1" applyFill="1" applyBorder="1" applyAlignment="1">
      <alignment horizontal="center" vertical="center" wrapText="1"/>
    </xf>
    <xf numFmtId="0" fontId="5" fillId="6" borderId="24" xfId="0" applyFont="1" applyFill="1" applyBorder="1" applyAlignment="1">
      <alignment horizontal="center" vertical="center" wrapText="1"/>
    </xf>
    <xf numFmtId="0" fontId="5" fillId="14" borderId="12" xfId="0" applyFont="1" applyFill="1" applyBorder="1" applyAlignment="1">
      <alignment horizontal="center" vertical="center"/>
    </xf>
    <xf numFmtId="0" fontId="5" fillId="14" borderId="22" xfId="0" applyFont="1" applyFill="1" applyBorder="1" applyAlignment="1">
      <alignment horizontal="center" vertical="center"/>
    </xf>
    <xf numFmtId="0" fontId="5" fillId="14" borderId="13" xfId="0" applyFont="1" applyFill="1" applyBorder="1" applyAlignment="1">
      <alignment horizontal="center" vertical="center"/>
    </xf>
    <xf numFmtId="0" fontId="15" fillId="9" borderId="1" xfId="0" applyFont="1" applyFill="1" applyBorder="1" applyAlignment="1">
      <alignment horizontal="left" vertical="top" wrapText="1"/>
    </xf>
    <xf numFmtId="0" fontId="15" fillId="9" borderId="7" xfId="0" applyFont="1" applyFill="1" applyBorder="1" applyAlignment="1">
      <alignment horizontal="left" vertical="top" wrapText="1"/>
    </xf>
    <xf numFmtId="0" fontId="15" fillId="9" borderId="2" xfId="0" applyFont="1" applyFill="1" applyBorder="1" applyAlignment="1">
      <alignment horizontal="left" vertical="top" wrapText="1"/>
    </xf>
    <xf numFmtId="0" fontId="15" fillId="9" borderId="3" xfId="0" applyFont="1" applyFill="1" applyBorder="1" applyAlignment="1">
      <alignment horizontal="left" vertical="top" wrapText="1"/>
    </xf>
    <xf numFmtId="0" fontId="15" fillId="9" borderId="5" xfId="0" applyFont="1" applyFill="1" applyBorder="1" applyAlignment="1">
      <alignment horizontal="left" vertical="top" wrapText="1"/>
    </xf>
    <xf numFmtId="0" fontId="15" fillId="9" borderId="4" xfId="0" applyFont="1" applyFill="1" applyBorder="1" applyAlignment="1">
      <alignment horizontal="left" vertical="top" wrapText="1"/>
    </xf>
    <xf numFmtId="0" fontId="2" fillId="0" borderId="6" xfId="0" applyFont="1" applyBorder="1" applyAlignment="1">
      <alignment horizontal="center"/>
    </xf>
    <xf numFmtId="0" fontId="2" fillId="0" borderId="8"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colors>
    <mruColors>
      <color rgb="FFEE4C14"/>
      <color rgb="FF009A17"/>
      <color rgb="FF00B1AF"/>
      <color rgb="FFB9FFFF"/>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1</xdr:col>
      <xdr:colOff>1482436</xdr:colOff>
      <xdr:row>6</xdr:row>
      <xdr:rowOff>43400</xdr:rowOff>
    </xdr:to>
    <xdr:pic>
      <xdr:nvPicPr>
        <xdr:cNvPr id="6" name="Picture 5">
          <a:extLst>
            <a:ext uri="{FF2B5EF4-FFF2-40B4-BE49-F238E27FC236}">
              <a16:creationId xmlns:a16="http://schemas.microsoft.com/office/drawing/2014/main" id="{BC9E6C4F-159A-4953-ABB5-75DCA6F6D6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180975"/>
          <a:ext cx="1463386" cy="84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179917</xdr:colOff>
      <xdr:row>12</xdr:row>
      <xdr:rowOff>85725</xdr:rowOff>
    </xdr:from>
    <xdr:to>
      <xdr:col>7</xdr:col>
      <xdr:colOff>1009650</xdr:colOff>
      <xdr:row>15</xdr:row>
      <xdr:rowOff>38100</xdr:rowOff>
    </xdr:to>
    <xdr:sp macro="" textlink="">
      <xdr:nvSpPr>
        <xdr:cNvPr id="4" name="Left Arrow 3">
          <a:extLst>
            <a:ext uri="{FF2B5EF4-FFF2-40B4-BE49-F238E27FC236}">
              <a16:creationId xmlns:a16="http://schemas.microsoft.com/office/drawing/2014/main" id="{00000000-0008-0000-0000-000004000000}"/>
            </a:ext>
          </a:extLst>
        </xdr:cNvPr>
        <xdr:cNvSpPr/>
      </xdr:nvSpPr>
      <xdr:spPr>
        <a:xfrm>
          <a:off x="7799917" y="3324225"/>
          <a:ext cx="829733" cy="542925"/>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900" b="1"/>
            <a:t>Management  fee per month</a:t>
          </a:r>
          <a:r>
            <a:rPr lang="en-US" sz="900" b="1" baseline="0"/>
            <a:t> </a:t>
          </a:r>
          <a:endParaRPr lang="en-US" sz="900" b="1"/>
        </a:p>
      </xdr:txBody>
    </xdr:sp>
    <xdr:clientData/>
  </xdr:twoCellAnchor>
  <xdr:twoCellAnchor editAs="oneCell">
    <xdr:from>
      <xdr:col>0</xdr:col>
      <xdr:colOff>0</xdr:colOff>
      <xdr:row>0</xdr:row>
      <xdr:rowOff>66675</xdr:rowOff>
    </xdr:from>
    <xdr:to>
      <xdr:col>1</xdr:col>
      <xdr:colOff>806161</xdr:colOff>
      <xdr:row>4</xdr:row>
      <xdr:rowOff>62450</xdr:rowOff>
    </xdr:to>
    <xdr:pic>
      <xdr:nvPicPr>
        <xdr:cNvPr id="7" name="Picture 6">
          <a:extLst>
            <a:ext uri="{FF2B5EF4-FFF2-40B4-BE49-F238E27FC236}">
              <a16:creationId xmlns:a16="http://schemas.microsoft.com/office/drawing/2014/main" id="{B1337B4E-053C-4A24-AF76-B6C0F65ACE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1463386" cy="843500"/>
        </a:xfrm>
        <a:prstGeom prst="rect">
          <a:avLst/>
        </a:prstGeom>
      </xdr:spPr>
    </xdr:pic>
    <xdr:clientData/>
  </xdr:twoCellAnchor>
  <xdr:twoCellAnchor>
    <xdr:from>
      <xdr:col>1</xdr:col>
      <xdr:colOff>1638300</xdr:colOff>
      <xdr:row>15</xdr:row>
      <xdr:rowOff>423810</xdr:rowOff>
    </xdr:from>
    <xdr:to>
      <xdr:col>3</xdr:col>
      <xdr:colOff>76200</xdr:colOff>
      <xdr:row>17</xdr:row>
      <xdr:rowOff>20933</xdr:rowOff>
    </xdr:to>
    <xdr:sp macro="" textlink="">
      <xdr:nvSpPr>
        <xdr:cNvPr id="2" name="Rectangle: Rounded Corners 1">
          <a:extLst>
            <a:ext uri="{FF2B5EF4-FFF2-40B4-BE49-F238E27FC236}">
              <a16:creationId xmlns:a16="http://schemas.microsoft.com/office/drawing/2014/main" id="{17F49FA9-B21A-4149-BB42-145B864D3B1D}"/>
            </a:ext>
          </a:extLst>
        </xdr:cNvPr>
        <xdr:cNvSpPr/>
      </xdr:nvSpPr>
      <xdr:spPr>
        <a:xfrm>
          <a:off x="2297723" y="4139607"/>
          <a:ext cx="855785" cy="183277"/>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3</xdr:col>
      <xdr:colOff>219075</xdr:colOff>
      <xdr:row>15</xdr:row>
      <xdr:rowOff>390525</xdr:rowOff>
    </xdr:from>
    <xdr:ext cx="1171575" cy="264560"/>
    <xdr:sp macro="" textlink="">
      <xdr:nvSpPr>
        <xdr:cNvPr id="8" name="TextBox 7">
          <a:extLst>
            <a:ext uri="{FF2B5EF4-FFF2-40B4-BE49-F238E27FC236}">
              <a16:creationId xmlns:a16="http://schemas.microsoft.com/office/drawing/2014/main" id="{DC8083B5-47BE-4077-B896-2897CE779B69}"/>
            </a:ext>
          </a:extLst>
        </xdr:cNvPr>
        <xdr:cNvSpPr txBox="1"/>
      </xdr:nvSpPr>
      <xdr:spPr>
        <a:xfrm>
          <a:off x="3295650" y="4219575"/>
          <a:ext cx="11715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3</xdr:col>
      <xdr:colOff>276225</xdr:colOff>
      <xdr:row>15</xdr:row>
      <xdr:rowOff>85725</xdr:rowOff>
    </xdr:from>
    <xdr:to>
      <xdr:col>3</xdr:col>
      <xdr:colOff>1095375</xdr:colOff>
      <xdr:row>19</xdr:row>
      <xdr:rowOff>47625</xdr:rowOff>
    </xdr:to>
    <xdr:sp macro="" textlink="">
      <xdr:nvSpPr>
        <xdr:cNvPr id="10" name="TextBox 9">
          <a:extLst>
            <a:ext uri="{FF2B5EF4-FFF2-40B4-BE49-F238E27FC236}">
              <a16:creationId xmlns:a16="http://schemas.microsoft.com/office/drawing/2014/main" id="{C6DC397E-8E6D-4412-AFD3-933DA2B6B132}"/>
            </a:ext>
          </a:extLst>
        </xdr:cNvPr>
        <xdr:cNvSpPr txBox="1"/>
      </xdr:nvSpPr>
      <xdr:spPr>
        <a:xfrm>
          <a:off x="3352800" y="3914775"/>
          <a:ext cx="819150" cy="8477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b="1">
              <a:solidFill>
                <a:schemeClr val="bg1"/>
              </a:solidFill>
              <a:effectLst/>
              <a:latin typeface="+mn-lt"/>
              <a:ea typeface="+mn-ea"/>
              <a:cs typeface="+mn-cs"/>
            </a:rPr>
            <a:t>RV would vary depending on model</a:t>
          </a:r>
          <a:r>
            <a:rPr lang="en-US" sz="900" b="1" baseline="0">
              <a:solidFill>
                <a:schemeClr val="bg1"/>
              </a:solidFill>
              <a:effectLst/>
              <a:latin typeface="+mn-lt"/>
              <a:ea typeface="+mn-ea"/>
              <a:cs typeface="+mn-cs"/>
            </a:rPr>
            <a:t> and tenure</a:t>
          </a:r>
          <a:endParaRPr lang="en-US" sz="900">
            <a:solidFill>
              <a:schemeClr val="bg1"/>
            </a:solidFill>
            <a:effectLst/>
          </a:endParaRPr>
        </a:p>
      </xdr:txBody>
    </xdr:sp>
    <xdr:clientData/>
  </xdr:twoCellAnchor>
  <xdr:twoCellAnchor>
    <xdr:from>
      <xdr:col>3</xdr:col>
      <xdr:colOff>76200</xdr:colOff>
      <xdr:row>16</xdr:row>
      <xdr:rowOff>86301</xdr:rowOff>
    </xdr:from>
    <xdr:to>
      <xdr:col>3</xdr:col>
      <xdr:colOff>276225</xdr:colOff>
      <xdr:row>16</xdr:row>
      <xdr:rowOff>87610</xdr:rowOff>
    </xdr:to>
    <xdr:cxnSp macro="">
      <xdr:nvCxnSpPr>
        <xdr:cNvPr id="12" name="Straight Arrow Connector 11">
          <a:extLst>
            <a:ext uri="{FF2B5EF4-FFF2-40B4-BE49-F238E27FC236}">
              <a16:creationId xmlns:a16="http://schemas.microsoft.com/office/drawing/2014/main" id="{ABD1DBE1-A03D-4D94-A09D-4F819ED851AE}"/>
            </a:ext>
          </a:extLst>
        </xdr:cNvPr>
        <xdr:cNvCxnSpPr>
          <a:stCxn id="10" idx="1"/>
          <a:endCxn id="2" idx="3"/>
        </xdr:cNvCxnSpPr>
      </xdr:nvCxnSpPr>
      <xdr:spPr>
        <a:xfrm flipH="1" flipV="1">
          <a:off x="3153508" y="4231246"/>
          <a:ext cx="200025" cy="1309"/>
        </a:xfrm>
        <a:prstGeom prst="straightConnector1">
          <a:avLst/>
        </a:prstGeom>
        <a:ln w="1270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1685925</xdr:colOff>
      <xdr:row>12</xdr:row>
      <xdr:rowOff>228600</xdr:rowOff>
    </xdr:from>
    <xdr:to>
      <xdr:col>7</xdr:col>
      <xdr:colOff>38100</xdr:colOff>
      <xdr:row>14</xdr:row>
      <xdr:rowOff>47625</xdr:rowOff>
    </xdr:to>
    <xdr:sp macro="" textlink="">
      <xdr:nvSpPr>
        <xdr:cNvPr id="16" name="Rectangle: Rounded Corners 15">
          <a:extLst>
            <a:ext uri="{FF2B5EF4-FFF2-40B4-BE49-F238E27FC236}">
              <a16:creationId xmlns:a16="http://schemas.microsoft.com/office/drawing/2014/main" id="{2E2507D5-8BF4-4824-A9F4-447E5FF9320E}"/>
            </a:ext>
          </a:extLst>
        </xdr:cNvPr>
        <xdr:cNvSpPr/>
      </xdr:nvSpPr>
      <xdr:spPr>
        <a:xfrm>
          <a:off x="6800850" y="3467100"/>
          <a:ext cx="857250" cy="257175"/>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38100</xdr:colOff>
      <xdr:row>13</xdr:row>
      <xdr:rowOff>71438</xdr:rowOff>
    </xdr:from>
    <xdr:to>
      <xdr:col>7</xdr:col>
      <xdr:colOff>179917</xdr:colOff>
      <xdr:row>13</xdr:row>
      <xdr:rowOff>71438</xdr:rowOff>
    </xdr:to>
    <xdr:cxnSp macro="">
      <xdr:nvCxnSpPr>
        <xdr:cNvPr id="17" name="Straight Arrow Connector 16">
          <a:extLst>
            <a:ext uri="{FF2B5EF4-FFF2-40B4-BE49-F238E27FC236}">
              <a16:creationId xmlns:a16="http://schemas.microsoft.com/office/drawing/2014/main" id="{5D7DE463-8AF4-4E3F-806E-9F3135194481}"/>
            </a:ext>
          </a:extLst>
        </xdr:cNvPr>
        <xdr:cNvCxnSpPr>
          <a:stCxn id="4" idx="1"/>
          <a:endCxn id="16" idx="3"/>
        </xdr:cNvCxnSpPr>
      </xdr:nvCxnSpPr>
      <xdr:spPr>
        <a:xfrm flipH="1">
          <a:off x="7658100" y="3595688"/>
          <a:ext cx="141817" cy="0"/>
        </a:xfrm>
        <a:prstGeom prst="straightConnector1">
          <a:avLst/>
        </a:prstGeom>
        <a:ln w="1270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354403</xdr:colOff>
      <xdr:row>4</xdr:row>
      <xdr:rowOff>184115</xdr:rowOff>
    </xdr:from>
    <xdr:to>
      <xdr:col>16</xdr:col>
      <xdr:colOff>32762</xdr:colOff>
      <xdr:row>6</xdr:row>
      <xdr:rowOff>272562</xdr:rowOff>
    </xdr:to>
    <xdr:sp macro="" textlink="">
      <xdr:nvSpPr>
        <xdr:cNvPr id="23" name="Left Arrow 3">
          <a:extLst>
            <a:ext uri="{FF2B5EF4-FFF2-40B4-BE49-F238E27FC236}">
              <a16:creationId xmlns:a16="http://schemas.microsoft.com/office/drawing/2014/main" id="{2380DEC5-00BD-4005-8FCC-AAA7953F297B}"/>
            </a:ext>
          </a:extLst>
        </xdr:cNvPr>
        <xdr:cNvSpPr/>
      </xdr:nvSpPr>
      <xdr:spPr>
        <a:xfrm>
          <a:off x="16285227" y="1042412"/>
          <a:ext cx="829733" cy="695535"/>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900" b="1" baseline="0"/>
            <a:t>Change as per actuals </a:t>
          </a:r>
          <a:endParaRPr lang="en-US" sz="900" b="1"/>
        </a:p>
      </xdr:txBody>
    </xdr:sp>
    <xdr:clientData/>
  </xdr:twoCellAnchor>
  <xdr:twoCellAnchor>
    <xdr:from>
      <xdr:col>13</xdr:col>
      <xdr:colOff>1138185</xdr:colOff>
      <xdr:row>6</xdr:row>
      <xdr:rowOff>23446</xdr:rowOff>
    </xdr:from>
    <xdr:to>
      <xdr:col>14</xdr:col>
      <xdr:colOff>900165</xdr:colOff>
      <xdr:row>6</xdr:row>
      <xdr:rowOff>428625</xdr:rowOff>
    </xdr:to>
    <xdr:sp macro="" textlink="">
      <xdr:nvSpPr>
        <xdr:cNvPr id="24" name="Rectangle: Rounded Corners 23">
          <a:extLst>
            <a:ext uri="{FF2B5EF4-FFF2-40B4-BE49-F238E27FC236}">
              <a16:creationId xmlns:a16="http://schemas.microsoft.com/office/drawing/2014/main" id="{D286F207-830C-45F9-B907-8675042C6D45}"/>
            </a:ext>
          </a:extLst>
        </xdr:cNvPr>
        <xdr:cNvSpPr/>
      </xdr:nvSpPr>
      <xdr:spPr>
        <a:xfrm>
          <a:off x="15007004" y="1488831"/>
          <a:ext cx="913353" cy="405179"/>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900165</xdr:colOff>
      <xdr:row>5</xdr:row>
      <xdr:rowOff>228339</xdr:rowOff>
    </xdr:from>
    <xdr:to>
      <xdr:col>15</xdr:col>
      <xdr:colOff>354403</xdr:colOff>
      <xdr:row>6</xdr:row>
      <xdr:rowOff>226036</xdr:rowOff>
    </xdr:to>
    <xdr:cxnSp macro="">
      <xdr:nvCxnSpPr>
        <xdr:cNvPr id="25" name="Straight Arrow Connector 24">
          <a:extLst>
            <a:ext uri="{FF2B5EF4-FFF2-40B4-BE49-F238E27FC236}">
              <a16:creationId xmlns:a16="http://schemas.microsoft.com/office/drawing/2014/main" id="{739334D1-2B99-4346-B1C9-F089AB9714DD}"/>
            </a:ext>
          </a:extLst>
        </xdr:cNvPr>
        <xdr:cNvCxnSpPr>
          <a:stCxn id="23" idx="1"/>
          <a:endCxn id="24" idx="3"/>
        </xdr:cNvCxnSpPr>
      </xdr:nvCxnSpPr>
      <xdr:spPr>
        <a:xfrm flipH="1">
          <a:off x="15920357" y="1390180"/>
          <a:ext cx="364870" cy="301241"/>
        </a:xfrm>
        <a:prstGeom prst="straightConnector1">
          <a:avLst/>
        </a:prstGeom>
        <a:ln w="1270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1636102</xdr:colOff>
      <xdr:row>17</xdr:row>
      <xdr:rowOff>157004</xdr:rowOff>
    </xdr:from>
    <xdr:to>
      <xdr:col>3</xdr:col>
      <xdr:colOff>74002</xdr:colOff>
      <xdr:row>19</xdr:row>
      <xdr:rowOff>45740</xdr:rowOff>
    </xdr:to>
    <xdr:sp macro="" textlink="">
      <xdr:nvSpPr>
        <xdr:cNvPr id="29" name="Rectangle: Rounded Corners 28">
          <a:extLst>
            <a:ext uri="{FF2B5EF4-FFF2-40B4-BE49-F238E27FC236}">
              <a16:creationId xmlns:a16="http://schemas.microsoft.com/office/drawing/2014/main" id="{A0D23EE4-C94E-40DB-BE17-7A04D685BB16}"/>
            </a:ext>
          </a:extLst>
        </xdr:cNvPr>
        <xdr:cNvSpPr/>
      </xdr:nvSpPr>
      <xdr:spPr>
        <a:xfrm>
          <a:off x="2295525" y="4458955"/>
          <a:ext cx="855785" cy="202747"/>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275491</xdr:colOff>
      <xdr:row>19</xdr:row>
      <xdr:rowOff>136176</xdr:rowOff>
    </xdr:from>
    <xdr:to>
      <xdr:col>3</xdr:col>
      <xdr:colOff>1094641</xdr:colOff>
      <xdr:row>21</xdr:row>
      <xdr:rowOff>31401</xdr:rowOff>
    </xdr:to>
    <xdr:sp macro="" textlink="">
      <xdr:nvSpPr>
        <xdr:cNvPr id="30" name="TextBox 29">
          <a:extLst>
            <a:ext uri="{FF2B5EF4-FFF2-40B4-BE49-F238E27FC236}">
              <a16:creationId xmlns:a16="http://schemas.microsoft.com/office/drawing/2014/main" id="{3E140495-3131-42C8-9ACB-6E68242A3BBF}"/>
            </a:ext>
          </a:extLst>
        </xdr:cNvPr>
        <xdr:cNvSpPr txBox="1"/>
      </xdr:nvSpPr>
      <xdr:spPr>
        <a:xfrm>
          <a:off x="3352799" y="4752138"/>
          <a:ext cx="819150" cy="240637"/>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b="1">
              <a:solidFill>
                <a:schemeClr val="bg1"/>
              </a:solidFill>
              <a:effectLst/>
              <a:latin typeface="+mn-lt"/>
              <a:ea typeface="+mn-ea"/>
              <a:cs typeface="+mn-cs"/>
            </a:rPr>
            <a:t>Interest rate</a:t>
          </a:r>
          <a:endParaRPr lang="en-US" sz="900">
            <a:solidFill>
              <a:schemeClr val="bg1"/>
            </a:solidFill>
            <a:effectLst/>
          </a:endParaRPr>
        </a:p>
      </xdr:txBody>
    </xdr:sp>
    <xdr:clientData/>
  </xdr:twoCellAnchor>
  <xdr:twoCellAnchor>
    <xdr:from>
      <xdr:col>3</xdr:col>
      <xdr:colOff>74002</xdr:colOff>
      <xdr:row>18</xdr:row>
      <xdr:rowOff>101373</xdr:rowOff>
    </xdr:from>
    <xdr:to>
      <xdr:col>3</xdr:col>
      <xdr:colOff>275491</xdr:colOff>
      <xdr:row>20</xdr:row>
      <xdr:rowOff>57622</xdr:rowOff>
    </xdr:to>
    <xdr:cxnSp macro="">
      <xdr:nvCxnSpPr>
        <xdr:cNvPr id="31" name="Straight Arrow Connector 30">
          <a:extLst>
            <a:ext uri="{FF2B5EF4-FFF2-40B4-BE49-F238E27FC236}">
              <a16:creationId xmlns:a16="http://schemas.microsoft.com/office/drawing/2014/main" id="{A84F7463-18AF-4A1C-A98D-3F580F7751D4}"/>
            </a:ext>
          </a:extLst>
        </xdr:cNvPr>
        <xdr:cNvCxnSpPr>
          <a:stCxn id="30" idx="1"/>
          <a:endCxn id="29" idx="3"/>
        </xdr:cNvCxnSpPr>
      </xdr:nvCxnSpPr>
      <xdr:spPr>
        <a:xfrm flipH="1" flipV="1">
          <a:off x="3151310" y="4560329"/>
          <a:ext cx="201489" cy="312128"/>
        </a:xfrm>
        <a:prstGeom prst="straightConnector1">
          <a:avLst/>
        </a:prstGeom>
        <a:ln w="1270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ccessories@18%25" TargetMode="External"/><Relationship Id="rId1" Type="http://schemas.openxmlformats.org/officeDocument/2006/relationships/hyperlink" Target="mailto:Accessories@%2028%25"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43"/>
  <sheetViews>
    <sheetView showGridLines="0" tabSelected="1" workbookViewId="0">
      <selection activeCell="K14" sqref="K14"/>
    </sheetView>
  </sheetViews>
  <sheetFormatPr defaultRowHeight="12.75" outlineLevelRow="1"/>
  <cols>
    <col min="1" max="1" width="1" style="51" customWidth="1"/>
    <col min="2" max="2" width="28.7109375" style="51" bestFit="1" customWidth="1"/>
    <col min="3" max="3" width="27" style="51" customWidth="1"/>
    <col min="4" max="4" width="17" style="51" customWidth="1"/>
    <col min="5" max="5" width="9.140625" style="71"/>
    <col min="6" max="6" width="1.42578125" style="71" customWidth="1"/>
    <col min="7" max="7" width="21.85546875" style="51" customWidth="1"/>
    <col min="8" max="8" width="12.140625" style="51" bestFit="1" customWidth="1"/>
    <col min="9" max="9" width="3.140625" style="52" customWidth="1"/>
    <col min="10" max="10" width="25.42578125" style="51" customWidth="1"/>
    <col min="11" max="11" width="9.140625" style="51"/>
    <col min="12" max="12" width="1.28515625" style="51" customWidth="1"/>
    <col min="13" max="16384" width="9.140625" style="51"/>
  </cols>
  <sheetData>
    <row r="2" spans="1:18" ht="12.75" customHeight="1">
      <c r="B2" s="157"/>
      <c r="C2" s="167" t="s">
        <v>0</v>
      </c>
      <c r="D2" s="167"/>
    </row>
    <row r="3" spans="1:18" ht="12.75" customHeight="1">
      <c r="A3" s="157"/>
      <c r="B3" s="157"/>
      <c r="C3" s="167"/>
      <c r="D3" s="167"/>
    </row>
    <row r="4" spans="1:18" ht="12.75" customHeight="1">
      <c r="A4" s="157"/>
      <c r="B4" s="157"/>
      <c r="C4" s="167"/>
      <c r="D4" s="167"/>
    </row>
    <row r="5" spans="1:18" ht="12.75" customHeight="1">
      <c r="A5" s="157"/>
      <c r="B5" s="157"/>
      <c r="C5" s="167"/>
      <c r="D5" s="167"/>
    </row>
    <row r="6" spans="1:18" ht="13.5" thickBot="1">
      <c r="C6" s="167"/>
      <c r="D6" s="167"/>
    </row>
    <row r="7" spans="1:18" ht="7.5" customHeight="1">
      <c r="F7" s="87"/>
      <c r="G7" s="88"/>
      <c r="H7" s="88"/>
      <c r="I7" s="89"/>
      <c r="J7" s="88"/>
      <c r="K7" s="88"/>
      <c r="L7" s="90"/>
    </row>
    <row r="8" spans="1:18">
      <c r="A8" s="158" t="s">
        <v>1</v>
      </c>
      <c r="B8" s="158"/>
      <c r="C8" s="158"/>
      <c r="D8" s="158"/>
      <c r="E8" s="59"/>
      <c r="F8" s="91"/>
      <c r="G8" s="158" t="s">
        <v>2</v>
      </c>
      <c r="H8" s="158"/>
      <c r="I8" s="158"/>
      <c r="J8" s="158"/>
      <c r="K8" s="158"/>
      <c r="L8" s="93"/>
      <c r="M8" s="50"/>
      <c r="N8" s="50"/>
      <c r="O8" s="50"/>
      <c r="P8" s="50"/>
      <c r="Q8" s="50"/>
      <c r="R8" s="50"/>
    </row>
    <row r="9" spans="1:18" ht="5.25" customHeight="1">
      <c r="A9" s="71"/>
      <c r="B9" s="59"/>
      <c r="C9" s="59"/>
      <c r="D9" s="59"/>
      <c r="E9" s="59"/>
      <c r="F9" s="91"/>
      <c r="G9" s="59"/>
      <c r="H9" s="59"/>
      <c r="I9" s="59"/>
      <c r="J9" s="59"/>
      <c r="K9" s="59"/>
      <c r="L9" s="92"/>
      <c r="M9" s="50"/>
      <c r="N9" s="50"/>
      <c r="O9" s="50"/>
      <c r="P9" s="50"/>
      <c r="Q9" s="50"/>
      <c r="R9" s="50"/>
    </row>
    <row r="10" spans="1:18">
      <c r="B10" s="73" t="s">
        <v>3</v>
      </c>
      <c r="C10" s="172" t="s">
        <v>4</v>
      </c>
      <c r="D10" s="173"/>
      <c r="E10" s="59"/>
      <c r="F10" s="91"/>
      <c r="G10" s="159" t="s">
        <v>5</v>
      </c>
      <c r="H10" s="159"/>
      <c r="I10" s="60"/>
      <c r="J10" s="160" t="s">
        <v>6</v>
      </c>
      <c r="K10" s="160"/>
      <c r="L10" s="93"/>
      <c r="M10" s="50"/>
      <c r="N10" s="50"/>
      <c r="O10" s="50"/>
      <c r="P10" s="50"/>
      <c r="Q10" s="50"/>
      <c r="R10" s="50"/>
    </row>
    <row r="11" spans="1:18">
      <c r="B11" s="73" t="s">
        <v>7</v>
      </c>
      <c r="C11" s="172" t="s">
        <v>8</v>
      </c>
      <c r="D11" s="173"/>
      <c r="E11" s="59"/>
      <c r="F11" s="91"/>
      <c r="G11" s="61" t="s">
        <v>9</v>
      </c>
      <c r="H11" s="62">
        <f>D16+D17+SUM(D18:D20)+D23+D24-D21+D25</f>
        <v>1721250</v>
      </c>
      <c r="I11" s="45"/>
      <c r="J11" s="67" t="s">
        <v>10</v>
      </c>
      <c r="K11" s="68">
        <f>D33</f>
        <v>40421.339040885461</v>
      </c>
      <c r="L11" s="93"/>
      <c r="M11" s="50"/>
      <c r="N11" s="50"/>
      <c r="O11" s="50"/>
      <c r="P11" s="50"/>
      <c r="Q11" s="50"/>
      <c r="R11" s="50"/>
    </row>
    <row r="12" spans="1:18">
      <c r="B12" s="73" t="s">
        <v>11</v>
      </c>
      <c r="C12" s="172"/>
      <c r="D12" s="173"/>
      <c r="E12" s="59"/>
      <c r="F12" s="91"/>
      <c r="G12" s="61" t="s">
        <v>12</v>
      </c>
      <c r="H12" s="63">
        <v>8.5000000000000006E-2</v>
      </c>
      <c r="I12" s="46"/>
      <c r="J12" s="67" t="s">
        <v>13</v>
      </c>
      <c r="K12" s="68">
        <f>K11*D27</f>
        <v>1940224.2739625021</v>
      </c>
      <c r="L12" s="93"/>
      <c r="M12" s="50"/>
      <c r="N12" s="50"/>
      <c r="O12" s="50"/>
      <c r="P12" s="50"/>
      <c r="Q12" s="50"/>
      <c r="R12" s="50"/>
    </row>
    <row r="13" spans="1:18">
      <c r="B13" s="59"/>
      <c r="C13" s="59"/>
      <c r="D13" s="59"/>
      <c r="E13" s="59"/>
      <c r="F13" s="91"/>
      <c r="G13" s="61" t="s">
        <v>14</v>
      </c>
      <c r="H13" s="64">
        <f>PMT(H12/12,D27,-H11,0,1)</f>
        <v>42127.489108543785</v>
      </c>
      <c r="I13" s="47"/>
      <c r="J13" s="67" t="s">
        <v>15</v>
      </c>
      <c r="K13" s="68">
        <f>(K12+Quotation!O8)*30%</f>
        <v>726067.28218875069</v>
      </c>
      <c r="L13" s="93"/>
      <c r="M13" s="50"/>
      <c r="N13" s="50"/>
      <c r="O13" s="50"/>
      <c r="P13" s="50"/>
      <c r="Q13" s="50"/>
      <c r="R13" s="50"/>
    </row>
    <row r="14" spans="1:18">
      <c r="B14" s="163" t="s">
        <v>16</v>
      </c>
      <c r="C14" s="163"/>
      <c r="D14" s="74">
        <v>0.45</v>
      </c>
      <c r="E14" s="59"/>
      <c r="F14" s="91"/>
      <c r="G14" s="61" t="s">
        <v>17</v>
      </c>
      <c r="H14" s="64"/>
      <c r="I14" s="47"/>
      <c r="J14" s="67" t="s">
        <v>18</v>
      </c>
      <c r="K14" s="68">
        <f>K12-K13</f>
        <v>1214156.9917737516</v>
      </c>
      <c r="L14" s="93"/>
      <c r="M14" s="50"/>
      <c r="N14" s="50"/>
      <c r="O14" s="50"/>
      <c r="P14" s="50"/>
      <c r="Q14" s="50"/>
      <c r="R14" s="50"/>
    </row>
    <row r="15" spans="1:18">
      <c r="B15" s="164" t="s">
        <v>19</v>
      </c>
      <c r="C15" s="164"/>
      <c r="D15" s="75" t="s">
        <v>20</v>
      </c>
      <c r="E15" s="59"/>
      <c r="F15" s="91"/>
      <c r="G15" s="66" t="s">
        <v>21</v>
      </c>
      <c r="H15" s="65">
        <f>H13*D27+H14</f>
        <v>2022119.4772101017</v>
      </c>
      <c r="I15" s="49"/>
      <c r="J15" s="67" t="s">
        <v>22</v>
      </c>
      <c r="K15" s="68">
        <f>Quotation!C18</f>
        <v>258620.68965517238</v>
      </c>
      <c r="L15" s="93"/>
      <c r="M15" s="50"/>
      <c r="N15" s="50"/>
      <c r="O15" s="50"/>
      <c r="P15" s="50"/>
      <c r="Q15" s="50"/>
      <c r="R15" s="50"/>
    </row>
    <row r="16" spans="1:18">
      <c r="B16" s="163" t="s">
        <v>23</v>
      </c>
      <c r="C16" s="163"/>
      <c r="D16" s="76">
        <v>1500000</v>
      </c>
      <c r="E16" s="59"/>
      <c r="F16" s="91"/>
      <c r="G16" s="48"/>
      <c r="H16" s="48"/>
      <c r="I16" s="49"/>
      <c r="J16" s="67" t="s">
        <v>24</v>
      </c>
      <c r="K16" s="68">
        <f>K15*D14</f>
        <v>116379.31034482757</v>
      </c>
      <c r="L16" s="93"/>
      <c r="M16" s="50"/>
      <c r="N16" s="50"/>
      <c r="O16" s="50"/>
      <c r="P16" s="50"/>
      <c r="Q16" s="50"/>
      <c r="R16" s="50"/>
    </row>
    <row r="17" spans="2:18">
      <c r="B17" s="163" t="s">
        <v>25</v>
      </c>
      <c r="C17" s="163"/>
      <c r="D17" s="76">
        <v>153000</v>
      </c>
      <c r="E17" s="59"/>
      <c r="F17" s="91"/>
      <c r="G17" s="48"/>
      <c r="H17" s="53"/>
      <c r="I17" s="49"/>
      <c r="J17" s="69" t="s">
        <v>21</v>
      </c>
      <c r="K17" s="70">
        <f>K16+K15+K14</f>
        <v>1589156.9917737516</v>
      </c>
      <c r="L17" s="93"/>
      <c r="M17" s="50"/>
      <c r="N17" s="50"/>
      <c r="O17" s="50"/>
      <c r="P17" s="50"/>
      <c r="Q17" s="50"/>
      <c r="R17" s="50"/>
    </row>
    <row r="18" spans="2:18">
      <c r="B18" s="164" t="s">
        <v>26</v>
      </c>
      <c r="C18" s="164"/>
      <c r="D18" s="76">
        <v>57000</v>
      </c>
      <c r="E18" s="59"/>
      <c r="F18" s="91"/>
      <c r="G18" s="48"/>
      <c r="H18" s="48"/>
      <c r="I18" s="48"/>
      <c r="J18" s="48"/>
      <c r="K18" s="48"/>
      <c r="L18" s="93"/>
      <c r="M18" s="50"/>
      <c r="N18" s="50"/>
      <c r="O18" s="50"/>
      <c r="P18" s="50"/>
      <c r="Q18" s="50"/>
      <c r="R18" s="50"/>
    </row>
    <row r="19" spans="2:18" ht="12" hidden="1" customHeight="1" outlineLevel="1">
      <c r="B19" s="165" t="s">
        <v>27</v>
      </c>
      <c r="C19" s="166"/>
      <c r="D19" s="76">
        <v>0</v>
      </c>
      <c r="E19" s="59"/>
      <c r="F19" s="91"/>
      <c r="G19" s="53"/>
      <c r="H19" s="53"/>
      <c r="J19" s="53"/>
      <c r="K19" s="53"/>
      <c r="L19" s="93"/>
      <c r="M19" s="50"/>
      <c r="N19" s="50"/>
      <c r="O19" s="50"/>
      <c r="P19" s="50"/>
      <c r="Q19" s="50"/>
      <c r="R19" s="50"/>
    </row>
    <row r="20" spans="2:18" ht="13.5" hidden="1" customHeight="1" outlineLevel="1">
      <c r="B20" s="165" t="s">
        <v>28</v>
      </c>
      <c r="C20" s="166"/>
      <c r="D20" s="76">
        <v>0</v>
      </c>
      <c r="E20" s="59"/>
      <c r="F20" s="91"/>
      <c r="G20" s="52"/>
      <c r="H20" s="52"/>
      <c r="J20" s="52"/>
      <c r="K20" s="52"/>
      <c r="L20" s="93"/>
      <c r="M20" s="50"/>
      <c r="N20" s="50"/>
      <c r="O20" s="50"/>
      <c r="P20" s="50"/>
      <c r="Q20" s="50"/>
      <c r="R20" s="50"/>
    </row>
    <row r="21" spans="2:18" ht="15.75" collapsed="1">
      <c r="B21" s="163" t="s">
        <v>29</v>
      </c>
      <c r="C21" s="163"/>
      <c r="D21" s="76">
        <v>0</v>
      </c>
      <c r="E21" s="59"/>
      <c r="F21" s="91"/>
      <c r="G21" s="162" t="s">
        <v>30</v>
      </c>
      <c r="H21" s="162"/>
      <c r="I21" s="94"/>
      <c r="J21" s="161">
        <f>H15-K17</f>
        <v>432962.48543635011</v>
      </c>
      <c r="K21" s="161"/>
      <c r="L21" s="93"/>
      <c r="M21" s="50"/>
      <c r="N21" s="50"/>
      <c r="O21" s="50"/>
      <c r="P21" s="50"/>
      <c r="Q21" s="50"/>
      <c r="R21" s="50"/>
    </row>
    <row r="22" spans="2:18">
      <c r="B22" s="170" t="s">
        <v>31</v>
      </c>
      <c r="C22" s="170"/>
      <c r="D22" s="77"/>
      <c r="E22" s="59"/>
      <c r="F22" s="91"/>
      <c r="G22" s="59"/>
      <c r="H22" s="59"/>
      <c r="I22" s="59"/>
      <c r="J22" s="59"/>
      <c r="K22" s="59"/>
      <c r="L22" s="92"/>
      <c r="M22" s="50"/>
      <c r="N22" s="50"/>
      <c r="O22" s="50"/>
      <c r="P22" s="50"/>
      <c r="Q22" s="50"/>
      <c r="R22" s="50"/>
    </row>
    <row r="23" spans="2:18" ht="13.5" thickBot="1">
      <c r="B23" s="163" t="s">
        <v>32</v>
      </c>
      <c r="C23" s="163"/>
      <c r="D23" s="76">
        <v>0</v>
      </c>
      <c r="E23" s="59"/>
      <c r="F23" s="95"/>
      <c r="G23" s="96" t="s">
        <v>33</v>
      </c>
      <c r="H23" s="97"/>
      <c r="I23" s="97"/>
      <c r="J23" s="97"/>
      <c r="K23" s="97"/>
      <c r="L23" s="98"/>
      <c r="M23" s="50"/>
      <c r="N23" s="50"/>
      <c r="O23" s="50"/>
      <c r="P23" s="50"/>
      <c r="Q23" s="50"/>
      <c r="R23" s="50"/>
    </row>
    <row r="24" spans="2:18">
      <c r="B24" s="171" t="s">
        <v>34</v>
      </c>
      <c r="C24" s="171"/>
      <c r="D24" s="155">
        <v>0</v>
      </c>
      <c r="E24" s="59"/>
      <c r="F24" s="59"/>
      <c r="G24" s="50"/>
      <c r="H24" s="50"/>
      <c r="I24" s="50"/>
      <c r="J24" s="50"/>
      <c r="K24" s="50"/>
      <c r="L24" s="50"/>
      <c r="M24" s="50"/>
      <c r="N24" s="50"/>
      <c r="O24" s="50"/>
      <c r="P24" s="50"/>
      <c r="Q24" s="50"/>
      <c r="R24" s="50"/>
    </row>
    <row r="25" spans="2:18">
      <c r="B25" s="174" t="s">
        <v>35</v>
      </c>
      <c r="C25" s="175"/>
      <c r="D25" s="156">
        <f>IF(D16&gt;=1000000,D16*0.75%,0)</f>
        <v>11250</v>
      </c>
      <c r="E25" s="59"/>
      <c r="F25" s="59"/>
      <c r="G25" s="50"/>
      <c r="H25" s="50"/>
      <c r="I25" s="50"/>
      <c r="J25" s="50"/>
      <c r="K25" s="50"/>
      <c r="L25" s="50"/>
      <c r="M25" s="50"/>
      <c r="N25" s="50"/>
      <c r="O25" s="50"/>
      <c r="P25" s="50"/>
      <c r="Q25" s="50"/>
      <c r="R25" s="50"/>
    </row>
    <row r="26" spans="2:18">
      <c r="B26" s="79"/>
      <c r="C26" s="78"/>
      <c r="D26" s="80"/>
      <c r="E26" s="59"/>
      <c r="F26" s="59"/>
      <c r="G26" s="50"/>
      <c r="H26" s="50"/>
      <c r="I26" s="50"/>
      <c r="J26" s="50"/>
      <c r="K26" s="50"/>
      <c r="L26" s="50"/>
      <c r="M26" s="50"/>
      <c r="N26" s="50"/>
      <c r="O26" s="50"/>
      <c r="P26" s="50"/>
      <c r="Q26" s="50"/>
      <c r="R26" s="50"/>
    </row>
    <row r="27" spans="2:18">
      <c r="B27" s="163" t="s">
        <v>36</v>
      </c>
      <c r="C27" s="163"/>
      <c r="D27" s="81">
        <v>48</v>
      </c>
      <c r="E27" s="59"/>
      <c r="F27" s="59"/>
      <c r="G27" s="50"/>
      <c r="H27" s="50"/>
      <c r="I27" s="50"/>
      <c r="J27" s="50"/>
      <c r="K27" s="50"/>
      <c r="L27" s="50"/>
      <c r="M27" s="50"/>
      <c r="N27" s="50"/>
      <c r="O27" s="50"/>
      <c r="P27" s="50"/>
      <c r="Q27" s="50"/>
      <c r="R27" s="50"/>
    </row>
    <row r="28" spans="2:18">
      <c r="B28" s="163" t="s">
        <v>37</v>
      </c>
      <c r="C28" s="163"/>
      <c r="D28" s="81">
        <v>0</v>
      </c>
      <c r="E28" s="59"/>
      <c r="F28" s="59"/>
      <c r="G28" s="50"/>
      <c r="H28" s="50"/>
      <c r="I28" s="50"/>
      <c r="J28" s="50"/>
      <c r="K28" s="50"/>
      <c r="L28" s="50"/>
      <c r="M28" s="50"/>
      <c r="N28" s="50"/>
      <c r="O28" s="50"/>
      <c r="P28" s="50"/>
      <c r="Q28" s="50"/>
      <c r="R28" s="50"/>
    </row>
    <row r="29" spans="2:18">
      <c r="B29" s="163" t="s">
        <v>12</v>
      </c>
      <c r="C29" s="163"/>
      <c r="D29" s="82">
        <v>0.1</v>
      </c>
      <c r="E29" s="59"/>
      <c r="F29" s="59"/>
      <c r="G29" s="50"/>
      <c r="H29" s="50"/>
      <c r="I29" s="50"/>
      <c r="J29" s="50"/>
      <c r="K29" s="50"/>
      <c r="L29" s="50"/>
      <c r="M29" s="50"/>
      <c r="N29" s="50"/>
      <c r="O29" s="50"/>
      <c r="P29" s="50"/>
      <c r="Q29" s="50"/>
      <c r="R29" s="50"/>
    </row>
    <row r="30" spans="2:18">
      <c r="B30" s="163" t="s">
        <v>38</v>
      </c>
      <c r="C30" s="163"/>
      <c r="D30" s="83">
        <v>0.25</v>
      </c>
      <c r="E30" s="59"/>
      <c r="F30" s="59"/>
      <c r="G30" s="50"/>
      <c r="H30" s="50"/>
      <c r="I30" s="50"/>
      <c r="J30" s="50"/>
      <c r="K30" s="50"/>
      <c r="L30" s="50"/>
      <c r="M30" s="50"/>
      <c r="N30" s="50"/>
      <c r="O30" s="50"/>
      <c r="P30" s="50"/>
      <c r="Q30" s="50"/>
      <c r="R30" s="50"/>
    </row>
    <row r="31" spans="2:18">
      <c r="B31" s="163" t="s">
        <v>39</v>
      </c>
      <c r="C31" s="163"/>
      <c r="D31" s="84">
        <f>AND(D14&lt;&gt;"Select")*IFERROR(Quotation!G11+Quotation!G13+Quotation!G14+Quotation!G16+Quotation!G17,0)</f>
        <v>29458.205187334916</v>
      </c>
      <c r="E31" s="59"/>
      <c r="F31" s="59"/>
      <c r="G31" s="50"/>
      <c r="H31" s="50"/>
      <c r="I31" s="50"/>
      <c r="J31" s="50"/>
      <c r="K31" s="50"/>
      <c r="L31" s="50"/>
      <c r="M31" s="50"/>
      <c r="N31" s="50"/>
      <c r="O31" s="50"/>
      <c r="P31" s="50"/>
      <c r="Q31" s="50"/>
      <c r="R31" s="50"/>
    </row>
    <row r="32" spans="2:18">
      <c r="B32" s="163" t="s">
        <v>40</v>
      </c>
      <c r="C32" s="163"/>
      <c r="D32" s="84">
        <f>AND(D14&lt;&gt;"Select")*IFERROR(Quotation!G12+Quotation!G15+Quotation!G18,0)</f>
        <v>10963.133853550546</v>
      </c>
      <c r="E32" s="59"/>
      <c r="F32" s="59"/>
      <c r="G32" s="50"/>
      <c r="H32" s="50"/>
      <c r="I32" s="50"/>
      <c r="J32" s="50"/>
      <c r="K32" s="50"/>
      <c r="L32" s="50"/>
      <c r="M32" s="50"/>
      <c r="N32" s="50"/>
      <c r="O32" s="50"/>
      <c r="P32" s="50"/>
      <c r="Q32" s="50"/>
      <c r="R32" s="50"/>
    </row>
    <row r="33" spans="2:18">
      <c r="B33" s="169" t="s">
        <v>41</v>
      </c>
      <c r="C33" s="169"/>
      <c r="D33" s="85">
        <f>D31+D32</f>
        <v>40421.339040885461</v>
      </c>
      <c r="E33" s="59"/>
      <c r="F33" s="59"/>
      <c r="G33" s="50"/>
      <c r="H33" s="50"/>
      <c r="I33" s="50"/>
      <c r="J33" s="50"/>
      <c r="K33" s="50"/>
      <c r="L33" s="50"/>
      <c r="M33" s="50"/>
      <c r="N33" s="50"/>
      <c r="O33" s="50"/>
      <c r="P33" s="50"/>
      <c r="Q33" s="50"/>
      <c r="R33" s="50"/>
    </row>
    <row r="34" spans="2:18">
      <c r="B34" s="59"/>
      <c r="C34" s="59"/>
      <c r="D34" s="59"/>
      <c r="E34" s="59"/>
      <c r="F34" s="59"/>
      <c r="G34" s="50"/>
      <c r="H34" s="50"/>
      <c r="I34" s="50"/>
      <c r="J34" s="50"/>
      <c r="K34" s="50"/>
      <c r="L34" s="50"/>
      <c r="M34" s="50"/>
      <c r="N34" s="50"/>
      <c r="O34" s="50"/>
      <c r="P34" s="50"/>
      <c r="Q34" s="50"/>
      <c r="R34" s="50"/>
    </row>
    <row r="35" spans="2:18">
      <c r="B35" s="54" t="s">
        <v>42</v>
      </c>
      <c r="C35" s="50"/>
      <c r="D35" s="50"/>
      <c r="G35" s="50"/>
      <c r="H35" s="50"/>
      <c r="J35" s="50"/>
      <c r="K35" s="50"/>
      <c r="L35" s="50"/>
      <c r="M35" s="50"/>
      <c r="N35" s="50"/>
      <c r="O35" s="50"/>
      <c r="P35" s="50"/>
      <c r="Q35" s="50"/>
      <c r="R35" s="50"/>
    </row>
    <row r="36" spans="2:18" ht="25.5" customHeight="1">
      <c r="B36" s="168" t="s">
        <v>43</v>
      </c>
      <c r="C36" s="168"/>
      <c r="D36" s="168"/>
      <c r="E36" s="72"/>
      <c r="F36" s="72"/>
      <c r="G36" s="50"/>
      <c r="H36" s="50"/>
      <c r="J36" s="50"/>
      <c r="K36" s="50"/>
      <c r="L36" s="50"/>
      <c r="M36" s="50"/>
      <c r="N36" s="50"/>
      <c r="O36" s="50"/>
      <c r="P36" s="50"/>
      <c r="Q36" s="50"/>
      <c r="R36" s="50"/>
    </row>
    <row r="37" spans="2:18">
      <c r="B37" s="57" t="s">
        <v>44</v>
      </c>
      <c r="C37" s="50"/>
      <c r="D37" s="50"/>
      <c r="E37" s="72"/>
      <c r="F37" s="72"/>
      <c r="G37" s="50"/>
      <c r="H37" s="50"/>
      <c r="J37" s="50"/>
      <c r="K37" s="50"/>
      <c r="L37" s="50"/>
      <c r="M37" s="50"/>
      <c r="N37" s="50"/>
      <c r="O37" s="50"/>
      <c r="P37" s="50"/>
      <c r="Q37" s="50"/>
      <c r="R37" s="50"/>
    </row>
    <row r="38" spans="2:18">
      <c r="B38" s="50"/>
      <c r="C38" s="50"/>
      <c r="D38" s="50"/>
      <c r="E38" s="72"/>
      <c r="F38" s="72"/>
      <c r="G38" s="50"/>
      <c r="H38" s="50"/>
      <c r="J38" s="50"/>
      <c r="K38" s="50"/>
      <c r="L38" s="50"/>
      <c r="M38" s="50"/>
      <c r="N38" s="50"/>
      <c r="O38" s="50"/>
      <c r="P38" s="50"/>
      <c r="Q38" s="50"/>
      <c r="R38" s="50"/>
    </row>
    <row r="39" spans="2:18">
      <c r="B39" s="50"/>
      <c r="C39" s="50"/>
      <c r="D39" s="50"/>
      <c r="E39" s="72"/>
      <c r="F39" s="72"/>
      <c r="G39" s="50"/>
      <c r="H39" s="50"/>
      <c r="J39" s="50"/>
      <c r="K39" s="50"/>
      <c r="L39" s="50"/>
      <c r="M39" s="50"/>
      <c r="N39" s="50"/>
      <c r="O39" s="50"/>
      <c r="P39" s="50"/>
      <c r="Q39" s="50"/>
      <c r="R39" s="50"/>
    </row>
    <row r="40" spans="2:18">
      <c r="B40" s="50"/>
      <c r="C40" s="50"/>
      <c r="D40" s="50"/>
      <c r="G40" s="50"/>
      <c r="H40" s="50"/>
      <c r="J40" s="50"/>
      <c r="K40" s="50"/>
      <c r="L40" s="50"/>
      <c r="M40" s="50"/>
      <c r="N40" s="50"/>
      <c r="O40" s="50"/>
      <c r="P40" s="50"/>
      <c r="Q40" s="50"/>
      <c r="R40" s="50"/>
    </row>
    <row r="41" spans="2:18">
      <c r="B41" s="50"/>
      <c r="C41" s="50"/>
      <c r="D41" s="50"/>
      <c r="G41" s="50"/>
      <c r="H41" s="50"/>
      <c r="J41" s="50"/>
      <c r="K41" s="50"/>
      <c r="L41" s="50"/>
      <c r="M41" s="50"/>
      <c r="N41" s="50"/>
      <c r="O41" s="50"/>
      <c r="P41" s="50"/>
      <c r="Q41" s="50"/>
      <c r="R41" s="50"/>
    </row>
    <row r="42" spans="2:18">
      <c r="B42" s="50"/>
      <c r="C42" s="50"/>
      <c r="D42" s="50"/>
      <c r="G42" s="50"/>
      <c r="H42" s="50"/>
      <c r="J42" s="50"/>
      <c r="K42" s="50"/>
      <c r="L42" s="50"/>
      <c r="M42" s="50"/>
      <c r="N42" s="50"/>
      <c r="O42" s="50"/>
      <c r="P42" s="50"/>
      <c r="Q42" s="50"/>
      <c r="R42" s="50"/>
    </row>
    <row r="43" spans="2:18">
      <c r="B43" s="50"/>
      <c r="C43" s="50"/>
      <c r="D43" s="50"/>
    </row>
  </sheetData>
  <protectedRanges>
    <protectedRange password="C69D" sqref="D31:D33" name="Range1" securityDescriptor="O:WDG:WDD:(A;;CC;;;S-1-5-21-1177238915-920026266-725345543-343804)"/>
  </protectedRanges>
  <dataConsolidate/>
  <mergeCells count="30">
    <mergeCell ref="C2:D6"/>
    <mergeCell ref="B36:D36"/>
    <mergeCell ref="B29:C29"/>
    <mergeCell ref="B30:C30"/>
    <mergeCell ref="B31:C31"/>
    <mergeCell ref="B32:C32"/>
    <mergeCell ref="B33:C33"/>
    <mergeCell ref="B22:C22"/>
    <mergeCell ref="B23:C23"/>
    <mergeCell ref="B24:C24"/>
    <mergeCell ref="B27:C27"/>
    <mergeCell ref="B28:C28"/>
    <mergeCell ref="C10:D10"/>
    <mergeCell ref="C11:D11"/>
    <mergeCell ref="C12:D12"/>
    <mergeCell ref="B25:C25"/>
    <mergeCell ref="G8:K8"/>
    <mergeCell ref="G10:H10"/>
    <mergeCell ref="J10:K10"/>
    <mergeCell ref="A8:D8"/>
    <mergeCell ref="J21:K21"/>
    <mergeCell ref="G21:H21"/>
    <mergeCell ref="B14:C14"/>
    <mergeCell ref="B15:C15"/>
    <mergeCell ref="B17:C17"/>
    <mergeCell ref="B16:C16"/>
    <mergeCell ref="B18:C18"/>
    <mergeCell ref="B21:C21"/>
    <mergeCell ref="B19:C19"/>
    <mergeCell ref="B20:C20"/>
  </mergeCells>
  <dataValidations count="6">
    <dataValidation type="list" allowBlank="1" showInputMessage="1" showErrorMessage="1" sqref="D14" xr:uid="{00000000-0002-0000-0000-000000000000}">
      <formula1>"Select,29%,31%,45%,48%,50%"</formula1>
    </dataValidation>
    <dataValidation type="list" allowBlank="1" showInputMessage="1" showErrorMessage="1" sqref="D15" xr:uid="{00000000-0002-0000-0000-000001000000}">
      <formula1>"Select,Yes,No"</formula1>
    </dataValidation>
    <dataValidation type="list" allowBlank="1" showInputMessage="1" showErrorMessage="1" sqref="D27" xr:uid="{00000000-0002-0000-0000-000002000000}">
      <formula1>"24,36,48,60"</formula1>
    </dataValidation>
    <dataValidation type="whole" operator="greaterThanOrEqual" allowBlank="1" showInputMessage="1" showErrorMessage="1" sqref="D19:D21 D16:D17 D23:D25" xr:uid="{00000000-0002-0000-0000-000003000000}">
      <formula1>0</formula1>
    </dataValidation>
    <dataValidation type="list" allowBlank="1" showInputMessage="1" showErrorMessage="1" sqref="D28" xr:uid="{00000000-0002-0000-0000-000004000000}">
      <formula1>"0"</formula1>
    </dataValidation>
    <dataValidation operator="greaterThanOrEqual" allowBlank="1" showInputMessage="1" showErrorMessage="1" sqref="D18" xr:uid="{00000000-0002-0000-0000-000005000000}"/>
  </dataValidations>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92"/>
  <sheetViews>
    <sheetView showGridLines="0" topLeftCell="D1" zoomScale="95" zoomScaleNormal="95" workbookViewId="0">
      <selection activeCell="O7" sqref="O7"/>
    </sheetView>
  </sheetViews>
  <sheetFormatPr defaultColWidth="17.28515625" defaultRowHeight="11.25"/>
  <cols>
    <col min="1" max="1" width="9.85546875" style="26" customWidth="1"/>
    <col min="2" max="2" width="25.5703125" style="26" customWidth="1"/>
    <col min="3" max="3" width="10.7109375" style="26" customWidth="1"/>
    <col min="4" max="4" width="17.28515625" style="26" customWidth="1"/>
    <col min="5" max="5" width="13.28515625" style="26" customWidth="1"/>
    <col min="6" max="6" width="26.140625" style="26" customWidth="1"/>
    <col min="7" max="7" width="11.42578125" style="26" customWidth="1"/>
    <col min="8" max="8" width="17.42578125" style="26" customWidth="1"/>
    <col min="9" max="9" width="20" style="26" customWidth="1"/>
    <col min="10" max="10" width="14" style="26" customWidth="1"/>
    <col min="11" max="11" width="17.28515625" style="26"/>
    <col min="12" max="12" width="12.5703125" style="26" bestFit="1" customWidth="1"/>
    <col min="13" max="13" width="12.42578125" style="26" customWidth="1"/>
    <col min="14" max="14" width="17.28515625" style="26"/>
    <col min="15" max="15" width="13.7109375" style="26" customWidth="1"/>
    <col min="16" max="20" width="17.28515625" style="26"/>
    <col min="21" max="21" width="12.5703125" style="26" bestFit="1" customWidth="1"/>
    <col min="22" max="22" width="14.5703125" style="26" bestFit="1" customWidth="1"/>
    <col min="23" max="23" width="18.5703125" style="26" bestFit="1" customWidth="1"/>
    <col min="24" max="16384" width="17.28515625" style="26"/>
  </cols>
  <sheetData>
    <row r="1" spans="1:71" ht="11.25" customHeight="1"/>
    <row r="2" spans="1:71" ht="11.25" customHeight="1">
      <c r="B2" s="181" t="s">
        <v>45</v>
      </c>
      <c r="C2" s="181"/>
      <c r="D2" s="181"/>
      <c r="E2" s="181"/>
      <c r="F2" s="181"/>
      <c r="G2" s="181"/>
      <c r="I2" s="25"/>
    </row>
    <row r="3" spans="1:71" ht="24" customHeight="1">
      <c r="B3" s="181"/>
      <c r="C3" s="181"/>
      <c r="D3" s="181"/>
      <c r="E3" s="181"/>
      <c r="F3" s="181"/>
      <c r="G3" s="181"/>
      <c r="H3" s="86"/>
      <c r="I3" s="176" t="s">
        <v>46</v>
      </c>
      <c r="J3" s="176"/>
      <c r="L3" s="177" t="s">
        <v>47</v>
      </c>
      <c r="M3" s="177"/>
      <c r="N3" s="177"/>
      <c r="O3" s="177"/>
    </row>
    <row r="4" spans="1:71" ht="20.25">
      <c r="B4" s="181"/>
      <c r="C4" s="181"/>
      <c r="D4" s="181"/>
      <c r="E4" s="181"/>
      <c r="F4" s="181"/>
      <c r="G4" s="181"/>
      <c r="H4" s="86"/>
      <c r="I4" s="55">
        <f>(C9+C10+C11)/100</f>
        <v>4.5000000000000005E-3</v>
      </c>
      <c r="J4" s="55">
        <f>I4*100</f>
        <v>0.45000000000000007</v>
      </c>
      <c r="K4" s="55">
        <f>J4+1</f>
        <v>1.4500000000000002</v>
      </c>
      <c r="L4" s="178" t="s">
        <v>5</v>
      </c>
      <c r="M4" s="178"/>
      <c r="N4" s="179" t="s">
        <v>6</v>
      </c>
      <c r="O4" s="179"/>
    </row>
    <row r="5" spans="1:71" ht="24">
      <c r="B5" s="181"/>
      <c r="C5" s="181"/>
      <c r="D5" s="181"/>
      <c r="E5" s="181"/>
      <c r="F5" s="181"/>
      <c r="G5" s="181"/>
      <c r="I5" s="135" t="s">
        <v>48</v>
      </c>
      <c r="J5" s="151">
        <f>'Quotation Summary'!D16</f>
        <v>1500000</v>
      </c>
      <c r="L5" s="135" t="s">
        <v>49</v>
      </c>
      <c r="M5" s="139">
        <f>+J13</f>
        <v>1721250</v>
      </c>
      <c r="N5" s="142" t="s">
        <v>50</v>
      </c>
      <c r="O5" s="138">
        <f>G19</f>
        <v>40421.339040885454</v>
      </c>
    </row>
    <row r="6" spans="1:71" ht="24">
      <c r="A6" s="186" t="s">
        <v>51</v>
      </c>
      <c r="B6" s="186"/>
      <c r="C6" s="118" t="s">
        <v>52</v>
      </c>
      <c r="E6" s="186" t="s">
        <v>53</v>
      </c>
      <c r="F6" s="186"/>
      <c r="G6" s="118" t="s">
        <v>54</v>
      </c>
      <c r="I6" s="135" t="s">
        <v>25</v>
      </c>
      <c r="J6" s="151">
        <f>'Quotation Summary'!D17</f>
        <v>153000</v>
      </c>
      <c r="L6" s="135" t="s">
        <v>55</v>
      </c>
      <c r="M6" s="140">
        <f>'Quotation Summary'!H12</f>
        <v>8.5000000000000006E-2</v>
      </c>
      <c r="N6" s="142" t="s">
        <v>56</v>
      </c>
      <c r="O6" s="138">
        <f>O5*C16</f>
        <v>1940224.2739625019</v>
      </c>
    </row>
    <row r="7" spans="1:71" ht="33.75">
      <c r="I7" s="135" t="s">
        <v>57</v>
      </c>
      <c r="J7" s="151">
        <f>'Quotation Summary'!D18</f>
        <v>57000</v>
      </c>
      <c r="L7" s="135" t="s">
        <v>58</v>
      </c>
      <c r="M7" s="141">
        <f>PMT(M6/12,C16,-M5,0,1)</f>
        <v>42127.489108543785</v>
      </c>
      <c r="N7" s="143" t="s">
        <v>59</v>
      </c>
      <c r="O7" s="138">
        <v>10000</v>
      </c>
      <c r="P7" s="26" t="s">
        <v>60</v>
      </c>
    </row>
    <row r="8" spans="1:71" ht="24">
      <c r="A8" s="190" t="s">
        <v>61</v>
      </c>
      <c r="B8" s="190"/>
      <c r="C8" s="104">
        <f>J5</f>
        <v>1500000</v>
      </c>
      <c r="E8" s="120" t="s">
        <v>62</v>
      </c>
      <c r="F8" s="121">
        <f>J10</f>
        <v>0</v>
      </c>
      <c r="G8" s="146" t="s">
        <v>63</v>
      </c>
      <c r="I8" s="135" t="s">
        <v>64</v>
      </c>
      <c r="J8" s="151">
        <f>'Quotation Summary'!D23</f>
        <v>0</v>
      </c>
      <c r="L8" s="149" t="s">
        <v>65</v>
      </c>
      <c r="M8" s="150">
        <f>M7*C16+M9</f>
        <v>2022119.4772101017</v>
      </c>
      <c r="N8" s="143" t="s">
        <v>66</v>
      </c>
      <c r="O8" s="138">
        <f>O7*C16</f>
        <v>480000</v>
      </c>
      <c r="P8" s="26" t="s">
        <v>67</v>
      </c>
    </row>
    <row r="9" spans="1:71" ht="12">
      <c r="A9" s="190" t="s">
        <v>68</v>
      </c>
      <c r="B9" s="190"/>
      <c r="C9" s="99">
        <v>0.14000000000000001</v>
      </c>
      <c r="E9" s="120" t="s">
        <v>69</v>
      </c>
      <c r="F9" s="121">
        <f>IF(G6="Yes",F8/K4,F8)</f>
        <v>0</v>
      </c>
      <c r="G9" s="119">
        <f>F8-F9</f>
        <v>0</v>
      </c>
      <c r="I9" s="135" t="s">
        <v>70</v>
      </c>
      <c r="J9" s="151">
        <f>'Quotation Summary'!D24</f>
        <v>0</v>
      </c>
      <c r="M9" s="36"/>
      <c r="N9" s="142" t="s">
        <v>71</v>
      </c>
      <c r="O9" s="138">
        <f>(O6+O8)*30%</f>
        <v>726067.28218875057</v>
      </c>
      <c r="P9" s="27"/>
      <c r="Q9" s="27"/>
      <c r="R9" s="27"/>
      <c r="S9" s="27"/>
    </row>
    <row r="10" spans="1:71" ht="24">
      <c r="A10" s="190" t="s">
        <v>72</v>
      </c>
      <c r="B10" s="190"/>
      <c r="C10" s="99">
        <v>0.14000000000000001</v>
      </c>
      <c r="D10" s="29"/>
      <c r="E10" s="29"/>
      <c r="F10" s="29"/>
      <c r="G10" s="29"/>
      <c r="I10" s="135" t="s">
        <v>62</v>
      </c>
      <c r="J10" s="151">
        <f>'Quotation Summary'!D21</f>
        <v>0</v>
      </c>
      <c r="N10" s="142" t="s">
        <v>73</v>
      </c>
      <c r="O10" s="138">
        <f>O6-O9</f>
        <v>1214156.9917737513</v>
      </c>
      <c r="P10" s="27"/>
      <c r="Q10" s="27"/>
      <c r="R10" s="27"/>
      <c r="S10" s="27"/>
    </row>
    <row r="11" spans="1:71" ht="12">
      <c r="A11" s="190" t="s">
        <v>74</v>
      </c>
      <c r="B11" s="190"/>
      <c r="C11" s="99">
        <f>+J14-C9-C10</f>
        <v>0.16999999999999998</v>
      </c>
      <c r="D11" s="29"/>
      <c r="E11" s="187" t="s">
        <v>75</v>
      </c>
      <c r="F11" s="187"/>
      <c r="G11" s="122">
        <f>C20</f>
        <v>21833.038871786608</v>
      </c>
      <c r="I11" s="135" t="s">
        <v>76</v>
      </c>
      <c r="J11" s="151">
        <f>'Quotation Summary'!D22</f>
        <v>0</v>
      </c>
      <c r="L11" s="36"/>
      <c r="M11" s="36"/>
      <c r="N11" s="142" t="s">
        <v>22</v>
      </c>
      <c r="O11" s="138">
        <f>C18</f>
        <v>258620.68965517238</v>
      </c>
      <c r="P11" s="27"/>
      <c r="Q11" s="27"/>
      <c r="R11" s="27"/>
      <c r="S11" s="27"/>
    </row>
    <row r="12" spans="1:71" s="29" customFormat="1" ht="12">
      <c r="A12" s="190" t="s">
        <v>77</v>
      </c>
      <c r="B12" s="190"/>
      <c r="C12" s="104">
        <f>IF(G6="Yes",C8/K4,C8)</f>
        <v>1034482.7586206895</v>
      </c>
      <c r="E12" s="188" t="s">
        <v>78</v>
      </c>
      <c r="F12" s="188"/>
      <c r="G12" s="122">
        <f>G31+IF(G6="Yes",FBC!K13+G17*J14,0)</f>
        <v>10746.928199717102</v>
      </c>
      <c r="H12" s="30"/>
      <c r="I12" s="135" t="s">
        <v>79</v>
      </c>
      <c r="J12" s="151">
        <f>'Quotation Summary'!D25</f>
        <v>11250</v>
      </c>
      <c r="L12" s="36"/>
      <c r="M12" s="36"/>
      <c r="N12" s="142" t="s">
        <v>80</v>
      </c>
      <c r="O12" s="138">
        <f>O11*J14</f>
        <v>116379.31034482757</v>
      </c>
      <c r="P12" s="28"/>
      <c r="Q12" s="28"/>
      <c r="R12" s="28"/>
      <c r="S12" s="28"/>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row>
    <row r="13" spans="1:71" s="29" customFormat="1" ht="22.5" customHeight="1">
      <c r="A13" s="190" t="s">
        <v>81</v>
      </c>
      <c r="B13" s="190"/>
      <c r="C13" s="104">
        <f>J6</f>
        <v>153000</v>
      </c>
      <c r="E13" s="189" t="s">
        <v>82</v>
      </c>
      <c r="F13" s="189"/>
      <c r="G13" s="122">
        <f>H31+M31</f>
        <v>5326.1425212969098</v>
      </c>
      <c r="H13" s="30"/>
      <c r="I13" s="135" t="s">
        <v>49</v>
      </c>
      <c r="J13" s="152">
        <f>SUM(J5:J9)-J10+J11+J12</f>
        <v>1721250</v>
      </c>
      <c r="L13" s="36"/>
      <c r="M13" s="36"/>
      <c r="N13" s="147" t="s">
        <v>83</v>
      </c>
      <c r="O13" s="148">
        <f>O12+O11+O10</f>
        <v>1589156.9917737513</v>
      </c>
      <c r="P13" s="28"/>
      <c r="Q13" s="28"/>
      <c r="R13" s="28"/>
      <c r="S13" s="28"/>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row>
    <row r="14" spans="1:71" s="29" customFormat="1" ht="24">
      <c r="A14" s="190" t="s">
        <v>84</v>
      </c>
      <c r="B14" s="190"/>
      <c r="C14" s="104">
        <f>J7</f>
        <v>57000</v>
      </c>
      <c r="D14" s="40"/>
      <c r="E14" s="188" t="s">
        <v>85</v>
      </c>
      <c r="F14" s="188"/>
      <c r="G14" s="122">
        <f>J16</f>
        <v>250</v>
      </c>
      <c r="H14" s="30"/>
      <c r="I14" s="135" t="s">
        <v>86</v>
      </c>
      <c r="J14" s="137">
        <f>IF('Quotation Summary'!D14="Select",0,'Quotation Summary'!D14)</f>
        <v>0.45</v>
      </c>
      <c r="L14" s="36"/>
      <c r="M14" s="36"/>
      <c r="N14" s="144" t="s">
        <v>87</v>
      </c>
      <c r="O14" s="145">
        <f>M8-O13</f>
        <v>432962.48543635034</v>
      </c>
      <c r="P14" s="28"/>
      <c r="Q14" s="28"/>
      <c r="R14" s="28"/>
      <c r="S14" s="28"/>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row>
    <row r="15" spans="1:71" s="29" customFormat="1" ht="12">
      <c r="A15" s="190" t="s">
        <v>88</v>
      </c>
      <c r="B15" s="190"/>
      <c r="C15" s="104">
        <f>C12-F9+(J9/(118%))+(J8/(128%))+J11</f>
        <v>1034482.7586206895</v>
      </c>
      <c r="D15" s="40"/>
      <c r="E15" s="188" t="s">
        <v>89</v>
      </c>
      <c r="F15" s="188"/>
      <c r="G15" s="123">
        <f>18%*(G14)</f>
        <v>45</v>
      </c>
      <c r="H15" s="30"/>
      <c r="I15" s="135" t="s">
        <v>90</v>
      </c>
      <c r="J15" s="137">
        <f>'Quotation Summary'!D29</f>
        <v>0.1</v>
      </c>
      <c r="L15" s="57" t="s">
        <v>91</v>
      </c>
      <c r="M15" s="36"/>
      <c r="P15" s="28"/>
      <c r="Q15" s="28"/>
      <c r="R15" s="28"/>
      <c r="S15" s="28"/>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row>
    <row r="16" spans="1:71" ht="33.75" customHeight="1">
      <c r="A16" s="190" t="s">
        <v>92</v>
      </c>
      <c r="B16" s="190"/>
      <c r="C16" s="100">
        <f>IF('Quotation Summary'!D27="Select",0,'Quotation Summary'!D27)</f>
        <v>48</v>
      </c>
      <c r="E16" s="189" t="s">
        <v>93</v>
      </c>
      <c r="F16" s="189"/>
      <c r="G16" s="123">
        <f>FBC!J13</f>
        <v>1955.2737942513952</v>
      </c>
      <c r="H16" s="30"/>
      <c r="I16" s="135" t="s">
        <v>94</v>
      </c>
      <c r="J16" s="136">
        <v>250</v>
      </c>
      <c r="P16" s="27"/>
      <c r="Q16" s="27"/>
      <c r="R16" s="27"/>
      <c r="S16" s="27"/>
    </row>
    <row r="17" spans="1:25" ht="12">
      <c r="A17" s="190" t="s">
        <v>22</v>
      </c>
      <c r="B17" s="190"/>
      <c r="C17" s="101">
        <f>'Quotation Summary'!D30</f>
        <v>0.25</v>
      </c>
      <c r="E17" s="188" t="s">
        <v>95</v>
      </c>
      <c r="F17" s="188"/>
      <c r="G17" s="123">
        <f>J12*J15/12</f>
        <v>93.75</v>
      </c>
      <c r="K17" s="36"/>
      <c r="L17" s="36"/>
      <c r="M17" s="38"/>
      <c r="N17" s="39"/>
      <c r="O17" s="27"/>
      <c r="P17" s="27"/>
      <c r="Q17" s="27"/>
      <c r="R17" s="27"/>
      <c r="S17" s="27"/>
    </row>
    <row r="18" spans="1:25" ht="12">
      <c r="A18" s="190" t="s">
        <v>96</v>
      </c>
      <c r="B18" s="190"/>
      <c r="C18" s="102">
        <f>C17*(C12)</f>
        <v>258620.68965517238</v>
      </c>
      <c r="E18" s="188" t="s">
        <v>97</v>
      </c>
      <c r="F18" s="188"/>
      <c r="G18" s="122">
        <f>(J91+O91)*18%</f>
        <v>171.20565383344379</v>
      </c>
      <c r="K18" s="36"/>
      <c r="L18" s="37"/>
      <c r="N18" s="39"/>
      <c r="O18" s="27"/>
      <c r="P18" s="27"/>
      <c r="Q18" s="27"/>
      <c r="R18" s="27"/>
      <c r="S18" s="27"/>
    </row>
    <row r="19" spans="1:25" ht="12">
      <c r="A19" s="190" t="s">
        <v>90</v>
      </c>
      <c r="B19" s="190"/>
      <c r="C19" s="101">
        <f>J15</f>
        <v>0.1</v>
      </c>
      <c r="E19" s="188" t="s">
        <v>98</v>
      </c>
      <c r="F19" s="188"/>
      <c r="G19" s="122">
        <f>SUM(G11:G18)</f>
        <v>40421.339040885454</v>
      </c>
      <c r="K19" s="56"/>
      <c r="L19" s="38"/>
      <c r="O19" s="27"/>
      <c r="P19" s="27"/>
      <c r="Q19" s="27"/>
      <c r="R19" s="27"/>
      <c r="S19" s="27"/>
    </row>
    <row r="20" spans="1:25" ht="15.75">
      <c r="A20" s="190" t="s">
        <v>99</v>
      </c>
      <c r="B20" s="190"/>
      <c r="C20" s="103">
        <f>PMT(C19/12,C16,-C15,C18,IF(C6="Arrear",0,1))</f>
        <v>21833.038871786608</v>
      </c>
      <c r="E20" s="28"/>
      <c r="J20" s="34"/>
      <c r="K20" s="35"/>
      <c r="L20" s="31"/>
    </row>
    <row r="21" spans="1:25">
      <c r="J21" s="33"/>
    </row>
    <row r="22" spans="1:25">
      <c r="J22" s="34"/>
    </row>
    <row r="23" spans="1:25">
      <c r="D23" s="32"/>
      <c r="J23" s="33"/>
      <c r="K23" s="31"/>
      <c r="P23" s="33"/>
      <c r="T23" s="153" t="s">
        <v>100</v>
      </c>
      <c r="U23" s="153">
        <f>C8-C12</f>
        <v>465517.24137931049</v>
      </c>
    </row>
    <row r="24" spans="1:25">
      <c r="D24" s="32"/>
      <c r="E24" s="33"/>
      <c r="I24" s="33"/>
      <c r="J24" s="33"/>
    </row>
    <row r="25" spans="1:25">
      <c r="D25" s="32"/>
      <c r="E25" s="33"/>
      <c r="I25" s="33"/>
      <c r="J25" s="33"/>
    </row>
    <row r="26" spans="1:25">
      <c r="D26" s="32"/>
      <c r="E26" s="33"/>
      <c r="I26" s="33"/>
    </row>
    <row r="27" spans="1:25">
      <c r="D27" s="32"/>
      <c r="E27" s="33"/>
      <c r="I27" s="33"/>
    </row>
    <row r="28" spans="1:25">
      <c r="D28" s="32"/>
      <c r="E28" s="33"/>
    </row>
    <row r="29" spans="1:25" ht="13.5" customHeight="1">
      <c r="A29" s="180" t="s">
        <v>101</v>
      </c>
      <c r="B29" s="180"/>
      <c r="C29" s="180"/>
      <c r="D29" s="180"/>
      <c r="E29" s="180"/>
      <c r="F29" s="180"/>
      <c r="G29" s="180"/>
      <c r="H29" s="182" t="s">
        <v>102</v>
      </c>
      <c r="I29" s="182"/>
      <c r="J29" s="182"/>
      <c r="K29" s="182"/>
      <c r="L29" s="183"/>
      <c r="M29" s="184" t="s">
        <v>103</v>
      </c>
      <c r="N29" s="184"/>
      <c r="O29" s="184"/>
      <c r="P29" s="184"/>
      <c r="Q29" s="185"/>
      <c r="R29" s="180" t="s">
        <v>104</v>
      </c>
      <c r="S29" s="193" t="s">
        <v>105</v>
      </c>
      <c r="T29" s="194"/>
      <c r="U29" s="195"/>
      <c r="V29" s="191" t="s">
        <v>106</v>
      </c>
    </row>
    <row r="30" spans="1:25" ht="22.5">
      <c r="A30" s="112" t="s">
        <v>107</v>
      </c>
      <c r="B30" s="113" t="s">
        <v>14</v>
      </c>
      <c r="C30" s="113" t="s">
        <v>108</v>
      </c>
      <c r="D30" s="113" t="s">
        <v>109</v>
      </c>
      <c r="E30" s="113" t="s">
        <v>110</v>
      </c>
      <c r="F30" s="113" t="s">
        <v>111</v>
      </c>
      <c r="G30" s="113" t="s">
        <v>40</v>
      </c>
      <c r="H30" s="124" t="s">
        <v>14</v>
      </c>
      <c r="I30" s="124" t="s">
        <v>108</v>
      </c>
      <c r="J30" s="124" t="s">
        <v>109</v>
      </c>
      <c r="K30" s="124" t="s">
        <v>110</v>
      </c>
      <c r="L30" s="125" t="s">
        <v>111</v>
      </c>
      <c r="M30" s="126" t="s">
        <v>14</v>
      </c>
      <c r="N30" s="126" t="s">
        <v>108</v>
      </c>
      <c r="O30" s="126" t="s">
        <v>109</v>
      </c>
      <c r="P30" s="126" t="s">
        <v>110</v>
      </c>
      <c r="Q30" s="127" t="s">
        <v>111</v>
      </c>
      <c r="R30" s="180"/>
      <c r="S30" s="134" t="s">
        <v>112</v>
      </c>
      <c r="T30" s="134" t="s">
        <v>113</v>
      </c>
      <c r="U30" s="134" t="s">
        <v>114</v>
      </c>
      <c r="V30" s="192"/>
      <c r="Y30" s="154">
        <f>FBC!D6*95%</f>
        <v>442241.37931034493</v>
      </c>
    </row>
    <row r="31" spans="1:25">
      <c r="A31" s="109">
        <v>1</v>
      </c>
      <c r="B31" s="110">
        <f>IF(A31&lt;=$C$16,+C20,0)</f>
        <v>21833.038871786608</v>
      </c>
      <c r="C31" s="110">
        <f>IF(A31&lt;=$C$16,+C15-C20,0)</f>
        <v>1012649.7197489029</v>
      </c>
      <c r="D31" s="111">
        <f t="shared" ref="D31:D62" si="0">IF(A31&lt;=$C$16,IF($C$6="Arrear",IPMT($J$15/12,A31,$C$16,-$C$15,$C$18,IF($C$6="Arrear",0,1)),C31*$J$15/12),0)</f>
        <v>8620.689655172413</v>
      </c>
      <c r="E31" s="110">
        <f t="shared" ref="E31:E62" si="1">IF(A31&lt;=$C$16,+B31-D31,0)</f>
        <v>13212.349216614195</v>
      </c>
      <c r="F31" s="110">
        <f>IF(A31&lt;=$C$16,+C15-E31,0)</f>
        <v>1021270.4094040754</v>
      </c>
      <c r="G31" s="110">
        <f t="shared" ref="G31:G62" si="2">IF(A31&lt;=$C$16,B31*($C$9+$C$10+$C$11),0)</f>
        <v>9824.8674923039744</v>
      </c>
      <c r="H31" s="107">
        <f>IF(A31&lt;=$C$16,PMT(C19/12,C16,-C13,0,IF(C6="Arrear",0,1)),0)</f>
        <v>3880.4752655163197</v>
      </c>
      <c r="I31" s="107">
        <f>IF(A31&lt;=$C$16,(C13)-H31,0)</f>
        <v>149119.52473448368</v>
      </c>
      <c r="J31" s="108">
        <f t="shared" ref="J31:J62" si="3">IF(A31&lt;=$C$16,IF($C$6="Arrear",IPMT($J$15/12,A31,$C$16,-$C$13,0,IF($C$6="Arrear",0,1)),I31*$J$15/12),0)</f>
        <v>1275</v>
      </c>
      <c r="K31" s="107">
        <f>IF(A31&lt;=$C$16,H31-J31,0)</f>
        <v>2605.4752655163197</v>
      </c>
      <c r="L31" s="114">
        <f>IF(A31&lt;=$C$16,(C13)-K31,0)</f>
        <v>150394.52473448368</v>
      </c>
      <c r="M31" s="105">
        <f>+IF(A31&lt;=$C$16,PMT(C19/12,C16,-C14,0,IF(C6="Arrear",0,1)),0)</f>
        <v>1445.6672557805898</v>
      </c>
      <c r="N31" s="105">
        <f>IF(A31&lt;=$C$16,(C14)-M31,0)</f>
        <v>55554.332744219413</v>
      </c>
      <c r="O31" s="106">
        <f>IF(A31&lt;=$C$16,IF($C$6="Arrear",IPMT($J$15/12,A31,$C$16,-$C$14,0,IF($C$6="Arrear",0,1)),I31*$J$15/12),0)</f>
        <v>475</v>
      </c>
      <c r="P31" s="105">
        <f t="shared" ref="P31:P62" si="4">IF(A31&lt;=$C$16,M31-O31,0)</f>
        <v>970.66725578058981</v>
      </c>
      <c r="Q31" s="115">
        <f>IF(A31&lt;=$C$16,'Quotation Summary'!D18-P31,0)</f>
        <v>56029.332744219413</v>
      </c>
      <c r="R31" s="110">
        <f t="shared" ref="R31:R62" si="5">Q31+L31+F31</f>
        <v>1227694.2668827784</v>
      </c>
      <c r="S31" s="128">
        <f t="shared" ref="S31:S62" si="6">F31*$J$14</f>
        <v>459571.6842318339</v>
      </c>
      <c r="T31" s="128">
        <f t="shared" ref="T31:T62" si="7">IF(A31&lt;=$C$16,IF(S31&gt;U31,0,U31-S31),0)</f>
        <v>0</v>
      </c>
      <c r="U31" s="128">
        <f>U23-(U23*5%)</f>
        <v>442241.37931034499</v>
      </c>
      <c r="V31" s="116">
        <f t="shared" ref="V31:V62" si="8">IF(A31&lt;=$C$16,R31+S31+T31,0)</f>
        <v>1687265.9511146122</v>
      </c>
    </row>
    <row r="32" spans="1:25">
      <c r="A32" s="109">
        <v>2</v>
      </c>
      <c r="B32" s="110">
        <f t="shared" ref="B32:B63" si="9">IF(A32&lt;=$C$16,+B31,0)</f>
        <v>21833.038871786608</v>
      </c>
      <c r="C32" s="110">
        <f t="shared" ref="C32:C63" si="10">IF(A32&lt;=$C$16,+C31-E31,0)</f>
        <v>999437.3705322888</v>
      </c>
      <c r="D32" s="111">
        <f t="shared" si="0"/>
        <v>8510.5867450339611</v>
      </c>
      <c r="E32" s="110">
        <f t="shared" si="1"/>
        <v>13322.452126752647</v>
      </c>
      <c r="F32" s="110">
        <f t="shared" ref="F32:F63" si="11">IF(A32&lt;=$C$16,+F31-E32,0)</f>
        <v>1007947.9572773227</v>
      </c>
      <c r="G32" s="110">
        <f t="shared" si="2"/>
        <v>9824.8674923039744</v>
      </c>
      <c r="H32" s="107">
        <f t="shared" ref="H32:H63" si="12">IF(A32&lt;=$C$16,+H31,0)</f>
        <v>3880.4752655163197</v>
      </c>
      <c r="I32" s="107">
        <f t="shared" ref="I32:I63" si="13">IF(A32&lt;=$C$16,+I31-K31,0)</f>
        <v>146514.04946896737</v>
      </c>
      <c r="J32" s="108">
        <f t="shared" si="3"/>
        <v>1253.2877061206973</v>
      </c>
      <c r="K32" s="107">
        <f t="shared" ref="K32:K63" si="14">IF(A32&lt;=$C$16,+H32-J32,0)</f>
        <v>2627.1875593956224</v>
      </c>
      <c r="L32" s="114">
        <f t="shared" ref="L32:L63" si="15">IF(A32&lt;=$C$16,+L31-K32,0)</f>
        <v>147767.33717508806</v>
      </c>
      <c r="M32" s="105">
        <f t="shared" ref="M32:M63" si="16">IF(A32&lt;=$C$16,+M31,0)</f>
        <v>1445.6672557805898</v>
      </c>
      <c r="N32" s="105">
        <f t="shared" ref="N32:N63" si="17">IF(A32&lt;=$C$16,+N31-P31,0)</f>
        <v>54583.665488438826</v>
      </c>
      <c r="O32" s="106">
        <f t="shared" ref="O32:O90" si="18">IF(A32&lt;=$C$16,IF($C$6="Arrear",IPMT($J$15/12,A32,$C$16,-$C$14,0,IF($C$6="Arrear",0,1)),I32*$J$15/12),0)</f>
        <v>466.91110620182843</v>
      </c>
      <c r="P32" s="105">
        <f t="shared" si="4"/>
        <v>978.75614957876132</v>
      </c>
      <c r="Q32" s="115">
        <f t="shared" ref="Q32:Q41" si="19">IF(A32&lt;=$C$16,Q31-P32,0)</f>
        <v>55050.576594640654</v>
      </c>
      <c r="R32" s="110">
        <f t="shared" si="5"/>
        <v>1210765.8710470514</v>
      </c>
      <c r="S32" s="128">
        <f t="shared" si="6"/>
        <v>453576.58077479521</v>
      </c>
      <c r="T32" s="128">
        <f t="shared" si="7"/>
        <v>0</v>
      </c>
      <c r="U32" s="128">
        <f>U23-(U23*5%)</f>
        <v>442241.37931034499</v>
      </c>
      <c r="V32" s="116">
        <f t="shared" si="8"/>
        <v>1664342.4518218467</v>
      </c>
    </row>
    <row r="33" spans="1:22">
      <c r="A33" s="109">
        <v>3</v>
      </c>
      <c r="B33" s="110">
        <f t="shared" si="9"/>
        <v>21833.038871786608</v>
      </c>
      <c r="C33" s="110">
        <f t="shared" si="10"/>
        <v>986114.9184055361</v>
      </c>
      <c r="D33" s="111">
        <f t="shared" si="0"/>
        <v>8399.5663106443553</v>
      </c>
      <c r="E33" s="110">
        <f t="shared" si="1"/>
        <v>13433.472561142253</v>
      </c>
      <c r="F33" s="110">
        <f t="shared" si="11"/>
        <v>994514.48471618036</v>
      </c>
      <c r="G33" s="110">
        <f t="shared" si="2"/>
        <v>9824.8674923039744</v>
      </c>
      <c r="H33" s="107">
        <f t="shared" si="12"/>
        <v>3880.4752655163197</v>
      </c>
      <c r="I33" s="107">
        <f t="shared" si="13"/>
        <v>143886.86190957174</v>
      </c>
      <c r="J33" s="108">
        <f t="shared" si="3"/>
        <v>1231.3944764590669</v>
      </c>
      <c r="K33" s="107">
        <f t="shared" si="14"/>
        <v>2649.0807890572528</v>
      </c>
      <c r="L33" s="114">
        <f t="shared" si="15"/>
        <v>145118.25638603081</v>
      </c>
      <c r="M33" s="105">
        <f t="shared" si="16"/>
        <v>1445.6672557805898</v>
      </c>
      <c r="N33" s="105">
        <f t="shared" si="17"/>
        <v>53604.909338860067</v>
      </c>
      <c r="O33" s="106">
        <f t="shared" si="18"/>
        <v>458.75480495533873</v>
      </c>
      <c r="P33" s="105">
        <f t="shared" si="4"/>
        <v>986.91245082525109</v>
      </c>
      <c r="Q33" s="115">
        <f t="shared" si="19"/>
        <v>54063.664143815404</v>
      </c>
      <c r="R33" s="110">
        <f t="shared" si="5"/>
        <v>1193696.4052460266</v>
      </c>
      <c r="S33" s="128">
        <f t="shared" si="6"/>
        <v>447531.51812228118</v>
      </c>
      <c r="T33" s="128">
        <f t="shared" si="7"/>
        <v>0</v>
      </c>
      <c r="U33" s="128">
        <f>U23-(U23*5%)</f>
        <v>442241.37931034499</v>
      </c>
      <c r="V33" s="116">
        <f t="shared" si="8"/>
        <v>1641227.9233683078</v>
      </c>
    </row>
    <row r="34" spans="1:22">
      <c r="A34" s="109">
        <v>4</v>
      </c>
      <c r="B34" s="110">
        <f t="shared" si="9"/>
        <v>21833.038871786608</v>
      </c>
      <c r="C34" s="110">
        <f t="shared" si="10"/>
        <v>972681.44584439381</v>
      </c>
      <c r="D34" s="111">
        <f t="shared" si="0"/>
        <v>8287.6207059681692</v>
      </c>
      <c r="E34" s="110">
        <f t="shared" si="1"/>
        <v>13545.418165818439</v>
      </c>
      <c r="F34" s="110">
        <f t="shared" si="11"/>
        <v>980969.06655036192</v>
      </c>
      <c r="G34" s="110">
        <f t="shared" si="2"/>
        <v>9824.8674923039744</v>
      </c>
      <c r="H34" s="107">
        <f t="shared" si="12"/>
        <v>3880.4752655163197</v>
      </c>
      <c r="I34" s="107">
        <f t="shared" si="13"/>
        <v>141237.7811205145</v>
      </c>
      <c r="J34" s="108">
        <f t="shared" si="3"/>
        <v>1209.318803216923</v>
      </c>
      <c r="K34" s="107">
        <f t="shared" si="14"/>
        <v>2671.1564622993965</v>
      </c>
      <c r="L34" s="114">
        <f t="shared" si="15"/>
        <v>142447.09992373141</v>
      </c>
      <c r="M34" s="105">
        <f t="shared" si="16"/>
        <v>1445.6672557805898</v>
      </c>
      <c r="N34" s="105">
        <f t="shared" si="17"/>
        <v>52617.996888034817</v>
      </c>
      <c r="O34" s="106">
        <f t="shared" si="18"/>
        <v>450.53053453179484</v>
      </c>
      <c r="P34" s="105">
        <f t="shared" si="4"/>
        <v>995.13672124879497</v>
      </c>
      <c r="Q34" s="115">
        <f t="shared" si="19"/>
        <v>53068.527422566607</v>
      </c>
      <c r="R34" s="110">
        <f t="shared" si="5"/>
        <v>1176484.6938966599</v>
      </c>
      <c r="S34" s="128">
        <f t="shared" si="6"/>
        <v>441436.07994766289</v>
      </c>
      <c r="T34" s="128">
        <f t="shared" si="7"/>
        <v>0</v>
      </c>
      <c r="U34" s="128">
        <f>U23-(U23*10%)</f>
        <v>418965.51724137942</v>
      </c>
      <c r="V34" s="116">
        <f t="shared" si="8"/>
        <v>1617920.7738443227</v>
      </c>
    </row>
    <row r="35" spans="1:22">
      <c r="A35" s="109">
        <v>5</v>
      </c>
      <c r="B35" s="110">
        <f t="shared" si="9"/>
        <v>21833.038871786608</v>
      </c>
      <c r="C35" s="110">
        <f t="shared" si="10"/>
        <v>959136.02767857537</v>
      </c>
      <c r="D35" s="111">
        <f t="shared" si="0"/>
        <v>8174.7422212530146</v>
      </c>
      <c r="E35" s="110">
        <f t="shared" si="1"/>
        <v>13658.296650533593</v>
      </c>
      <c r="F35" s="110">
        <f t="shared" si="11"/>
        <v>967310.76989982836</v>
      </c>
      <c r="G35" s="110">
        <f t="shared" si="2"/>
        <v>9824.8674923039744</v>
      </c>
      <c r="H35" s="107">
        <f t="shared" si="12"/>
        <v>3880.4752655163197</v>
      </c>
      <c r="I35" s="107">
        <f t="shared" si="13"/>
        <v>138566.62465821509</v>
      </c>
      <c r="J35" s="108">
        <f t="shared" si="3"/>
        <v>1187.0591660310947</v>
      </c>
      <c r="K35" s="107">
        <f t="shared" si="14"/>
        <v>2693.416099485225</v>
      </c>
      <c r="L35" s="114">
        <f t="shared" si="15"/>
        <v>139753.6838242462</v>
      </c>
      <c r="M35" s="105">
        <f t="shared" si="16"/>
        <v>1445.6672557805898</v>
      </c>
      <c r="N35" s="105">
        <f t="shared" si="17"/>
        <v>51622.86016678602</v>
      </c>
      <c r="O35" s="106">
        <f t="shared" si="18"/>
        <v>442.23772852138825</v>
      </c>
      <c r="P35" s="105">
        <f t="shared" si="4"/>
        <v>1003.4295272592016</v>
      </c>
      <c r="Q35" s="115">
        <f t="shared" si="19"/>
        <v>52065.097895307408</v>
      </c>
      <c r="R35" s="110">
        <f t="shared" si="5"/>
        <v>1159129.5516193819</v>
      </c>
      <c r="S35" s="128">
        <f t="shared" si="6"/>
        <v>435289.84645492275</v>
      </c>
      <c r="T35" s="128">
        <f t="shared" si="7"/>
        <v>0</v>
      </c>
      <c r="U35" s="128">
        <f>U23-(U23*10%)</f>
        <v>418965.51724137942</v>
      </c>
      <c r="V35" s="116">
        <f t="shared" si="8"/>
        <v>1594419.3980743047</v>
      </c>
    </row>
    <row r="36" spans="1:22">
      <c r="A36" s="109">
        <v>6</v>
      </c>
      <c r="B36" s="110">
        <f t="shared" si="9"/>
        <v>21833.038871786608</v>
      </c>
      <c r="C36" s="110">
        <f t="shared" si="10"/>
        <v>945477.7310280418</v>
      </c>
      <c r="D36" s="111">
        <f t="shared" si="0"/>
        <v>8060.9230824985698</v>
      </c>
      <c r="E36" s="110">
        <f t="shared" si="1"/>
        <v>13772.115789288038</v>
      </c>
      <c r="F36" s="110">
        <f t="shared" si="11"/>
        <v>953538.65411054029</v>
      </c>
      <c r="G36" s="110">
        <f t="shared" si="2"/>
        <v>9824.8674923039744</v>
      </c>
      <c r="H36" s="107">
        <f t="shared" si="12"/>
        <v>3880.4752655163197</v>
      </c>
      <c r="I36" s="107">
        <f t="shared" si="13"/>
        <v>135873.20855872988</v>
      </c>
      <c r="J36" s="108">
        <f t="shared" si="3"/>
        <v>1164.614031868718</v>
      </c>
      <c r="K36" s="107">
        <f t="shared" si="14"/>
        <v>2715.8612336476017</v>
      </c>
      <c r="L36" s="114">
        <f t="shared" si="15"/>
        <v>137037.8225905986</v>
      </c>
      <c r="M36" s="105">
        <f t="shared" si="16"/>
        <v>1445.6672557805898</v>
      </c>
      <c r="N36" s="105">
        <f t="shared" si="17"/>
        <v>50619.430639526821</v>
      </c>
      <c r="O36" s="106">
        <f t="shared" si="18"/>
        <v>433.87581579422834</v>
      </c>
      <c r="P36" s="105">
        <f t="shared" si="4"/>
        <v>1011.7914399863614</v>
      </c>
      <c r="Q36" s="115">
        <f t="shared" si="19"/>
        <v>51053.30645532105</v>
      </c>
      <c r="R36" s="110">
        <f t="shared" si="5"/>
        <v>1141629.7831564599</v>
      </c>
      <c r="S36" s="128">
        <f t="shared" si="6"/>
        <v>429092.39434974315</v>
      </c>
      <c r="T36" s="128">
        <f t="shared" si="7"/>
        <v>0</v>
      </c>
      <c r="U36" s="128">
        <f>U23-(U23*10%)</f>
        <v>418965.51724137942</v>
      </c>
      <c r="V36" s="116">
        <f t="shared" si="8"/>
        <v>1570722.1775062031</v>
      </c>
    </row>
    <row r="37" spans="1:22">
      <c r="A37" s="109">
        <v>7</v>
      </c>
      <c r="B37" s="110">
        <f t="shared" si="9"/>
        <v>21833.038871786608</v>
      </c>
      <c r="C37" s="110">
        <f t="shared" si="10"/>
        <v>931705.61523875373</v>
      </c>
      <c r="D37" s="111">
        <f t="shared" si="0"/>
        <v>7946.1554509211701</v>
      </c>
      <c r="E37" s="110">
        <f t="shared" si="1"/>
        <v>13886.883420865437</v>
      </c>
      <c r="F37" s="110">
        <f t="shared" si="11"/>
        <v>939651.77068967489</v>
      </c>
      <c r="G37" s="110">
        <f t="shared" si="2"/>
        <v>9824.8674923039744</v>
      </c>
      <c r="H37" s="107">
        <f t="shared" si="12"/>
        <v>3880.4752655163197</v>
      </c>
      <c r="I37" s="107">
        <f t="shared" si="13"/>
        <v>133157.34732508229</v>
      </c>
      <c r="J37" s="108">
        <f t="shared" si="3"/>
        <v>1141.9818549216548</v>
      </c>
      <c r="K37" s="107">
        <f t="shared" si="14"/>
        <v>2738.493410594665</v>
      </c>
      <c r="L37" s="114">
        <f t="shared" si="15"/>
        <v>134299.32918000393</v>
      </c>
      <c r="M37" s="105">
        <f t="shared" si="16"/>
        <v>1445.6672557805898</v>
      </c>
      <c r="N37" s="105">
        <f t="shared" si="17"/>
        <v>49607.639199540463</v>
      </c>
      <c r="O37" s="106">
        <f t="shared" si="18"/>
        <v>425.44422046100868</v>
      </c>
      <c r="P37" s="105">
        <f t="shared" si="4"/>
        <v>1020.2230353195812</v>
      </c>
      <c r="Q37" s="115">
        <f t="shared" si="19"/>
        <v>50033.083420001465</v>
      </c>
      <c r="R37" s="110">
        <f t="shared" si="5"/>
        <v>1123984.1832896802</v>
      </c>
      <c r="S37" s="128">
        <f t="shared" si="6"/>
        <v>422843.2968103537</v>
      </c>
      <c r="T37" s="128">
        <f t="shared" si="7"/>
        <v>0</v>
      </c>
      <c r="U37" s="128">
        <f>U23-(U23*15%)</f>
        <v>395689.65517241391</v>
      </c>
      <c r="V37" s="116">
        <f t="shared" si="8"/>
        <v>1546827.4801000338</v>
      </c>
    </row>
    <row r="38" spans="1:22">
      <c r="A38" s="109">
        <v>8</v>
      </c>
      <c r="B38" s="110">
        <f t="shared" si="9"/>
        <v>21833.038871786608</v>
      </c>
      <c r="C38" s="110">
        <f t="shared" si="10"/>
        <v>917818.73181788833</v>
      </c>
      <c r="D38" s="111">
        <f t="shared" si="0"/>
        <v>7830.4314224139571</v>
      </c>
      <c r="E38" s="110">
        <f t="shared" si="1"/>
        <v>14002.607449372652</v>
      </c>
      <c r="F38" s="110">
        <f t="shared" si="11"/>
        <v>925649.16324030224</v>
      </c>
      <c r="G38" s="110">
        <f t="shared" si="2"/>
        <v>9824.8674923039744</v>
      </c>
      <c r="H38" s="107">
        <f t="shared" si="12"/>
        <v>3880.4752655163197</v>
      </c>
      <c r="I38" s="107">
        <f t="shared" si="13"/>
        <v>130418.85391448763</v>
      </c>
      <c r="J38" s="108">
        <f t="shared" si="3"/>
        <v>1119.1610765000326</v>
      </c>
      <c r="K38" s="107">
        <f t="shared" si="14"/>
        <v>2761.3141890162869</v>
      </c>
      <c r="L38" s="114">
        <f t="shared" si="15"/>
        <v>131538.01499098763</v>
      </c>
      <c r="M38" s="105">
        <f t="shared" si="16"/>
        <v>1445.6672557805898</v>
      </c>
      <c r="N38" s="105">
        <f t="shared" si="17"/>
        <v>48587.416164220878</v>
      </c>
      <c r="O38" s="106">
        <f t="shared" si="18"/>
        <v>416.9423618333455</v>
      </c>
      <c r="P38" s="105">
        <f t="shared" si="4"/>
        <v>1028.7248939472443</v>
      </c>
      <c r="Q38" s="115">
        <f t="shared" si="19"/>
        <v>49004.358526054224</v>
      </c>
      <c r="R38" s="110">
        <f t="shared" si="5"/>
        <v>1106191.5367573441</v>
      </c>
      <c r="S38" s="128">
        <f t="shared" si="6"/>
        <v>416542.12345813599</v>
      </c>
      <c r="T38" s="128">
        <f t="shared" si="7"/>
        <v>0</v>
      </c>
      <c r="U38" s="128">
        <f>U23-(U23*15%)</f>
        <v>395689.65517241391</v>
      </c>
      <c r="V38" s="116">
        <f t="shared" si="8"/>
        <v>1522733.6602154803</v>
      </c>
    </row>
    <row r="39" spans="1:22">
      <c r="A39" s="109">
        <v>9</v>
      </c>
      <c r="B39" s="110">
        <f t="shared" si="9"/>
        <v>21833.038871786608</v>
      </c>
      <c r="C39" s="110">
        <f t="shared" si="10"/>
        <v>903816.12436851568</v>
      </c>
      <c r="D39" s="111">
        <f t="shared" si="0"/>
        <v>7713.7430270025197</v>
      </c>
      <c r="E39" s="110">
        <f t="shared" si="1"/>
        <v>14119.295844784088</v>
      </c>
      <c r="F39" s="110">
        <f t="shared" si="11"/>
        <v>911529.86739551811</v>
      </c>
      <c r="G39" s="110">
        <f t="shared" si="2"/>
        <v>9824.8674923039744</v>
      </c>
      <c r="H39" s="107">
        <f t="shared" si="12"/>
        <v>3880.4752655163197</v>
      </c>
      <c r="I39" s="107">
        <f t="shared" si="13"/>
        <v>127657.53972547135</v>
      </c>
      <c r="J39" s="108">
        <f t="shared" si="3"/>
        <v>1096.150124924897</v>
      </c>
      <c r="K39" s="107">
        <f t="shared" si="14"/>
        <v>2784.3251405914225</v>
      </c>
      <c r="L39" s="114">
        <f t="shared" si="15"/>
        <v>128753.68985039621</v>
      </c>
      <c r="M39" s="105">
        <f t="shared" si="16"/>
        <v>1445.6672557805898</v>
      </c>
      <c r="N39" s="105">
        <f t="shared" si="17"/>
        <v>47558.691270273637</v>
      </c>
      <c r="O39" s="106">
        <f t="shared" si="18"/>
        <v>408.36965438378513</v>
      </c>
      <c r="P39" s="105">
        <f t="shared" si="4"/>
        <v>1037.2976013968046</v>
      </c>
      <c r="Q39" s="115">
        <f t="shared" si="19"/>
        <v>47967.060924657417</v>
      </c>
      <c r="R39" s="110">
        <f t="shared" si="5"/>
        <v>1088250.6181705717</v>
      </c>
      <c r="S39" s="128">
        <f t="shared" si="6"/>
        <v>410188.44032798317</v>
      </c>
      <c r="T39" s="128">
        <f t="shared" si="7"/>
        <v>0</v>
      </c>
      <c r="U39" s="128">
        <f>U23-(U23*15%)</f>
        <v>395689.65517241391</v>
      </c>
      <c r="V39" s="116">
        <f t="shared" si="8"/>
        <v>1498439.0584985549</v>
      </c>
    </row>
    <row r="40" spans="1:22">
      <c r="A40" s="109">
        <v>10</v>
      </c>
      <c r="B40" s="110">
        <f t="shared" si="9"/>
        <v>21833.038871786608</v>
      </c>
      <c r="C40" s="110">
        <f t="shared" si="10"/>
        <v>889696.82852373156</v>
      </c>
      <c r="D40" s="111">
        <f t="shared" si="0"/>
        <v>7596.0822282959844</v>
      </c>
      <c r="E40" s="110">
        <f t="shared" si="1"/>
        <v>14236.956643490623</v>
      </c>
      <c r="F40" s="110">
        <f t="shared" si="11"/>
        <v>897292.91075202753</v>
      </c>
      <c r="G40" s="110">
        <f t="shared" si="2"/>
        <v>9824.8674923039744</v>
      </c>
      <c r="H40" s="107">
        <f t="shared" si="12"/>
        <v>3880.4752655163197</v>
      </c>
      <c r="I40" s="107">
        <f t="shared" si="13"/>
        <v>124873.21458487993</v>
      </c>
      <c r="J40" s="108">
        <f t="shared" si="3"/>
        <v>1072.9474154199681</v>
      </c>
      <c r="K40" s="107">
        <f t="shared" si="14"/>
        <v>2807.5278500963514</v>
      </c>
      <c r="L40" s="114">
        <f t="shared" si="15"/>
        <v>125946.16200029987</v>
      </c>
      <c r="M40" s="105">
        <f t="shared" si="16"/>
        <v>1445.6672557805898</v>
      </c>
      <c r="N40" s="105">
        <f t="shared" si="17"/>
        <v>46521.39366887683</v>
      </c>
      <c r="O40" s="106">
        <f t="shared" si="18"/>
        <v>399.72550770547832</v>
      </c>
      <c r="P40" s="105">
        <f t="shared" si="4"/>
        <v>1045.9417480751115</v>
      </c>
      <c r="Q40" s="115">
        <f t="shared" si="19"/>
        <v>46921.119176582302</v>
      </c>
      <c r="R40" s="110">
        <f t="shared" si="5"/>
        <v>1070160.1919289096</v>
      </c>
      <c r="S40" s="128">
        <f t="shared" si="6"/>
        <v>403781.80983841239</v>
      </c>
      <c r="T40" s="128">
        <f t="shared" si="7"/>
        <v>0</v>
      </c>
      <c r="U40" s="128">
        <f>U23-(U23*20%)</f>
        <v>372413.79310344841</v>
      </c>
      <c r="V40" s="116">
        <f t="shared" si="8"/>
        <v>1473942.001767322</v>
      </c>
    </row>
    <row r="41" spans="1:22">
      <c r="A41" s="109">
        <v>11</v>
      </c>
      <c r="B41" s="110">
        <f t="shared" si="9"/>
        <v>21833.038871786608</v>
      </c>
      <c r="C41" s="110">
        <f t="shared" si="10"/>
        <v>875459.87188024097</v>
      </c>
      <c r="D41" s="111">
        <f t="shared" si="0"/>
        <v>7477.4409229335615</v>
      </c>
      <c r="E41" s="110">
        <f t="shared" si="1"/>
        <v>14355.597948853047</v>
      </c>
      <c r="F41" s="110">
        <f t="shared" si="11"/>
        <v>882937.31280317449</v>
      </c>
      <c r="G41" s="110">
        <f t="shared" si="2"/>
        <v>9824.8674923039744</v>
      </c>
      <c r="H41" s="107">
        <f t="shared" si="12"/>
        <v>3880.4752655163197</v>
      </c>
      <c r="I41" s="107">
        <f t="shared" si="13"/>
        <v>122065.68673478358</v>
      </c>
      <c r="J41" s="108">
        <f t="shared" si="3"/>
        <v>1049.5513500024986</v>
      </c>
      <c r="K41" s="107">
        <f t="shared" si="14"/>
        <v>2830.9239155138212</v>
      </c>
      <c r="L41" s="114">
        <f t="shared" si="15"/>
        <v>123115.23808478605</v>
      </c>
      <c r="M41" s="105">
        <f t="shared" si="16"/>
        <v>1445.6672557805898</v>
      </c>
      <c r="N41" s="105">
        <f t="shared" si="17"/>
        <v>45475.451920801715</v>
      </c>
      <c r="O41" s="106">
        <f t="shared" si="18"/>
        <v>391.00932647151905</v>
      </c>
      <c r="P41" s="105">
        <f t="shared" si="4"/>
        <v>1054.6579293090708</v>
      </c>
      <c r="Q41" s="115">
        <f t="shared" si="19"/>
        <v>45866.461247273233</v>
      </c>
      <c r="R41" s="110">
        <f t="shared" si="5"/>
        <v>1051919.0121352337</v>
      </c>
      <c r="S41" s="128">
        <f t="shared" si="6"/>
        <v>397321.79076142854</v>
      </c>
      <c r="T41" s="128">
        <f t="shared" si="7"/>
        <v>0</v>
      </c>
      <c r="U41" s="128">
        <f>U23-(U23*20%)</f>
        <v>372413.79310344841</v>
      </c>
      <c r="V41" s="116">
        <f t="shared" si="8"/>
        <v>1449240.8028966621</v>
      </c>
    </row>
    <row r="42" spans="1:22">
      <c r="A42" s="109">
        <v>12</v>
      </c>
      <c r="B42" s="110">
        <f t="shared" si="9"/>
        <v>21833.038871786608</v>
      </c>
      <c r="C42" s="110">
        <f t="shared" si="10"/>
        <v>861104.27393138793</v>
      </c>
      <c r="D42" s="111">
        <f t="shared" si="0"/>
        <v>7357.8109400264539</v>
      </c>
      <c r="E42" s="110">
        <f t="shared" si="1"/>
        <v>14475.227931760153</v>
      </c>
      <c r="F42" s="110">
        <f t="shared" si="11"/>
        <v>868462.08487141435</v>
      </c>
      <c r="G42" s="110">
        <f t="shared" si="2"/>
        <v>9824.8674923039744</v>
      </c>
      <c r="H42" s="107">
        <f t="shared" si="12"/>
        <v>3880.4752655163197</v>
      </c>
      <c r="I42" s="107">
        <f t="shared" si="13"/>
        <v>119234.76281926976</v>
      </c>
      <c r="J42" s="108">
        <f t="shared" si="3"/>
        <v>1025.9603173732169</v>
      </c>
      <c r="K42" s="107">
        <f t="shared" si="14"/>
        <v>2854.5149481431026</v>
      </c>
      <c r="L42" s="114">
        <f t="shared" si="15"/>
        <v>120260.72313664295</v>
      </c>
      <c r="M42" s="105">
        <f t="shared" si="16"/>
        <v>1445.6672557805898</v>
      </c>
      <c r="N42" s="105">
        <f t="shared" si="17"/>
        <v>44420.793991492646</v>
      </c>
      <c r="O42" s="106">
        <f t="shared" si="18"/>
        <v>382.22051039394353</v>
      </c>
      <c r="P42" s="105">
        <f t="shared" si="4"/>
        <v>1063.4467453866464</v>
      </c>
      <c r="Q42" s="115">
        <f>IF(A42&lt;=$C$16,Q41+'Quotation Summary'!D19-P42,0)</f>
        <v>44803.014501886588</v>
      </c>
      <c r="R42" s="110">
        <f t="shared" si="5"/>
        <v>1033525.8225099439</v>
      </c>
      <c r="S42" s="128">
        <f t="shared" si="6"/>
        <v>390807.93819213647</v>
      </c>
      <c r="T42" s="128">
        <f t="shared" si="7"/>
        <v>0</v>
      </c>
      <c r="U42" s="128">
        <f>U23-(U23*20%)</f>
        <v>372413.79310344841</v>
      </c>
      <c r="V42" s="116">
        <f t="shared" si="8"/>
        <v>1424333.7607020803</v>
      </c>
    </row>
    <row r="43" spans="1:22">
      <c r="A43" s="109">
        <v>13</v>
      </c>
      <c r="B43" s="110">
        <f t="shared" si="9"/>
        <v>21833.038871786608</v>
      </c>
      <c r="C43" s="110">
        <f t="shared" si="10"/>
        <v>846629.04599962779</v>
      </c>
      <c r="D43" s="111">
        <f t="shared" si="0"/>
        <v>7237.1840405951198</v>
      </c>
      <c r="E43" s="110">
        <f t="shared" si="1"/>
        <v>14595.854831191489</v>
      </c>
      <c r="F43" s="110">
        <f t="shared" si="11"/>
        <v>853866.23004022287</v>
      </c>
      <c r="G43" s="110">
        <f t="shared" si="2"/>
        <v>9824.8674923039744</v>
      </c>
      <c r="H43" s="107">
        <f t="shared" si="12"/>
        <v>3880.4752655163197</v>
      </c>
      <c r="I43" s="107">
        <f t="shared" si="13"/>
        <v>116380.24787112666</v>
      </c>
      <c r="J43" s="108">
        <f t="shared" si="3"/>
        <v>1002.1726928053577</v>
      </c>
      <c r="K43" s="107">
        <f t="shared" si="14"/>
        <v>2878.3025727109621</v>
      </c>
      <c r="L43" s="114">
        <f t="shared" si="15"/>
        <v>117382.42056393198</v>
      </c>
      <c r="M43" s="105">
        <f t="shared" si="16"/>
        <v>1445.6672557805898</v>
      </c>
      <c r="N43" s="105">
        <f t="shared" si="17"/>
        <v>43357.347246106001</v>
      </c>
      <c r="O43" s="106">
        <f t="shared" si="18"/>
        <v>373.35845418238819</v>
      </c>
      <c r="P43" s="105">
        <f t="shared" si="4"/>
        <v>1072.3088015982016</v>
      </c>
      <c r="Q43" s="115">
        <f t="shared" ref="Q43:Q53" si="20">IF(A43&lt;=$C$16,Q42-P43,0)</f>
        <v>43730.705700288388</v>
      </c>
      <c r="R43" s="110">
        <f t="shared" si="5"/>
        <v>1014979.3563044432</v>
      </c>
      <c r="S43" s="128">
        <f t="shared" si="6"/>
        <v>384239.80351810029</v>
      </c>
      <c r="T43" s="128">
        <f t="shared" si="7"/>
        <v>0</v>
      </c>
      <c r="U43" s="128">
        <f>U23-(U23*25%)</f>
        <v>349137.9310344829</v>
      </c>
      <c r="V43" s="116">
        <f t="shared" si="8"/>
        <v>1399219.1598225436</v>
      </c>
    </row>
    <row r="44" spans="1:22">
      <c r="A44" s="109">
        <v>14</v>
      </c>
      <c r="B44" s="110">
        <f t="shared" si="9"/>
        <v>21833.038871786608</v>
      </c>
      <c r="C44" s="110">
        <f t="shared" si="10"/>
        <v>832033.19116843631</v>
      </c>
      <c r="D44" s="111">
        <f t="shared" si="0"/>
        <v>7115.551917001857</v>
      </c>
      <c r="E44" s="110">
        <f t="shared" si="1"/>
        <v>14717.486954784752</v>
      </c>
      <c r="F44" s="110">
        <f t="shared" si="11"/>
        <v>839148.74308543815</v>
      </c>
      <c r="G44" s="110">
        <f t="shared" si="2"/>
        <v>9824.8674923039744</v>
      </c>
      <c r="H44" s="107">
        <f t="shared" si="12"/>
        <v>3880.4752655163197</v>
      </c>
      <c r="I44" s="107">
        <f t="shared" si="13"/>
        <v>113501.9452984157</v>
      </c>
      <c r="J44" s="108">
        <f t="shared" si="3"/>
        <v>978.18683803276633</v>
      </c>
      <c r="K44" s="107">
        <f t="shared" si="14"/>
        <v>2902.2884274835533</v>
      </c>
      <c r="L44" s="114">
        <f t="shared" si="15"/>
        <v>114480.13213644843</v>
      </c>
      <c r="M44" s="105">
        <f t="shared" si="16"/>
        <v>1445.6672557805898</v>
      </c>
      <c r="N44" s="105">
        <f t="shared" si="17"/>
        <v>42285.038444507802</v>
      </c>
      <c r="O44" s="106">
        <f t="shared" si="18"/>
        <v>364.42254750240312</v>
      </c>
      <c r="P44" s="105">
        <f t="shared" si="4"/>
        <v>1081.2447082781866</v>
      </c>
      <c r="Q44" s="115">
        <f t="shared" si="20"/>
        <v>42649.460992010201</v>
      </c>
      <c r="R44" s="110">
        <f t="shared" si="5"/>
        <v>996278.33621389675</v>
      </c>
      <c r="S44" s="128">
        <f t="shared" si="6"/>
        <v>377616.9343884472</v>
      </c>
      <c r="T44" s="128">
        <f t="shared" si="7"/>
        <v>0</v>
      </c>
      <c r="U44" s="128">
        <f>U23-(U23*25%)</f>
        <v>349137.9310344829</v>
      </c>
      <c r="V44" s="116">
        <f t="shared" si="8"/>
        <v>1373895.2706023441</v>
      </c>
    </row>
    <row r="45" spans="1:22">
      <c r="A45" s="109">
        <v>15</v>
      </c>
      <c r="B45" s="110">
        <f t="shared" si="9"/>
        <v>21833.038871786608</v>
      </c>
      <c r="C45" s="110">
        <f t="shared" si="10"/>
        <v>817315.7042136516</v>
      </c>
      <c r="D45" s="111">
        <f t="shared" si="0"/>
        <v>6992.9061923786503</v>
      </c>
      <c r="E45" s="110">
        <f t="shared" si="1"/>
        <v>14840.132679407958</v>
      </c>
      <c r="F45" s="110">
        <f t="shared" si="11"/>
        <v>824308.6104060302</v>
      </c>
      <c r="G45" s="110">
        <f t="shared" si="2"/>
        <v>9824.8674923039744</v>
      </c>
      <c r="H45" s="107">
        <f t="shared" si="12"/>
        <v>3880.4752655163197</v>
      </c>
      <c r="I45" s="107">
        <f t="shared" si="13"/>
        <v>110599.65687093214</v>
      </c>
      <c r="J45" s="108">
        <f t="shared" si="3"/>
        <v>954.0011011370699</v>
      </c>
      <c r="K45" s="107">
        <f t="shared" si="14"/>
        <v>2926.4741643792499</v>
      </c>
      <c r="L45" s="114">
        <f t="shared" si="15"/>
        <v>111553.65797206918</v>
      </c>
      <c r="M45" s="105">
        <f t="shared" si="16"/>
        <v>1445.6672557805898</v>
      </c>
      <c r="N45" s="105">
        <f t="shared" si="17"/>
        <v>41203.793736229614</v>
      </c>
      <c r="O45" s="106">
        <f t="shared" si="18"/>
        <v>355.41217493341821</v>
      </c>
      <c r="P45" s="105">
        <f t="shared" si="4"/>
        <v>1090.2550808471715</v>
      </c>
      <c r="Q45" s="115">
        <f t="shared" si="20"/>
        <v>41559.20591116303</v>
      </c>
      <c r="R45" s="110">
        <f t="shared" si="5"/>
        <v>977421.47428926243</v>
      </c>
      <c r="S45" s="128">
        <f t="shared" si="6"/>
        <v>370938.87468271359</v>
      </c>
      <c r="T45" s="128">
        <f t="shared" si="7"/>
        <v>0</v>
      </c>
      <c r="U45" s="128">
        <f>U23-(U23*25%)</f>
        <v>349137.9310344829</v>
      </c>
      <c r="V45" s="116">
        <f t="shared" si="8"/>
        <v>1348360.348971976</v>
      </c>
    </row>
    <row r="46" spans="1:22">
      <c r="A46" s="109">
        <v>16</v>
      </c>
      <c r="B46" s="110">
        <f t="shared" si="9"/>
        <v>21833.038871786608</v>
      </c>
      <c r="C46" s="110">
        <f t="shared" si="10"/>
        <v>802475.57153424365</v>
      </c>
      <c r="D46" s="111">
        <f t="shared" si="0"/>
        <v>6869.2384200502502</v>
      </c>
      <c r="E46" s="110">
        <f t="shared" si="1"/>
        <v>14963.800451736359</v>
      </c>
      <c r="F46" s="110">
        <f t="shared" si="11"/>
        <v>809344.80995429389</v>
      </c>
      <c r="G46" s="110">
        <f t="shared" si="2"/>
        <v>9824.8674923039744</v>
      </c>
      <c r="H46" s="107">
        <f t="shared" si="12"/>
        <v>3880.4752655163197</v>
      </c>
      <c r="I46" s="107">
        <f t="shared" si="13"/>
        <v>107673.18270655289</v>
      </c>
      <c r="J46" s="108">
        <f t="shared" si="3"/>
        <v>929.61381643390951</v>
      </c>
      <c r="K46" s="107">
        <f t="shared" si="14"/>
        <v>2950.8614490824102</v>
      </c>
      <c r="L46" s="114">
        <f t="shared" si="15"/>
        <v>108602.79652298677</v>
      </c>
      <c r="M46" s="105">
        <f t="shared" si="16"/>
        <v>1445.6672557805898</v>
      </c>
      <c r="N46" s="105">
        <f t="shared" si="17"/>
        <v>40113.538655382443</v>
      </c>
      <c r="O46" s="106">
        <f t="shared" si="18"/>
        <v>346.32671592635847</v>
      </c>
      <c r="P46" s="105">
        <f t="shared" si="4"/>
        <v>1099.3405398542313</v>
      </c>
      <c r="Q46" s="115">
        <f t="shared" si="20"/>
        <v>40459.865371308799</v>
      </c>
      <c r="R46" s="110">
        <f t="shared" si="5"/>
        <v>958407.47184858948</v>
      </c>
      <c r="S46" s="128">
        <f t="shared" si="6"/>
        <v>364205.16447943228</v>
      </c>
      <c r="T46" s="128">
        <f t="shared" si="7"/>
        <v>0</v>
      </c>
      <c r="U46" s="128">
        <f>U23-(U23*30%)</f>
        <v>325862.06896551733</v>
      </c>
      <c r="V46" s="116">
        <f t="shared" si="8"/>
        <v>1322612.6363280218</v>
      </c>
    </row>
    <row r="47" spans="1:22">
      <c r="A47" s="109">
        <v>17</v>
      </c>
      <c r="B47" s="110">
        <f t="shared" si="9"/>
        <v>21833.038871786608</v>
      </c>
      <c r="C47" s="110">
        <f t="shared" si="10"/>
        <v>787511.77108250733</v>
      </c>
      <c r="D47" s="111">
        <f t="shared" si="0"/>
        <v>6744.5400829524478</v>
      </c>
      <c r="E47" s="110">
        <f t="shared" si="1"/>
        <v>15088.49878883416</v>
      </c>
      <c r="F47" s="110">
        <f t="shared" si="11"/>
        <v>794256.31116545969</v>
      </c>
      <c r="G47" s="110">
        <f t="shared" si="2"/>
        <v>9824.8674923039744</v>
      </c>
      <c r="H47" s="107">
        <f t="shared" si="12"/>
        <v>3880.4752655163197</v>
      </c>
      <c r="I47" s="107">
        <f t="shared" si="13"/>
        <v>104722.32125747048</v>
      </c>
      <c r="J47" s="108">
        <f t="shared" si="3"/>
        <v>905.02330435822284</v>
      </c>
      <c r="K47" s="107">
        <f t="shared" si="14"/>
        <v>2975.4519611580968</v>
      </c>
      <c r="L47" s="114">
        <f t="shared" si="15"/>
        <v>105627.34456182868</v>
      </c>
      <c r="M47" s="105">
        <f t="shared" si="16"/>
        <v>1445.6672557805898</v>
      </c>
      <c r="N47" s="105">
        <f t="shared" si="17"/>
        <v>39014.198115528212</v>
      </c>
      <c r="O47" s="106">
        <f t="shared" si="18"/>
        <v>337.16554476090653</v>
      </c>
      <c r="P47" s="105">
        <f t="shared" si="4"/>
        <v>1108.5017110196832</v>
      </c>
      <c r="Q47" s="115">
        <f t="shared" si="20"/>
        <v>39351.363660289113</v>
      </c>
      <c r="R47" s="110">
        <f t="shared" si="5"/>
        <v>939235.01938757743</v>
      </c>
      <c r="S47" s="128">
        <f t="shared" si="6"/>
        <v>357415.34002445685</v>
      </c>
      <c r="T47" s="128">
        <f t="shared" si="7"/>
        <v>0</v>
      </c>
      <c r="U47" s="128">
        <f>U23-(U23*30%)</f>
        <v>325862.06896551733</v>
      </c>
      <c r="V47" s="116">
        <f t="shared" si="8"/>
        <v>1296650.3594120343</v>
      </c>
    </row>
    <row r="48" spans="1:22">
      <c r="A48" s="109">
        <v>18</v>
      </c>
      <c r="B48" s="110">
        <f t="shared" si="9"/>
        <v>21833.038871786608</v>
      </c>
      <c r="C48" s="110">
        <f t="shared" si="10"/>
        <v>772423.27229367313</v>
      </c>
      <c r="D48" s="111">
        <f t="shared" si="0"/>
        <v>6618.8025930454969</v>
      </c>
      <c r="E48" s="110">
        <f t="shared" si="1"/>
        <v>15214.236278741111</v>
      </c>
      <c r="F48" s="110">
        <f t="shared" si="11"/>
        <v>779042.07488671853</v>
      </c>
      <c r="G48" s="110">
        <f t="shared" si="2"/>
        <v>9824.8674923039744</v>
      </c>
      <c r="H48" s="107">
        <f t="shared" si="12"/>
        <v>3880.4752655163197</v>
      </c>
      <c r="I48" s="107">
        <f t="shared" si="13"/>
        <v>101746.86929631239</v>
      </c>
      <c r="J48" s="108">
        <f t="shared" si="3"/>
        <v>880.22787134857219</v>
      </c>
      <c r="K48" s="107">
        <f t="shared" si="14"/>
        <v>3000.2473941677476</v>
      </c>
      <c r="L48" s="114">
        <f t="shared" si="15"/>
        <v>102627.09716766093</v>
      </c>
      <c r="M48" s="105">
        <f t="shared" si="16"/>
        <v>1445.6672557805898</v>
      </c>
      <c r="N48" s="105">
        <f t="shared" si="17"/>
        <v>37905.696404508526</v>
      </c>
      <c r="O48" s="106">
        <f t="shared" si="18"/>
        <v>327.92803050240923</v>
      </c>
      <c r="P48" s="105">
        <f t="shared" si="4"/>
        <v>1117.7392252781806</v>
      </c>
      <c r="Q48" s="115">
        <f t="shared" si="20"/>
        <v>38233.624435010934</v>
      </c>
      <c r="R48" s="110">
        <f t="shared" si="5"/>
        <v>919902.79648939043</v>
      </c>
      <c r="S48" s="128">
        <f t="shared" si="6"/>
        <v>350568.93369902333</v>
      </c>
      <c r="T48" s="128">
        <f t="shared" si="7"/>
        <v>0</v>
      </c>
      <c r="U48" s="128">
        <f>U23-(U23*30%)</f>
        <v>325862.06896551733</v>
      </c>
      <c r="V48" s="116">
        <f t="shared" si="8"/>
        <v>1270471.7301884138</v>
      </c>
    </row>
    <row r="49" spans="1:22">
      <c r="A49" s="109">
        <v>19</v>
      </c>
      <c r="B49" s="110">
        <f t="shared" si="9"/>
        <v>21833.038871786608</v>
      </c>
      <c r="C49" s="110">
        <f t="shared" si="10"/>
        <v>757209.03601493197</v>
      </c>
      <c r="D49" s="111">
        <f t="shared" si="0"/>
        <v>6492.0172907226533</v>
      </c>
      <c r="E49" s="110">
        <f t="shared" si="1"/>
        <v>15341.021581063955</v>
      </c>
      <c r="F49" s="110">
        <f t="shared" si="11"/>
        <v>763701.05330565455</v>
      </c>
      <c r="G49" s="110">
        <f t="shared" si="2"/>
        <v>9824.8674923039744</v>
      </c>
      <c r="H49" s="107">
        <f t="shared" si="12"/>
        <v>3880.4752655163197</v>
      </c>
      <c r="I49" s="107">
        <f t="shared" si="13"/>
        <v>98746.621902144645</v>
      </c>
      <c r="J49" s="108">
        <f t="shared" si="3"/>
        <v>855.22580973050731</v>
      </c>
      <c r="K49" s="107">
        <f t="shared" si="14"/>
        <v>3025.2494557858126</v>
      </c>
      <c r="L49" s="114">
        <f t="shared" si="15"/>
        <v>99601.847711875118</v>
      </c>
      <c r="M49" s="105">
        <f t="shared" si="16"/>
        <v>1445.6672557805898</v>
      </c>
      <c r="N49" s="105">
        <f t="shared" si="17"/>
        <v>36787.957179230347</v>
      </c>
      <c r="O49" s="106">
        <f t="shared" si="18"/>
        <v>318.61353695842433</v>
      </c>
      <c r="P49" s="105">
        <f t="shared" si="4"/>
        <v>1127.0537188221656</v>
      </c>
      <c r="Q49" s="115">
        <f t="shared" si="20"/>
        <v>37106.570716188769</v>
      </c>
      <c r="R49" s="110">
        <f t="shared" si="5"/>
        <v>900409.47173371841</v>
      </c>
      <c r="S49" s="128">
        <f t="shared" si="6"/>
        <v>343665.47398754454</v>
      </c>
      <c r="T49" s="128">
        <f t="shared" si="7"/>
        <v>0</v>
      </c>
      <c r="U49" s="128">
        <f>U23-(U23*35%)</f>
        <v>302586.20689655183</v>
      </c>
      <c r="V49" s="116">
        <f t="shared" si="8"/>
        <v>1244074.9457212631</v>
      </c>
    </row>
    <row r="50" spans="1:22">
      <c r="A50" s="109">
        <v>20</v>
      </c>
      <c r="B50" s="110">
        <f t="shared" si="9"/>
        <v>21833.038871786608</v>
      </c>
      <c r="C50" s="110">
        <f t="shared" si="10"/>
        <v>741868.014433868</v>
      </c>
      <c r="D50" s="111">
        <f t="shared" si="0"/>
        <v>6364.1754442137872</v>
      </c>
      <c r="E50" s="110">
        <f t="shared" si="1"/>
        <v>15468.863427572822</v>
      </c>
      <c r="F50" s="110">
        <f t="shared" si="11"/>
        <v>748232.18987808179</v>
      </c>
      <c r="G50" s="110">
        <f t="shared" si="2"/>
        <v>9824.8674923039744</v>
      </c>
      <c r="H50" s="107">
        <f t="shared" si="12"/>
        <v>3880.4752655163197</v>
      </c>
      <c r="I50" s="107">
        <f t="shared" si="13"/>
        <v>95721.37244635883</v>
      </c>
      <c r="J50" s="108">
        <f t="shared" si="3"/>
        <v>830.01539759895888</v>
      </c>
      <c r="K50" s="107">
        <f t="shared" si="14"/>
        <v>3050.459867917361</v>
      </c>
      <c r="L50" s="114">
        <f t="shared" si="15"/>
        <v>96551.387843957753</v>
      </c>
      <c r="M50" s="105">
        <f t="shared" si="16"/>
        <v>1445.6672557805898</v>
      </c>
      <c r="N50" s="105">
        <f t="shared" si="17"/>
        <v>35660.903460408183</v>
      </c>
      <c r="O50" s="106">
        <f t="shared" si="18"/>
        <v>309.22142263490628</v>
      </c>
      <c r="P50" s="105">
        <f t="shared" si="4"/>
        <v>1136.4458331456835</v>
      </c>
      <c r="Q50" s="115">
        <f t="shared" si="20"/>
        <v>35970.124883043085</v>
      </c>
      <c r="R50" s="110">
        <f t="shared" si="5"/>
        <v>880753.70260508265</v>
      </c>
      <c r="S50" s="128">
        <f t="shared" si="6"/>
        <v>336704.48544513679</v>
      </c>
      <c r="T50" s="128">
        <f t="shared" si="7"/>
        <v>0</v>
      </c>
      <c r="U50" s="128">
        <f>U23-(U23*35%)</f>
        <v>302586.20689655183</v>
      </c>
      <c r="V50" s="116">
        <f t="shared" si="8"/>
        <v>1217458.1880502193</v>
      </c>
    </row>
    <row r="51" spans="1:22">
      <c r="A51" s="109">
        <v>21</v>
      </c>
      <c r="B51" s="110">
        <f t="shared" si="9"/>
        <v>21833.038871786608</v>
      </c>
      <c r="C51" s="110">
        <f t="shared" si="10"/>
        <v>726399.15100629523</v>
      </c>
      <c r="D51" s="111">
        <f t="shared" si="0"/>
        <v>6235.2682489840136</v>
      </c>
      <c r="E51" s="110">
        <f t="shared" si="1"/>
        <v>15597.770622802595</v>
      </c>
      <c r="F51" s="110">
        <f t="shared" si="11"/>
        <v>732634.41925527924</v>
      </c>
      <c r="G51" s="110">
        <f t="shared" si="2"/>
        <v>9824.8674923039744</v>
      </c>
      <c r="H51" s="107">
        <f t="shared" si="12"/>
        <v>3880.4752655163197</v>
      </c>
      <c r="I51" s="107">
        <f t="shared" si="13"/>
        <v>92670.912578441465</v>
      </c>
      <c r="J51" s="108">
        <f t="shared" si="3"/>
        <v>804.59489869964762</v>
      </c>
      <c r="K51" s="107">
        <f t="shared" si="14"/>
        <v>3075.880366816672</v>
      </c>
      <c r="L51" s="114">
        <f t="shared" si="15"/>
        <v>93475.507477141087</v>
      </c>
      <c r="M51" s="105">
        <f t="shared" si="16"/>
        <v>1445.6672557805898</v>
      </c>
      <c r="N51" s="105">
        <f t="shared" si="17"/>
        <v>34524.457627262498</v>
      </c>
      <c r="O51" s="106">
        <f t="shared" si="18"/>
        <v>299.75104069202558</v>
      </c>
      <c r="P51" s="105">
        <f t="shared" si="4"/>
        <v>1145.9162150885643</v>
      </c>
      <c r="Q51" s="115">
        <f t="shared" si="20"/>
        <v>34824.208667954517</v>
      </c>
      <c r="R51" s="110">
        <f t="shared" si="5"/>
        <v>860934.13540037489</v>
      </c>
      <c r="S51" s="128">
        <f t="shared" si="6"/>
        <v>329685.48866487568</v>
      </c>
      <c r="T51" s="128">
        <f t="shared" si="7"/>
        <v>0</v>
      </c>
      <c r="U51" s="128">
        <f>U23-(U23*35%)</f>
        <v>302586.20689655183</v>
      </c>
      <c r="V51" s="116">
        <f t="shared" si="8"/>
        <v>1190619.6240652506</v>
      </c>
    </row>
    <row r="52" spans="1:22">
      <c r="A52" s="109">
        <v>22</v>
      </c>
      <c r="B52" s="110">
        <f t="shared" si="9"/>
        <v>21833.038871786608</v>
      </c>
      <c r="C52" s="110">
        <f t="shared" si="10"/>
        <v>710801.38038349268</v>
      </c>
      <c r="D52" s="111">
        <f t="shared" si="0"/>
        <v>6105.2868271273246</v>
      </c>
      <c r="E52" s="110">
        <f t="shared" si="1"/>
        <v>15727.752044659283</v>
      </c>
      <c r="F52" s="110">
        <f t="shared" si="11"/>
        <v>716906.6672106199</v>
      </c>
      <c r="G52" s="110">
        <f t="shared" si="2"/>
        <v>9824.8674923039744</v>
      </c>
      <c r="H52" s="107">
        <f t="shared" si="12"/>
        <v>3880.4752655163197</v>
      </c>
      <c r="I52" s="107">
        <f t="shared" si="13"/>
        <v>89595.032211624799</v>
      </c>
      <c r="J52" s="108">
        <f t="shared" si="3"/>
        <v>778.96256230950871</v>
      </c>
      <c r="K52" s="107">
        <f t="shared" si="14"/>
        <v>3101.5127032068112</v>
      </c>
      <c r="L52" s="114">
        <f t="shared" si="15"/>
        <v>90373.994773934275</v>
      </c>
      <c r="M52" s="105">
        <f t="shared" si="16"/>
        <v>1445.6672557805898</v>
      </c>
      <c r="N52" s="105">
        <f t="shared" si="17"/>
        <v>33378.54141217393</v>
      </c>
      <c r="O52" s="106">
        <f t="shared" si="18"/>
        <v>290.20173889962092</v>
      </c>
      <c r="P52" s="105">
        <f t="shared" si="4"/>
        <v>1155.4655168809688</v>
      </c>
      <c r="Q52" s="115">
        <f t="shared" si="20"/>
        <v>33668.743151073548</v>
      </c>
      <c r="R52" s="110">
        <f t="shared" si="5"/>
        <v>840949.40513562772</v>
      </c>
      <c r="S52" s="128">
        <f t="shared" si="6"/>
        <v>322608.00024477899</v>
      </c>
      <c r="T52" s="128">
        <f t="shared" si="7"/>
        <v>0</v>
      </c>
      <c r="U52" s="128">
        <f>U23-(U23*40%)</f>
        <v>279310.34482758632</v>
      </c>
      <c r="V52" s="116">
        <f t="shared" si="8"/>
        <v>1163557.4053804066</v>
      </c>
    </row>
    <row r="53" spans="1:22">
      <c r="A53" s="109">
        <v>23</v>
      </c>
      <c r="B53" s="110">
        <f t="shared" si="9"/>
        <v>21833.038871786608</v>
      </c>
      <c r="C53" s="110">
        <f t="shared" si="10"/>
        <v>695073.62833883334</v>
      </c>
      <c r="D53" s="111">
        <f t="shared" si="0"/>
        <v>5974.2222267551651</v>
      </c>
      <c r="E53" s="110">
        <f t="shared" si="1"/>
        <v>15858.816645031442</v>
      </c>
      <c r="F53" s="110">
        <f t="shared" si="11"/>
        <v>701047.85056558845</v>
      </c>
      <c r="G53" s="110">
        <f t="shared" si="2"/>
        <v>9824.8674923039744</v>
      </c>
      <c r="H53" s="107">
        <f t="shared" si="12"/>
        <v>3880.4752655163197</v>
      </c>
      <c r="I53" s="107">
        <f t="shared" si="13"/>
        <v>86493.519508417987</v>
      </c>
      <c r="J53" s="108">
        <f t="shared" si="3"/>
        <v>753.11662311611872</v>
      </c>
      <c r="K53" s="107">
        <f t="shared" si="14"/>
        <v>3127.358642400201</v>
      </c>
      <c r="L53" s="114">
        <f t="shared" si="15"/>
        <v>87246.636131534076</v>
      </c>
      <c r="M53" s="105">
        <f t="shared" si="16"/>
        <v>1445.6672557805898</v>
      </c>
      <c r="N53" s="105">
        <f t="shared" si="17"/>
        <v>32223.075895292961</v>
      </c>
      <c r="O53" s="106">
        <f t="shared" si="18"/>
        <v>280.57285959227949</v>
      </c>
      <c r="P53" s="105">
        <f t="shared" si="4"/>
        <v>1165.0943961883104</v>
      </c>
      <c r="Q53" s="115">
        <f t="shared" si="20"/>
        <v>32503.648754885238</v>
      </c>
      <c r="R53" s="110">
        <f t="shared" si="5"/>
        <v>820798.13545200776</v>
      </c>
      <c r="S53" s="128">
        <f t="shared" si="6"/>
        <v>315471.53275451483</v>
      </c>
      <c r="T53" s="128">
        <f t="shared" si="7"/>
        <v>0</v>
      </c>
      <c r="U53" s="128">
        <f>U23-(U23*40%)</f>
        <v>279310.34482758632</v>
      </c>
      <c r="V53" s="116">
        <f t="shared" si="8"/>
        <v>1136269.6682065227</v>
      </c>
    </row>
    <row r="54" spans="1:22">
      <c r="A54" s="109">
        <v>24</v>
      </c>
      <c r="B54" s="110">
        <f t="shared" si="9"/>
        <v>21833.038871786608</v>
      </c>
      <c r="C54" s="110">
        <f t="shared" si="10"/>
        <v>679214.81169380189</v>
      </c>
      <c r="D54" s="111">
        <f t="shared" si="0"/>
        <v>5842.0654213799025</v>
      </c>
      <c r="E54" s="110">
        <f t="shared" si="1"/>
        <v>15990.973450406706</v>
      </c>
      <c r="F54" s="110">
        <f t="shared" si="11"/>
        <v>685056.87711518176</v>
      </c>
      <c r="G54" s="110">
        <f t="shared" si="2"/>
        <v>9824.8674923039744</v>
      </c>
      <c r="H54" s="107">
        <f t="shared" si="12"/>
        <v>3880.4752655163197</v>
      </c>
      <c r="I54" s="107">
        <f t="shared" si="13"/>
        <v>83366.160866017788</v>
      </c>
      <c r="J54" s="108">
        <f t="shared" si="3"/>
        <v>727.05530109611709</v>
      </c>
      <c r="K54" s="107">
        <f t="shared" si="14"/>
        <v>3153.4199644202026</v>
      </c>
      <c r="L54" s="114">
        <f t="shared" si="15"/>
        <v>84093.216167113875</v>
      </c>
      <c r="M54" s="105">
        <f t="shared" si="16"/>
        <v>1445.6672557805898</v>
      </c>
      <c r="N54" s="105">
        <f t="shared" si="17"/>
        <v>31057.981499104651</v>
      </c>
      <c r="O54" s="106">
        <f t="shared" si="18"/>
        <v>270.8637396240436</v>
      </c>
      <c r="P54" s="105">
        <f t="shared" si="4"/>
        <v>1174.8035161565463</v>
      </c>
      <c r="Q54" s="115">
        <f>IF(A54&lt;=$C$16,Q53+'Quotation Summary'!D20-P54,0)</f>
        <v>31328.845238728692</v>
      </c>
      <c r="R54" s="110">
        <f t="shared" si="5"/>
        <v>800478.93852102431</v>
      </c>
      <c r="S54" s="128">
        <f t="shared" si="6"/>
        <v>308275.59470183181</v>
      </c>
      <c r="T54" s="128">
        <f t="shared" si="7"/>
        <v>0</v>
      </c>
      <c r="U54" s="128">
        <f>U23-(U23*40%)</f>
        <v>279310.34482758632</v>
      </c>
      <c r="V54" s="116">
        <f t="shared" si="8"/>
        <v>1108754.533222856</v>
      </c>
    </row>
    <row r="55" spans="1:22">
      <c r="A55" s="109">
        <v>25</v>
      </c>
      <c r="B55" s="110">
        <f t="shared" si="9"/>
        <v>21833.038871786608</v>
      </c>
      <c r="C55" s="110">
        <f t="shared" si="10"/>
        <v>663223.83824339521</v>
      </c>
      <c r="D55" s="111">
        <f t="shared" si="0"/>
        <v>5708.80730929318</v>
      </c>
      <c r="E55" s="110">
        <f t="shared" si="1"/>
        <v>16124.231562493427</v>
      </c>
      <c r="F55" s="110">
        <f t="shared" si="11"/>
        <v>668932.64555268828</v>
      </c>
      <c r="G55" s="110">
        <f t="shared" si="2"/>
        <v>9824.8674923039744</v>
      </c>
      <c r="H55" s="107">
        <f t="shared" si="12"/>
        <v>3880.4752655163197</v>
      </c>
      <c r="I55" s="107">
        <f t="shared" si="13"/>
        <v>80212.740901597586</v>
      </c>
      <c r="J55" s="108">
        <f t="shared" si="3"/>
        <v>700.7768013926152</v>
      </c>
      <c r="K55" s="107">
        <f t="shared" si="14"/>
        <v>3179.6984641237045</v>
      </c>
      <c r="L55" s="114">
        <f t="shared" si="15"/>
        <v>80913.517702990168</v>
      </c>
      <c r="M55" s="105">
        <f t="shared" si="16"/>
        <v>1445.6672557805898</v>
      </c>
      <c r="N55" s="105">
        <f t="shared" si="17"/>
        <v>29883.177982948106</v>
      </c>
      <c r="O55" s="106">
        <f t="shared" si="18"/>
        <v>261.07371032273903</v>
      </c>
      <c r="P55" s="105">
        <f t="shared" si="4"/>
        <v>1184.5935454578507</v>
      </c>
      <c r="Q55" s="115">
        <f t="shared" ref="Q55:Q90" si="21">IF(A55&lt;=$C$16,Q54-P55,0)</f>
        <v>30144.251693270842</v>
      </c>
      <c r="R55" s="110">
        <f t="shared" si="5"/>
        <v>779990.41494894924</v>
      </c>
      <c r="S55" s="128">
        <f t="shared" si="6"/>
        <v>301019.69049870974</v>
      </c>
      <c r="T55" s="128">
        <f t="shared" si="7"/>
        <v>0</v>
      </c>
      <c r="U55" s="128">
        <f>U23-(U23*45%)</f>
        <v>256034.48275862075</v>
      </c>
      <c r="V55" s="116">
        <f t="shared" si="8"/>
        <v>1081010.105447659</v>
      </c>
    </row>
    <row r="56" spans="1:22">
      <c r="A56" s="109">
        <v>26</v>
      </c>
      <c r="B56" s="110">
        <f t="shared" si="9"/>
        <v>21833.038871786608</v>
      </c>
      <c r="C56" s="110">
        <f t="shared" si="10"/>
        <v>647099.60668090172</v>
      </c>
      <c r="D56" s="111">
        <f t="shared" si="0"/>
        <v>5574.438712939068</v>
      </c>
      <c r="E56" s="110">
        <f t="shared" si="1"/>
        <v>16258.600158847541</v>
      </c>
      <c r="F56" s="110">
        <f t="shared" si="11"/>
        <v>652674.04539384076</v>
      </c>
      <c r="G56" s="110">
        <f t="shared" si="2"/>
        <v>9824.8674923039744</v>
      </c>
      <c r="H56" s="107">
        <f t="shared" si="12"/>
        <v>3880.4752655163197</v>
      </c>
      <c r="I56" s="107">
        <f t="shared" si="13"/>
        <v>77033.04243747388</v>
      </c>
      <c r="J56" s="108">
        <f t="shared" si="3"/>
        <v>674.27931419158438</v>
      </c>
      <c r="K56" s="107">
        <f t="shared" si="14"/>
        <v>3206.1959513247352</v>
      </c>
      <c r="L56" s="114">
        <f t="shared" si="15"/>
        <v>77707.321751665426</v>
      </c>
      <c r="M56" s="105">
        <f t="shared" si="16"/>
        <v>1445.6672557805898</v>
      </c>
      <c r="N56" s="105">
        <f t="shared" si="17"/>
        <v>28698.584437490255</v>
      </c>
      <c r="O56" s="106">
        <f t="shared" si="18"/>
        <v>251.20209744392358</v>
      </c>
      <c r="P56" s="105">
        <f t="shared" si="4"/>
        <v>1194.4651583366663</v>
      </c>
      <c r="Q56" s="115">
        <f t="shared" si="21"/>
        <v>28949.786534934177</v>
      </c>
      <c r="R56" s="110">
        <f t="shared" si="5"/>
        <v>759331.15368044039</v>
      </c>
      <c r="S56" s="128">
        <f t="shared" si="6"/>
        <v>293703.32042722835</v>
      </c>
      <c r="T56" s="128">
        <f t="shared" si="7"/>
        <v>0</v>
      </c>
      <c r="U56" s="128">
        <f>U23-(U23*45%)</f>
        <v>256034.48275862075</v>
      </c>
      <c r="V56" s="116">
        <f t="shared" si="8"/>
        <v>1053034.4741076687</v>
      </c>
    </row>
    <row r="57" spans="1:22">
      <c r="A57" s="109">
        <v>27</v>
      </c>
      <c r="B57" s="110">
        <f t="shared" si="9"/>
        <v>21833.038871786608</v>
      </c>
      <c r="C57" s="110">
        <f t="shared" si="10"/>
        <v>630841.0065220542</v>
      </c>
      <c r="D57" s="111">
        <f t="shared" si="0"/>
        <v>5438.9503782820057</v>
      </c>
      <c r="E57" s="110">
        <f t="shared" si="1"/>
        <v>16394.088493504602</v>
      </c>
      <c r="F57" s="110">
        <f t="shared" si="11"/>
        <v>636279.9569003362</v>
      </c>
      <c r="G57" s="110">
        <f t="shared" si="2"/>
        <v>9824.8674923039744</v>
      </c>
      <c r="H57" s="107">
        <f t="shared" si="12"/>
        <v>3880.4752655163197</v>
      </c>
      <c r="I57" s="107">
        <f t="shared" si="13"/>
        <v>73826.846486149137</v>
      </c>
      <c r="J57" s="108">
        <f t="shared" si="3"/>
        <v>647.56101459721151</v>
      </c>
      <c r="K57" s="107">
        <f t="shared" si="14"/>
        <v>3232.9142509191083</v>
      </c>
      <c r="L57" s="114">
        <f t="shared" si="15"/>
        <v>74474.407500746311</v>
      </c>
      <c r="M57" s="105">
        <f t="shared" si="16"/>
        <v>1445.6672557805898</v>
      </c>
      <c r="N57" s="105">
        <f t="shared" si="17"/>
        <v>27504.11927915359</v>
      </c>
      <c r="O57" s="106">
        <f t="shared" si="18"/>
        <v>241.24822112445139</v>
      </c>
      <c r="P57" s="105">
        <f t="shared" si="4"/>
        <v>1204.4190346561384</v>
      </c>
      <c r="Q57" s="115">
        <f t="shared" si="21"/>
        <v>27745.36750027804</v>
      </c>
      <c r="R57" s="110">
        <f t="shared" si="5"/>
        <v>738499.73190136056</v>
      </c>
      <c r="S57" s="128">
        <f t="shared" si="6"/>
        <v>286325.98060515127</v>
      </c>
      <c r="T57" s="128">
        <f t="shared" si="7"/>
        <v>0</v>
      </c>
      <c r="U57" s="128">
        <f>U23-(U23*45%)</f>
        <v>256034.48275862075</v>
      </c>
      <c r="V57" s="116">
        <f t="shared" si="8"/>
        <v>1024825.7125065118</v>
      </c>
    </row>
    <row r="58" spans="1:22">
      <c r="A58" s="109">
        <v>28</v>
      </c>
      <c r="B58" s="110">
        <f t="shared" si="9"/>
        <v>21833.038871786608</v>
      </c>
      <c r="C58" s="110">
        <f t="shared" si="10"/>
        <v>614446.91802854964</v>
      </c>
      <c r="D58" s="111">
        <f t="shared" si="0"/>
        <v>5302.332974169467</v>
      </c>
      <c r="E58" s="110">
        <f t="shared" si="1"/>
        <v>16530.705897617139</v>
      </c>
      <c r="F58" s="110">
        <f t="shared" si="11"/>
        <v>619749.25100271904</v>
      </c>
      <c r="G58" s="110">
        <f t="shared" si="2"/>
        <v>9824.8674923039744</v>
      </c>
      <c r="H58" s="107">
        <f t="shared" si="12"/>
        <v>3880.4752655163197</v>
      </c>
      <c r="I58" s="107">
        <f t="shared" si="13"/>
        <v>70593.932235230022</v>
      </c>
      <c r="J58" s="108">
        <f t="shared" si="3"/>
        <v>620.62006250621903</v>
      </c>
      <c r="K58" s="107">
        <f t="shared" si="14"/>
        <v>3259.8552030101009</v>
      </c>
      <c r="L58" s="114">
        <f t="shared" si="15"/>
        <v>71214.552297736212</v>
      </c>
      <c r="M58" s="105">
        <f t="shared" si="16"/>
        <v>1445.6672557805898</v>
      </c>
      <c r="N58" s="105">
        <f t="shared" si="17"/>
        <v>26299.700244497453</v>
      </c>
      <c r="O58" s="106">
        <f t="shared" si="18"/>
        <v>231.21139583565022</v>
      </c>
      <c r="P58" s="105">
        <f t="shared" si="4"/>
        <v>1214.4558599449397</v>
      </c>
      <c r="Q58" s="115">
        <f t="shared" si="21"/>
        <v>26530.911640333099</v>
      </c>
      <c r="R58" s="110">
        <f t="shared" si="5"/>
        <v>717494.71494078834</v>
      </c>
      <c r="S58" s="128">
        <f t="shared" si="6"/>
        <v>278887.16295122355</v>
      </c>
      <c r="T58" s="128">
        <f t="shared" si="7"/>
        <v>0</v>
      </c>
      <c r="U58" s="128">
        <f>U23-(U23*50%)</f>
        <v>232758.62068965525</v>
      </c>
      <c r="V58" s="116">
        <f t="shared" si="8"/>
        <v>996381.87789201189</v>
      </c>
    </row>
    <row r="59" spans="1:22">
      <c r="A59" s="109">
        <v>29</v>
      </c>
      <c r="B59" s="110">
        <f t="shared" si="9"/>
        <v>21833.038871786608</v>
      </c>
      <c r="C59" s="110">
        <f t="shared" si="10"/>
        <v>597916.21213093249</v>
      </c>
      <c r="D59" s="111">
        <f t="shared" si="0"/>
        <v>5164.5770916893243</v>
      </c>
      <c r="E59" s="110">
        <f t="shared" si="1"/>
        <v>16668.461780097285</v>
      </c>
      <c r="F59" s="110">
        <f t="shared" si="11"/>
        <v>603080.78922262171</v>
      </c>
      <c r="G59" s="110">
        <f t="shared" si="2"/>
        <v>9824.8674923039744</v>
      </c>
      <c r="H59" s="107">
        <f t="shared" si="12"/>
        <v>3880.4752655163197</v>
      </c>
      <c r="I59" s="107">
        <f t="shared" si="13"/>
        <v>67334.077032219924</v>
      </c>
      <c r="J59" s="108">
        <f t="shared" si="3"/>
        <v>593.454602481135</v>
      </c>
      <c r="K59" s="107">
        <f t="shared" si="14"/>
        <v>3287.020663035185</v>
      </c>
      <c r="L59" s="114">
        <f t="shared" si="15"/>
        <v>67927.531634701023</v>
      </c>
      <c r="M59" s="105">
        <f t="shared" si="16"/>
        <v>1445.6672557805898</v>
      </c>
      <c r="N59" s="105">
        <f t="shared" si="17"/>
        <v>25085.244384552512</v>
      </c>
      <c r="O59" s="106">
        <f t="shared" si="18"/>
        <v>221.0909303361091</v>
      </c>
      <c r="P59" s="105">
        <f t="shared" si="4"/>
        <v>1224.5763254444807</v>
      </c>
      <c r="Q59" s="115">
        <f t="shared" si="21"/>
        <v>25306.33531488862</v>
      </c>
      <c r="R59" s="110">
        <f t="shared" si="5"/>
        <v>696314.6561722114</v>
      </c>
      <c r="S59" s="128">
        <f t="shared" si="6"/>
        <v>271386.35515017976</v>
      </c>
      <c r="T59" s="128">
        <f t="shared" si="7"/>
        <v>0</v>
      </c>
      <c r="U59" s="128">
        <f>U23-(U23*50%)</f>
        <v>232758.62068965525</v>
      </c>
      <c r="V59" s="116">
        <f t="shared" si="8"/>
        <v>967701.01132239122</v>
      </c>
    </row>
    <row r="60" spans="1:22">
      <c r="A60" s="109">
        <v>30</v>
      </c>
      <c r="B60" s="110">
        <f t="shared" si="9"/>
        <v>21833.038871786608</v>
      </c>
      <c r="C60" s="110">
        <f t="shared" si="10"/>
        <v>581247.75035083515</v>
      </c>
      <c r="D60" s="111">
        <f t="shared" si="0"/>
        <v>5025.6732435218464</v>
      </c>
      <c r="E60" s="110">
        <f t="shared" si="1"/>
        <v>16807.365628264761</v>
      </c>
      <c r="F60" s="110">
        <f t="shared" si="11"/>
        <v>586273.42359435698</v>
      </c>
      <c r="G60" s="110">
        <f t="shared" si="2"/>
        <v>9824.8674923039744</v>
      </c>
      <c r="H60" s="107">
        <f t="shared" si="12"/>
        <v>3880.4752655163197</v>
      </c>
      <c r="I60" s="107">
        <f t="shared" si="13"/>
        <v>64047.056369184742</v>
      </c>
      <c r="J60" s="108">
        <f t="shared" si="3"/>
        <v>566.06276362250833</v>
      </c>
      <c r="K60" s="107">
        <f t="shared" si="14"/>
        <v>3314.4125018938112</v>
      </c>
      <c r="L60" s="114">
        <f t="shared" si="15"/>
        <v>64613.119132807209</v>
      </c>
      <c r="M60" s="105">
        <f t="shared" si="16"/>
        <v>1445.6672557805898</v>
      </c>
      <c r="N60" s="105">
        <f t="shared" si="17"/>
        <v>23860.668059108033</v>
      </c>
      <c r="O60" s="106">
        <f t="shared" si="18"/>
        <v>210.88612762407172</v>
      </c>
      <c r="P60" s="105">
        <f t="shared" si="4"/>
        <v>1234.7811281565182</v>
      </c>
      <c r="Q60" s="115">
        <f t="shared" si="21"/>
        <v>24071.554186732101</v>
      </c>
      <c r="R60" s="110">
        <f t="shared" si="5"/>
        <v>674958.09691389627</v>
      </c>
      <c r="S60" s="128">
        <f t="shared" si="6"/>
        <v>263823.04061746068</v>
      </c>
      <c r="T60" s="128">
        <f t="shared" si="7"/>
        <v>0</v>
      </c>
      <c r="U60" s="128">
        <f>U23-(U23*50%)</f>
        <v>232758.62068965525</v>
      </c>
      <c r="V60" s="116">
        <f t="shared" si="8"/>
        <v>938781.13753135689</v>
      </c>
    </row>
    <row r="61" spans="1:22">
      <c r="A61" s="109">
        <v>31</v>
      </c>
      <c r="B61" s="110">
        <f t="shared" si="9"/>
        <v>21833.038871786608</v>
      </c>
      <c r="C61" s="110">
        <f t="shared" si="10"/>
        <v>564440.38472257042</v>
      </c>
      <c r="D61" s="111">
        <f t="shared" si="0"/>
        <v>4885.6118632863072</v>
      </c>
      <c r="E61" s="110">
        <f t="shared" si="1"/>
        <v>16947.427008500301</v>
      </c>
      <c r="F61" s="110">
        <f t="shared" si="11"/>
        <v>569325.99658585666</v>
      </c>
      <c r="G61" s="110">
        <f t="shared" si="2"/>
        <v>9824.8674923039744</v>
      </c>
      <c r="H61" s="107">
        <f t="shared" si="12"/>
        <v>3880.4752655163197</v>
      </c>
      <c r="I61" s="107">
        <f t="shared" si="13"/>
        <v>60732.643867290928</v>
      </c>
      <c r="J61" s="108">
        <f t="shared" si="3"/>
        <v>538.44265944005986</v>
      </c>
      <c r="K61" s="107">
        <f t="shared" si="14"/>
        <v>3342.03260607626</v>
      </c>
      <c r="L61" s="114">
        <f t="shared" si="15"/>
        <v>61271.086526730949</v>
      </c>
      <c r="M61" s="105">
        <f t="shared" si="16"/>
        <v>1445.6672557805898</v>
      </c>
      <c r="N61" s="105">
        <f t="shared" si="17"/>
        <v>22625.886930951514</v>
      </c>
      <c r="O61" s="106">
        <f t="shared" si="18"/>
        <v>200.59628488943409</v>
      </c>
      <c r="P61" s="105">
        <f t="shared" si="4"/>
        <v>1245.0709708911556</v>
      </c>
      <c r="Q61" s="115">
        <f t="shared" si="21"/>
        <v>22826.483215840944</v>
      </c>
      <c r="R61" s="110">
        <f t="shared" si="5"/>
        <v>653423.56632842857</v>
      </c>
      <c r="S61" s="128">
        <f t="shared" si="6"/>
        <v>256196.69846363549</v>
      </c>
      <c r="T61" s="128">
        <f t="shared" si="7"/>
        <v>0</v>
      </c>
      <c r="U61" s="128">
        <f>U23-(U23*55%)</f>
        <v>209482.75862068971</v>
      </c>
      <c r="V61" s="116">
        <f t="shared" si="8"/>
        <v>909620.26479206409</v>
      </c>
    </row>
    <row r="62" spans="1:22">
      <c r="A62" s="109">
        <v>32</v>
      </c>
      <c r="B62" s="110">
        <f t="shared" si="9"/>
        <v>21833.038871786608</v>
      </c>
      <c r="C62" s="110">
        <f t="shared" si="10"/>
        <v>547492.9577140701</v>
      </c>
      <c r="D62" s="111">
        <f t="shared" si="0"/>
        <v>4744.383304882138</v>
      </c>
      <c r="E62" s="110">
        <f t="shared" si="1"/>
        <v>17088.655566904468</v>
      </c>
      <c r="F62" s="110">
        <f t="shared" si="11"/>
        <v>552237.3410189522</v>
      </c>
      <c r="G62" s="110">
        <f t="shared" si="2"/>
        <v>9824.8674923039744</v>
      </c>
      <c r="H62" s="107">
        <f t="shared" si="12"/>
        <v>3880.4752655163197</v>
      </c>
      <c r="I62" s="107">
        <f t="shared" si="13"/>
        <v>57390.611261214668</v>
      </c>
      <c r="J62" s="108">
        <f t="shared" si="3"/>
        <v>510.59238772275773</v>
      </c>
      <c r="K62" s="107">
        <f t="shared" si="14"/>
        <v>3369.8828777935619</v>
      </c>
      <c r="L62" s="114">
        <f t="shared" si="15"/>
        <v>57901.203648937386</v>
      </c>
      <c r="M62" s="105">
        <f t="shared" si="16"/>
        <v>1445.6672557805898</v>
      </c>
      <c r="N62" s="105">
        <f t="shared" si="17"/>
        <v>21380.815960060358</v>
      </c>
      <c r="O62" s="106">
        <f t="shared" si="18"/>
        <v>190.2206934653411</v>
      </c>
      <c r="P62" s="105">
        <f t="shared" si="4"/>
        <v>1255.4465623152487</v>
      </c>
      <c r="Q62" s="115">
        <f t="shared" si="21"/>
        <v>21571.036653525694</v>
      </c>
      <c r="R62" s="110">
        <f t="shared" si="5"/>
        <v>631709.58132141526</v>
      </c>
      <c r="S62" s="128">
        <f t="shared" si="6"/>
        <v>248506.80345852851</v>
      </c>
      <c r="T62" s="128">
        <f t="shared" si="7"/>
        <v>0</v>
      </c>
      <c r="U62" s="128">
        <f>U23-(U23*55%)</f>
        <v>209482.75862068971</v>
      </c>
      <c r="V62" s="116">
        <f t="shared" si="8"/>
        <v>880216.38477994374</v>
      </c>
    </row>
    <row r="63" spans="1:22">
      <c r="A63" s="109">
        <v>33</v>
      </c>
      <c r="B63" s="110">
        <f t="shared" si="9"/>
        <v>21833.038871786608</v>
      </c>
      <c r="C63" s="110">
        <f t="shared" si="10"/>
        <v>530404.30214716564</v>
      </c>
      <c r="D63" s="111">
        <f t="shared" ref="D63:D90" si="22">IF(A63&lt;=$C$16,IF($C$6="Arrear",IPMT($J$15/12,A63,$C$16,-$C$15,$C$18,IF($C$6="Arrear",0,1)),C63*$J$15/12),0)</f>
        <v>4601.9778418246005</v>
      </c>
      <c r="E63" s="110">
        <f t="shared" ref="E63:E90" si="23">IF(A63&lt;=$C$16,+B63-D63,0)</f>
        <v>17231.061029962009</v>
      </c>
      <c r="F63" s="110">
        <f t="shared" si="11"/>
        <v>535006.27998899017</v>
      </c>
      <c r="G63" s="110">
        <f t="shared" ref="G63:G90" si="24">IF(A63&lt;=$C$16,B63*($C$9+$C$10+$C$11),0)</f>
        <v>9824.8674923039744</v>
      </c>
      <c r="H63" s="107">
        <f t="shared" si="12"/>
        <v>3880.4752655163197</v>
      </c>
      <c r="I63" s="107">
        <f t="shared" si="13"/>
        <v>54020.728383421105</v>
      </c>
      <c r="J63" s="108">
        <f t="shared" ref="J63:J90" si="25">IF(A63&lt;=$C$16,IF($C$6="Arrear",IPMT($J$15/12,A63,$C$16,-$C$13,0,IF($C$6="Arrear",0,1)),I63*$J$15/12),0)</f>
        <v>482.51003040781137</v>
      </c>
      <c r="K63" s="107">
        <f t="shared" si="14"/>
        <v>3397.9652351085083</v>
      </c>
      <c r="L63" s="114">
        <f t="shared" si="15"/>
        <v>54503.238413828876</v>
      </c>
      <c r="M63" s="105">
        <f t="shared" si="16"/>
        <v>1445.6672557805898</v>
      </c>
      <c r="N63" s="105">
        <f t="shared" si="17"/>
        <v>20125.369397745108</v>
      </c>
      <c r="O63" s="106">
        <f t="shared" si="18"/>
        <v>179.75863877938073</v>
      </c>
      <c r="P63" s="105">
        <f t="shared" ref="P63:P90" si="26">IF(A63&lt;=$C$16,M63-O63,0)</f>
        <v>1265.908617001209</v>
      </c>
      <c r="Q63" s="115">
        <f t="shared" si="21"/>
        <v>20305.128036524486</v>
      </c>
      <c r="R63" s="110">
        <f t="shared" ref="R63:R90" si="27">Q63+L63+F63</f>
        <v>609814.64643934357</v>
      </c>
      <c r="S63" s="128">
        <f t="shared" ref="S63:S90" si="28">F63*$J$14</f>
        <v>240752.82599504557</v>
      </c>
      <c r="T63" s="128">
        <f t="shared" ref="T63:T90" si="29">IF(A63&lt;=$C$16,IF(S63&gt;U63,0,U63-S63),0)</f>
        <v>0</v>
      </c>
      <c r="U63" s="128">
        <f>U23-(U23*55%)</f>
        <v>209482.75862068971</v>
      </c>
      <c r="V63" s="116">
        <f t="shared" ref="V63:V90" si="30">IF(A63&lt;=$C$16,R63+S63+T63,0)</f>
        <v>850567.47243438917</v>
      </c>
    </row>
    <row r="64" spans="1:22">
      <c r="A64" s="109">
        <v>34</v>
      </c>
      <c r="B64" s="110">
        <f t="shared" ref="B64:B90" si="31">IF(A64&lt;=$C$16,+B63,0)</f>
        <v>21833.038871786608</v>
      </c>
      <c r="C64" s="110">
        <f t="shared" ref="C64:C90" si="32">IF(A64&lt;=$C$16,+C63-E63,0)</f>
        <v>513173.24111720361</v>
      </c>
      <c r="D64" s="111">
        <f t="shared" si="22"/>
        <v>4458.3856665749172</v>
      </c>
      <c r="E64" s="110">
        <f t="shared" si="23"/>
        <v>17374.653205211689</v>
      </c>
      <c r="F64" s="110">
        <f t="shared" ref="F64:F90" si="33">IF(A64&lt;=$C$16,+F63-E64,0)</f>
        <v>517631.62678377848</v>
      </c>
      <c r="G64" s="110">
        <f t="shared" si="24"/>
        <v>9824.8674923039744</v>
      </c>
      <c r="H64" s="107">
        <f t="shared" ref="H64:H90" si="34">IF(A64&lt;=$C$16,+H63,0)</f>
        <v>3880.4752655163197</v>
      </c>
      <c r="I64" s="107">
        <f t="shared" ref="I64:I90" si="35">IF(A64&lt;=$C$16,+I63-K63,0)</f>
        <v>50622.763148312595</v>
      </c>
      <c r="J64" s="108">
        <f t="shared" si="25"/>
        <v>454.19365344857385</v>
      </c>
      <c r="K64" s="107">
        <f t="shared" ref="K64:K90" si="36">IF(A64&lt;=$C$16,+H64-J64,0)</f>
        <v>3426.2816120677458</v>
      </c>
      <c r="L64" s="114">
        <f t="shared" ref="L64:L90" si="37">IF(A64&lt;=$C$16,+L63-K64,0)</f>
        <v>51076.956801761131</v>
      </c>
      <c r="M64" s="105">
        <f t="shared" ref="M64:M90" si="38">IF(A64&lt;=$C$16,+M63,0)</f>
        <v>1445.6672557805898</v>
      </c>
      <c r="N64" s="105">
        <f t="shared" ref="N64:N90" si="39">IF(A64&lt;=$C$16,+N63-P63,0)</f>
        <v>18859.460780743899</v>
      </c>
      <c r="O64" s="106">
        <f t="shared" si="18"/>
        <v>169.20940030437066</v>
      </c>
      <c r="P64" s="105">
        <f t="shared" si="26"/>
        <v>1276.4578554762193</v>
      </c>
      <c r="Q64" s="115">
        <f t="shared" si="21"/>
        <v>19028.670181048266</v>
      </c>
      <c r="R64" s="110">
        <f t="shared" si="27"/>
        <v>587737.25376658794</v>
      </c>
      <c r="S64" s="128">
        <f t="shared" si="28"/>
        <v>232934.23205270033</v>
      </c>
      <c r="T64" s="128">
        <f t="shared" si="29"/>
        <v>0</v>
      </c>
      <c r="U64" s="128">
        <f>U23-(U23*60%)</f>
        <v>186206.89655172423</v>
      </c>
      <c r="V64" s="116">
        <f t="shared" si="30"/>
        <v>820671.4858192883</v>
      </c>
    </row>
    <row r="65" spans="1:22">
      <c r="A65" s="109">
        <v>35</v>
      </c>
      <c r="B65" s="110">
        <f t="shared" si="31"/>
        <v>21833.038871786608</v>
      </c>
      <c r="C65" s="110">
        <f t="shared" si="32"/>
        <v>495798.58791199193</v>
      </c>
      <c r="D65" s="111">
        <f t="shared" si="22"/>
        <v>4313.5968898648198</v>
      </c>
      <c r="E65" s="110">
        <f t="shared" si="23"/>
        <v>17519.441981921787</v>
      </c>
      <c r="F65" s="110">
        <f t="shared" si="33"/>
        <v>500112.1848018567</v>
      </c>
      <c r="G65" s="110">
        <f t="shared" si="24"/>
        <v>9824.8674923039744</v>
      </c>
      <c r="H65" s="107">
        <f t="shared" si="34"/>
        <v>3880.4752655163197</v>
      </c>
      <c r="I65" s="107">
        <f t="shared" si="35"/>
        <v>47196.48153624485</v>
      </c>
      <c r="J65" s="108">
        <f t="shared" si="25"/>
        <v>425.64130668134254</v>
      </c>
      <c r="K65" s="107">
        <f t="shared" si="36"/>
        <v>3454.8339588349772</v>
      </c>
      <c r="L65" s="114">
        <f t="shared" si="37"/>
        <v>47622.122842926154</v>
      </c>
      <c r="M65" s="105">
        <f t="shared" si="38"/>
        <v>1445.6672557805898</v>
      </c>
      <c r="N65" s="105">
        <f t="shared" si="39"/>
        <v>17583.00292526768</v>
      </c>
      <c r="O65" s="106">
        <f t="shared" si="18"/>
        <v>158.57225150873546</v>
      </c>
      <c r="P65" s="105">
        <f t="shared" si="26"/>
        <v>1287.0950042718544</v>
      </c>
      <c r="Q65" s="115">
        <f t="shared" si="21"/>
        <v>17741.575176776412</v>
      </c>
      <c r="R65" s="110">
        <f t="shared" si="27"/>
        <v>565475.88282155921</v>
      </c>
      <c r="S65" s="128">
        <f t="shared" si="28"/>
        <v>225050.48316083552</v>
      </c>
      <c r="T65" s="128">
        <f t="shared" si="29"/>
        <v>0</v>
      </c>
      <c r="U65" s="128">
        <f>U23-(U23*60%)</f>
        <v>186206.89655172423</v>
      </c>
      <c r="V65" s="116">
        <f t="shared" si="30"/>
        <v>790526.36598239467</v>
      </c>
    </row>
    <row r="66" spans="1:22">
      <c r="A66" s="109">
        <v>36</v>
      </c>
      <c r="B66" s="110">
        <f t="shared" si="31"/>
        <v>21833.038871786608</v>
      </c>
      <c r="C66" s="110">
        <f t="shared" si="32"/>
        <v>478279.14593007014</v>
      </c>
      <c r="D66" s="111">
        <f t="shared" si="22"/>
        <v>4167.601540015472</v>
      </c>
      <c r="E66" s="110">
        <f t="shared" si="23"/>
        <v>17665.437331771136</v>
      </c>
      <c r="F66" s="110">
        <f t="shared" si="33"/>
        <v>482446.74747008557</v>
      </c>
      <c r="G66" s="110">
        <f t="shared" si="24"/>
        <v>9824.8674923039744</v>
      </c>
      <c r="H66" s="107">
        <f t="shared" si="34"/>
        <v>3880.4752655163197</v>
      </c>
      <c r="I66" s="107">
        <f t="shared" si="35"/>
        <v>43741.647577409873</v>
      </c>
      <c r="J66" s="108">
        <f t="shared" si="25"/>
        <v>396.85102369105107</v>
      </c>
      <c r="K66" s="107">
        <f t="shared" si="36"/>
        <v>3483.6242418252687</v>
      </c>
      <c r="L66" s="114">
        <f t="shared" si="37"/>
        <v>44138.498601100888</v>
      </c>
      <c r="M66" s="105">
        <f t="shared" si="38"/>
        <v>1445.6672557805898</v>
      </c>
      <c r="N66" s="105">
        <f t="shared" si="39"/>
        <v>16295.907920995825</v>
      </c>
      <c r="O66" s="106">
        <f t="shared" si="18"/>
        <v>147.84645980647002</v>
      </c>
      <c r="P66" s="105">
        <f t="shared" si="26"/>
        <v>1297.8207959741198</v>
      </c>
      <c r="Q66" s="115">
        <f t="shared" si="21"/>
        <v>16443.754380802293</v>
      </c>
      <c r="R66" s="110">
        <f t="shared" si="27"/>
        <v>543029.00045198877</v>
      </c>
      <c r="S66" s="128">
        <f t="shared" si="28"/>
        <v>217101.03636153851</v>
      </c>
      <c r="T66" s="128">
        <f t="shared" si="29"/>
        <v>0</v>
      </c>
      <c r="U66" s="128">
        <f>U23-(U23*60%)</f>
        <v>186206.89655172423</v>
      </c>
      <c r="V66" s="116">
        <f t="shared" si="30"/>
        <v>760130.03681352735</v>
      </c>
    </row>
    <row r="67" spans="1:22">
      <c r="A67" s="109">
        <v>37</v>
      </c>
      <c r="B67" s="110">
        <f t="shared" si="31"/>
        <v>21833.038871786608</v>
      </c>
      <c r="C67" s="110">
        <f t="shared" si="32"/>
        <v>460613.70859829901</v>
      </c>
      <c r="D67" s="111">
        <f t="shared" si="22"/>
        <v>4020.3895622507121</v>
      </c>
      <c r="E67" s="110">
        <f t="shared" si="23"/>
        <v>17812.649309535896</v>
      </c>
      <c r="F67" s="110">
        <f t="shared" si="33"/>
        <v>464634.09816054965</v>
      </c>
      <c r="G67" s="110">
        <f t="shared" si="24"/>
        <v>9824.8674923039744</v>
      </c>
      <c r="H67" s="107">
        <f t="shared" si="34"/>
        <v>3880.4752655163197</v>
      </c>
      <c r="I67" s="107">
        <f t="shared" si="35"/>
        <v>40258.023335584607</v>
      </c>
      <c r="J67" s="108">
        <f t="shared" si="25"/>
        <v>367.82082167584053</v>
      </c>
      <c r="K67" s="107">
        <f t="shared" si="36"/>
        <v>3512.654443840479</v>
      </c>
      <c r="L67" s="114">
        <f t="shared" si="37"/>
        <v>40625.844157260406</v>
      </c>
      <c r="M67" s="105">
        <f t="shared" si="38"/>
        <v>1445.6672557805898</v>
      </c>
      <c r="N67" s="105">
        <f t="shared" si="39"/>
        <v>14998.087125021706</v>
      </c>
      <c r="O67" s="106">
        <f t="shared" si="18"/>
        <v>137.03128650668569</v>
      </c>
      <c r="P67" s="105">
        <f t="shared" si="26"/>
        <v>1308.635969273904</v>
      </c>
      <c r="Q67" s="115">
        <f t="shared" si="21"/>
        <v>15135.118411528389</v>
      </c>
      <c r="R67" s="110">
        <f t="shared" si="27"/>
        <v>520395.06072933844</v>
      </c>
      <c r="S67" s="128">
        <f t="shared" si="28"/>
        <v>209085.34417224734</v>
      </c>
      <c r="T67" s="128">
        <f t="shared" si="29"/>
        <v>0</v>
      </c>
      <c r="U67" s="128">
        <f>IF(A67&lt;=$C$16,$U$23-($U$23*65%),0)</f>
        <v>162931.03448275867</v>
      </c>
      <c r="V67" s="116">
        <f t="shared" si="30"/>
        <v>729480.40490158577</v>
      </c>
    </row>
    <row r="68" spans="1:22">
      <c r="A68" s="109">
        <v>38</v>
      </c>
      <c r="B68" s="110">
        <f t="shared" si="31"/>
        <v>21833.038871786608</v>
      </c>
      <c r="C68" s="110">
        <f t="shared" si="32"/>
        <v>442801.05928876309</v>
      </c>
      <c r="D68" s="111">
        <f t="shared" si="22"/>
        <v>3871.9508180045796</v>
      </c>
      <c r="E68" s="110">
        <f t="shared" si="23"/>
        <v>17961.088053782027</v>
      </c>
      <c r="F68" s="110">
        <f t="shared" si="33"/>
        <v>446673.01010676764</v>
      </c>
      <c r="G68" s="110">
        <f t="shared" si="24"/>
        <v>9824.8674923039744</v>
      </c>
      <c r="H68" s="107">
        <f t="shared" si="34"/>
        <v>3880.4752655163197</v>
      </c>
      <c r="I68" s="107">
        <f t="shared" si="35"/>
        <v>36745.368891744125</v>
      </c>
      <c r="J68" s="108">
        <f t="shared" si="25"/>
        <v>338.54870131050319</v>
      </c>
      <c r="K68" s="107">
        <f t="shared" si="36"/>
        <v>3541.9265642058167</v>
      </c>
      <c r="L68" s="114">
        <f t="shared" si="37"/>
        <v>37083.91759305459</v>
      </c>
      <c r="M68" s="105">
        <f t="shared" si="38"/>
        <v>1445.6672557805898</v>
      </c>
      <c r="N68" s="105">
        <f t="shared" si="39"/>
        <v>13689.451155747802</v>
      </c>
      <c r="O68" s="106">
        <f t="shared" si="18"/>
        <v>126.12598676273647</v>
      </c>
      <c r="P68" s="105">
        <f t="shared" si="26"/>
        <v>1319.5412690178534</v>
      </c>
      <c r="Q68" s="115">
        <f t="shared" si="21"/>
        <v>13815.577142510536</v>
      </c>
      <c r="R68" s="110">
        <f t="shared" si="27"/>
        <v>497572.5048423328</v>
      </c>
      <c r="S68" s="128">
        <f t="shared" si="28"/>
        <v>201002.85454804543</v>
      </c>
      <c r="T68" s="128">
        <f t="shared" si="29"/>
        <v>0</v>
      </c>
      <c r="U68" s="128">
        <f>IF(A68&lt;=$C$16,$U$23-($U$23*65%),0)</f>
        <v>162931.03448275867</v>
      </c>
      <c r="V68" s="116">
        <f t="shared" si="30"/>
        <v>698575.35939037823</v>
      </c>
    </row>
    <row r="69" spans="1:22">
      <c r="A69" s="109">
        <v>39</v>
      </c>
      <c r="B69" s="110">
        <f t="shared" si="31"/>
        <v>21833.038871786608</v>
      </c>
      <c r="C69" s="110">
        <f t="shared" si="32"/>
        <v>424839.97123498109</v>
      </c>
      <c r="D69" s="111">
        <f t="shared" si="22"/>
        <v>3722.2750842230625</v>
      </c>
      <c r="E69" s="110">
        <f t="shared" si="23"/>
        <v>18110.763787563545</v>
      </c>
      <c r="F69" s="110">
        <f t="shared" si="33"/>
        <v>428562.2463192041</v>
      </c>
      <c r="G69" s="110">
        <f t="shared" si="24"/>
        <v>9824.8674923039744</v>
      </c>
      <c r="H69" s="107">
        <f t="shared" si="34"/>
        <v>3880.4752655163197</v>
      </c>
      <c r="I69" s="107">
        <f t="shared" si="35"/>
        <v>33203.442327538309</v>
      </c>
      <c r="J69" s="108">
        <f t="shared" si="25"/>
        <v>309.03264660878813</v>
      </c>
      <c r="K69" s="107">
        <f t="shared" si="36"/>
        <v>3571.4426189075316</v>
      </c>
      <c r="L69" s="114">
        <f t="shared" si="37"/>
        <v>33512.474974147059</v>
      </c>
      <c r="M69" s="105">
        <f t="shared" si="38"/>
        <v>1445.6672557805898</v>
      </c>
      <c r="N69" s="105">
        <f t="shared" si="39"/>
        <v>12369.909886729949</v>
      </c>
      <c r="O69" s="106">
        <f t="shared" si="18"/>
        <v>115.12980952092107</v>
      </c>
      <c r="P69" s="105">
        <f t="shared" si="26"/>
        <v>1330.5374462596687</v>
      </c>
      <c r="Q69" s="115">
        <f t="shared" si="21"/>
        <v>12485.039696250868</v>
      </c>
      <c r="R69" s="110">
        <f t="shared" si="27"/>
        <v>474559.76098960201</v>
      </c>
      <c r="S69" s="128">
        <f t="shared" si="28"/>
        <v>192853.01084364185</v>
      </c>
      <c r="T69" s="128">
        <f t="shared" si="29"/>
        <v>0</v>
      </c>
      <c r="U69" s="128">
        <f>IF(A69&lt;=$C$16,$U$23-($U$23*65%),0)</f>
        <v>162931.03448275867</v>
      </c>
      <c r="V69" s="116">
        <f t="shared" si="30"/>
        <v>667412.7718332439</v>
      </c>
    </row>
    <row r="70" spans="1:22">
      <c r="A70" s="109">
        <v>40</v>
      </c>
      <c r="B70" s="110">
        <f t="shared" si="31"/>
        <v>21833.038871786608</v>
      </c>
      <c r="C70" s="110">
        <f t="shared" si="32"/>
        <v>406729.20744741755</v>
      </c>
      <c r="D70" s="111">
        <f t="shared" si="22"/>
        <v>3571.3520526600332</v>
      </c>
      <c r="E70" s="110">
        <f t="shared" si="23"/>
        <v>18261.686819126575</v>
      </c>
      <c r="F70" s="110">
        <f t="shared" si="33"/>
        <v>410300.55950007751</v>
      </c>
      <c r="G70" s="110">
        <f t="shared" si="24"/>
        <v>9824.8674923039744</v>
      </c>
      <c r="H70" s="107">
        <f t="shared" si="34"/>
        <v>3880.4752655163197</v>
      </c>
      <c r="I70" s="107">
        <f t="shared" si="35"/>
        <v>29631.999708630778</v>
      </c>
      <c r="J70" s="108">
        <f t="shared" si="25"/>
        <v>279.27062478455866</v>
      </c>
      <c r="K70" s="107">
        <f t="shared" si="36"/>
        <v>3601.2046407317612</v>
      </c>
      <c r="L70" s="114">
        <f t="shared" si="37"/>
        <v>29911.270333415298</v>
      </c>
      <c r="M70" s="105">
        <f t="shared" si="38"/>
        <v>1445.6672557805898</v>
      </c>
      <c r="N70" s="105">
        <f t="shared" si="39"/>
        <v>11039.372440470281</v>
      </c>
      <c r="O70" s="106">
        <f t="shared" si="18"/>
        <v>104.04199746875715</v>
      </c>
      <c r="P70" s="105">
        <f t="shared" si="26"/>
        <v>1341.6252583118326</v>
      </c>
      <c r="Q70" s="115">
        <f t="shared" si="21"/>
        <v>11143.414437939035</v>
      </c>
      <c r="R70" s="110">
        <f t="shared" si="27"/>
        <v>451355.24427143182</v>
      </c>
      <c r="S70" s="128">
        <f t="shared" si="28"/>
        <v>184635.25177503488</v>
      </c>
      <c r="T70" s="128">
        <f t="shared" si="29"/>
        <v>0</v>
      </c>
      <c r="U70" s="128">
        <f>IF(A70&lt;=$C$16,$U$23-($U$23*70%),0)</f>
        <v>139655.17241379316</v>
      </c>
      <c r="V70" s="116">
        <f t="shared" si="30"/>
        <v>635990.49604646675</v>
      </c>
    </row>
    <row r="71" spans="1:22">
      <c r="A71" s="109">
        <v>41</v>
      </c>
      <c r="B71" s="110">
        <f t="shared" si="31"/>
        <v>21833.038871786608</v>
      </c>
      <c r="C71" s="110">
        <f t="shared" si="32"/>
        <v>388467.52062829095</v>
      </c>
      <c r="D71" s="111">
        <f t="shared" si="22"/>
        <v>3419.1713291673113</v>
      </c>
      <c r="E71" s="110">
        <f t="shared" si="23"/>
        <v>18413.867542619297</v>
      </c>
      <c r="F71" s="110">
        <f t="shared" si="33"/>
        <v>391886.69195745821</v>
      </c>
      <c r="G71" s="110">
        <f t="shared" si="24"/>
        <v>9824.8674923039744</v>
      </c>
      <c r="H71" s="107">
        <f t="shared" si="34"/>
        <v>3880.4752655163197</v>
      </c>
      <c r="I71" s="107">
        <f t="shared" si="35"/>
        <v>26030.795067899016</v>
      </c>
      <c r="J71" s="108">
        <f t="shared" si="25"/>
        <v>249.26058611179394</v>
      </c>
      <c r="K71" s="107">
        <f t="shared" si="36"/>
        <v>3631.2146794045257</v>
      </c>
      <c r="L71" s="114">
        <f t="shared" si="37"/>
        <v>26280.055654010772</v>
      </c>
      <c r="M71" s="105">
        <f t="shared" si="38"/>
        <v>1445.6672557805898</v>
      </c>
      <c r="N71" s="105">
        <f t="shared" si="39"/>
        <v>9697.7471821584477</v>
      </c>
      <c r="O71" s="106">
        <f t="shared" si="18"/>
        <v>92.861786982825194</v>
      </c>
      <c r="P71" s="105">
        <f t="shared" si="26"/>
        <v>1352.8054687977647</v>
      </c>
      <c r="Q71" s="115">
        <f t="shared" si="21"/>
        <v>9790.6089691412708</v>
      </c>
      <c r="R71" s="110">
        <f t="shared" si="27"/>
        <v>427957.35658061027</v>
      </c>
      <c r="S71" s="128">
        <f t="shared" si="28"/>
        <v>176349.01138085619</v>
      </c>
      <c r="T71" s="128">
        <f t="shared" si="29"/>
        <v>0</v>
      </c>
      <c r="U71" s="128">
        <f>IF(A71&lt;=$C$16,$U$23-($U$23*70%),0)</f>
        <v>139655.17241379316</v>
      </c>
      <c r="V71" s="116">
        <f t="shared" si="30"/>
        <v>604306.36796146643</v>
      </c>
    </row>
    <row r="72" spans="1:22">
      <c r="A72" s="109">
        <v>42</v>
      </c>
      <c r="B72" s="110">
        <f t="shared" si="31"/>
        <v>21833.038871786608</v>
      </c>
      <c r="C72" s="110">
        <f t="shared" si="32"/>
        <v>370053.65308567166</v>
      </c>
      <c r="D72" s="111">
        <f t="shared" si="22"/>
        <v>3265.7224329788173</v>
      </c>
      <c r="E72" s="110">
        <f t="shared" si="23"/>
        <v>18567.316438807789</v>
      </c>
      <c r="F72" s="110">
        <f t="shared" si="33"/>
        <v>373319.3755186504</v>
      </c>
      <c r="G72" s="110">
        <f t="shared" si="24"/>
        <v>9824.8674923039744</v>
      </c>
      <c r="H72" s="107">
        <f t="shared" si="34"/>
        <v>3880.4752655163197</v>
      </c>
      <c r="I72" s="107">
        <f t="shared" si="35"/>
        <v>22399.580388494491</v>
      </c>
      <c r="J72" s="108">
        <f t="shared" si="25"/>
        <v>219.0004637834229</v>
      </c>
      <c r="K72" s="107">
        <f t="shared" si="36"/>
        <v>3661.4748017328966</v>
      </c>
      <c r="L72" s="114">
        <f t="shared" si="37"/>
        <v>22618.580852277875</v>
      </c>
      <c r="M72" s="105">
        <f t="shared" si="38"/>
        <v>1445.6672557805898</v>
      </c>
      <c r="N72" s="105">
        <f t="shared" si="39"/>
        <v>8344.9417133606839</v>
      </c>
      <c r="O72" s="106">
        <f t="shared" si="18"/>
        <v>81.58840807617716</v>
      </c>
      <c r="P72" s="105">
        <f t="shared" si="26"/>
        <v>1364.0788477044127</v>
      </c>
      <c r="Q72" s="115">
        <f t="shared" si="21"/>
        <v>8426.5301214368574</v>
      </c>
      <c r="R72" s="110">
        <f t="shared" si="27"/>
        <v>404364.48649236513</v>
      </c>
      <c r="S72" s="128">
        <f t="shared" si="28"/>
        <v>167993.7189833927</v>
      </c>
      <c r="T72" s="128">
        <f t="shared" si="29"/>
        <v>0</v>
      </c>
      <c r="U72" s="128">
        <f>IF(A72&lt;=$C$16,$U$23-($U$23*70%),0)</f>
        <v>139655.17241379316</v>
      </c>
      <c r="V72" s="116">
        <f t="shared" si="30"/>
        <v>572358.20547575783</v>
      </c>
    </row>
    <row r="73" spans="1:22">
      <c r="A73" s="109">
        <v>43</v>
      </c>
      <c r="B73" s="110">
        <f t="shared" si="31"/>
        <v>21833.038871786608</v>
      </c>
      <c r="C73" s="110">
        <f t="shared" si="32"/>
        <v>351486.33664686384</v>
      </c>
      <c r="D73" s="111">
        <f t="shared" si="22"/>
        <v>3110.9947959887522</v>
      </c>
      <c r="E73" s="110">
        <f t="shared" si="23"/>
        <v>18722.044075797858</v>
      </c>
      <c r="F73" s="110">
        <f t="shared" si="33"/>
        <v>354597.33144285256</v>
      </c>
      <c r="G73" s="110">
        <f t="shared" si="24"/>
        <v>9824.8674923039744</v>
      </c>
      <c r="H73" s="107">
        <f t="shared" si="34"/>
        <v>3880.4752655163197</v>
      </c>
      <c r="I73" s="107">
        <f t="shared" si="35"/>
        <v>18738.105586761594</v>
      </c>
      <c r="J73" s="108">
        <f t="shared" si="25"/>
        <v>188.48817376898211</v>
      </c>
      <c r="K73" s="107">
        <f t="shared" si="36"/>
        <v>3691.9870917473377</v>
      </c>
      <c r="L73" s="114">
        <f t="shared" si="37"/>
        <v>18926.593760530537</v>
      </c>
      <c r="M73" s="105">
        <f t="shared" si="38"/>
        <v>1445.6672557805898</v>
      </c>
      <c r="N73" s="105">
        <f t="shared" si="39"/>
        <v>6980.8628656562714</v>
      </c>
      <c r="O73" s="106">
        <f t="shared" si="18"/>
        <v>70.221084345307048</v>
      </c>
      <c r="P73" s="105">
        <f t="shared" si="26"/>
        <v>1375.4461714352828</v>
      </c>
      <c r="Q73" s="115">
        <f t="shared" si="21"/>
        <v>7051.0839500015745</v>
      </c>
      <c r="R73" s="110">
        <f t="shared" si="27"/>
        <v>380575.00915338466</v>
      </c>
      <c r="S73" s="128">
        <f t="shared" si="28"/>
        <v>159568.79914928364</v>
      </c>
      <c r="T73" s="128">
        <f t="shared" si="29"/>
        <v>0</v>
      </c>
      <c r="U73" s="128">
        <f>IF(A73&lt;=$C$16,$U$23-($U$23*75%),0)</f>
        <v>116379.31034482759</v>
      </c>
      <c r="V73" s="116">
        <f t="shared" si="30"/>
        <v>540143.80830266827</v>
      </c>
    </row>
    <row r="74" spans="1:22">
      <c r="A74" s="109">
        <v>44</v>
      </c>
      <c r="B74" s="110">
        <f t="shared" si="31"/>
        <v>21833.038871786608</v>
      </c>
      <c r="C74" s="110">
        <f t="shared" si="32"/>
        <v>332764.29257106601</v>
      </c>
      <c r="D74" s="111">
        <f t="shared" si="22"/>
        <v>2954.977762023771</v>
      </c>
      <c r="E74" s="110">
        <f t="shared" si="23"/>
        <v>18878.061109762835</v>
      </c>
      <c r="F74" s="110">
        <f t="shared" si="33"/>
        <v>335719.27033308975</v>
      </c>
      <c r="G74" s="110">
        <f t="shared" si="24"/>
        <v>9824.8674923039744</v>
      </c>
      <c r="H74" s="107">
        <f t="shared" si="34"/>
        <v>3880.4752655163197</v>
      </c>
      <c r="I74" s="107">
        <f t="shared" si="35"/>
        <v>15046.118495014256</v>
      </c>
      <c r="J74" s="108">
        <f t="shared" si="25"/>
        <v>157.72161467108765</v>
      </c>
      <c r="K74" s="107">
        <f t="shared" si="36"/>
        <v>3722.7536508452322</v>
      </c>
      <c r="L74" s="114">
        <f t="shared" si="37"/>
        <v>15203.840109685305</v>
      </c>
      <c r="M74" s="105">
        <f t="shared" si="38"/>
        <v>1445.6672557805898</v>
      </c>
      <c r="N74" s="105">
        <f t="shared" si="39"/>
        <v>5605.4166942209886</v>
      </c>
      <c r="O74" s="106">
        <f t="shared" si="18"/>
        <v>58.759032916679708</v>
      </c>
      <c r="P74" s="105">
        <f t="shared" si="26"/>
        <v>1386.9082228639102</v>
      </c>
      <c r="Q74" s="115">
        <f t="shared" si="21"/>
        <v>5664.1757271376646</v>
      </c>
      <c r="R74" s="110">
        <f t="shared" si="27"/>
        <v>356587.28616991272</v>
      </c>
      <c r="S74" s="128">
        <f t="shared" si="28"/>
        <v>151073.6716498904</v>
      </c>
      <c r="T74" s="128">
        <f t="shared" si="29"/>
        <v>0</v>
      </c>
      <c r="U74" s="128">
        <f>IF(A74&lt;=$C$16,$U$23-($U$23*75%),0)</f>
        <v>116379.31034482759</v>
      </c>
      <c r="V74" s="116">
        <f t="shared" si="30"/>
        <v>507660.95781980315</v>
      </c>
    </row>
    <row r="75" spans="1:22">
      <c r="A75" s="109">
        <v>45</v>
      </c>
      <c r="B75" s="110">
        <f t="shared" si="31"/>
        <v>21833.038871786608</v>
      </c>
      <c r="C75" s="110">
        <f t="shared" si="32"/>
        <v>313886.23146130319</v>
      </c>
      <c r="D75" s="111">
        <f t="shared" si="22"/>
        <v>2797.6605861090802</v>
      </c>
      <c r="E75" s="110">
        <f t="shared" si="23"/>
        <v>19035.378285677529</v>
      </c>
      <c r="F75" s="110">
        <f t="shared" si="33"/>
        <v>316683.89204741223</v>
      </c>
      <c r="G75" s="110">
        <f t="shared" si="24"/>
        <v>9824.8674923039744</v>
      </c>
      <c r="H75" s="107">
        <f t="shared" si="34"/>
        <v>3880.4752655163197</v>
      </c>
      <c r="I75" s="107">
        <f t="shared" si="35"/>
        <v>11323.364844169024</v>
      </c>
      <c r="J75" s="108">
        <f t="shared" si="25"/>
        <v>126.6986675807107</v>
      </c>
      <c r="K75" s="107">
        <f t="shared" si="36"/>
        <v>3753.7765979356091</v>
      </c>
      <c r="L75" s="114">
        <f t="shared" si="37"/>
        <v>11450.063511749697</v>
      </c>
      <c r="M75" s="105">
        <f t="shared" si="38"/>
        <v>1445.6672557805898</v>
      </c>
      <c r="N75" s="105">
        <f t="shared" si="39"/>
        <v>4218.5084713570786</v>
      </c>
      <c r="O75" s="106">
        <f t="shared" si="18"/>
        <v>47.20146439281379</v>
      </c>
      <c r="P75" s="105">
        <f t="shared" si="26"/>
        <v>1398.4657913877761</v>
      </c>
      <c r="Q75" s="115">
        <f t="shared" si="21"/>
        <v>4265.7099357498882</v>
      </c>
      <c r="R75" s="110">
        <f t="shared" si="27"/>
        <v>332399.66549491184</v>
      </c>
      <c r="S75" s="128">
        <f t="shared" si="28"/>
        <v>142507.7514213355</v>
      </c>
      <c r="T75" s="128">
        <f t="shared" si="29"/>
        <v>0</v>
      </c>
      <c r="U75" s="128">
        <f>IF(A75&lt;=$C$16,$U$23-($U$23*75%),0)</f>
        <v>116379.31034482759</v>
      </c>
      <c r="V75" s="116">
        <f t="shared" si="30"/>
        <v>474907.41691624734</v>
      </c>
    </row>
    <row r="76" spans="1:22">
      <c r="A76" s="109">
        <v>46</v>
      </c>
      <c r="B76" s="110">
        <f t="shared" si="31"/>
        <v>21833.038871786608</v>
      </c>
      <c r="C76" s="110">
        <f t="shared" si="32"/>
        <v>294850.85317562567</v>
      </c>
      <c r="D76" s="111">
        <f t="shared" si="22"/>
        <v>2639.0324337284342</v>
      </c>
      <c r="E76" s="110">
        <f t="shared" si="23"/>
        <v>19194.006438058175</v>
      </c>
      <c r="F76" s="110">
        <f t="shared" si="33"/>
        <v>297489.88560935407</v>
      </c>
      <c r="G76" s="110">
        <f t="shared" si="24"/>
        <v>9824.8674923039744</v>
      </c>
      <c r="H76" s="107">
        <f t="shared" si="34"/>
        <v>3880.4752655163197</v>
      </c>
      <c r="I76" s="107">
        <f t="shared" si="35"/>
        <v>7569.5882462334148</v>
      </c>
      <c r="J76" s="108">
        <f t="shared" si="25"/>
        <v>95.417195931247292</v>
      </c>
      <c r="K76" s="107">
        <f t="shared" si="36"/>
        <v>3785.0580695850726</v>
      </c>
      <c r="L76" s="114">
        <f t="shared" si="37"/>
        <v>7665.0054421646237</v>
      </c>
      <c r="M76" s="105">
        <f t="shared" si="38"/>
        <v>1445.6672557805898</v>
      </c>
      <c r="N76" s="105">
        <f t="shared" si="39"/>
        <v>2820.0426799693023</v>
      </c>
      <c r="O76" s="106">
        <f t="shared" si="18"/>
        <v>35.547582797915659</v>
      </c>
      <c r="P76" s="105">
        <f t="shared" si="26"/>
        <v>1410.119672982674</v>
      </c>
      <c r="Q76" s="115">
        <f t="shared" si="21"/>
        <v>2855.590262767214</v>
      </c>
      <c r="R76" s="110">
        <f t="shared" si="27"/>
        <v>308010.48131428589</v>
      </c>
      <c r="S76" s="128">
        <f t="shared" si="28"/>
        <v>133870.44852420932</v>
      </c>
      <c r="T76" s="128">
        <f t="shared" si="29"/>
        <v>0</v>
      </c>
      <c r="U76" s="128">
        <f>IF(A76&lt;=$C$16,$U$23-($U$23*80%),0)</f>
        <v>93103.448275862087</v>
      </c>
      <c r="V76" s="116">
        <f t="shared" si="30"/>
        <v>441880.92983849521</v>
      </c>
    </row>
    <row r="77" spans="1:22">
      <c r="A77" s="109">
        <v>47</v>
      </c>
      <c r="B77" s="110">
        <f t="shared" si="31"/>
        <v>21833.038871786608</v>
      </c>
      <c r="C77" s="110">
        <f t="shared" si="32"/>
        <v>275656.84673756751</v>
      </c>
      <c r="D77" s="111">
        <f t="shared" si="22"/>
        <v>2479.0823800779494</v>
      </c>
      <c r="E77" s="110">
        <f t="shared" si="23"/>
        <v>19353.956491708657</v>
      </c>
      <c r="F77" s="110">
        <f t="shared" si="33"/>
        <v>278135.92911764543</v>
      </c>
      <c r="G77" s="110">
        <f t="shared" si="24"/>
        <v>9824.8674923039744</v>
      </c>
      <c r="H77" s="107">
        <f t="shared" si="34"/>
        <v>3880.4752655163197</v>
      </c>
      <c r="I77" s="107">
        <f t="shared" si="35"/>
        <v>3784.5301766483421</v>
      </c>
      <c r="J77" s="108">
        <f t="shared" si="25"/>
        <v>63.875045351371696</v>
      </c>
      <c r="K77" s="107">
        <f t="shared" si="36"/>
        <v>3816.600220164948</v>
      </c>
      <c r="L77" s="114">
        <f t="shared" si="37"/>
        <v>3848.4052219996756</v>
      </c>
      <c r="M77" s="105">
        <f t="shared" si="38"/>
        <v>1445.6672557805898</v>
      </c>
      <c r="N77" s="105">
        <f t="shared" si="39"/>
        <v>1409.9230069866283</v>
      </c>
      <c r="O77" s="106">
        <f t="shared" si="18"/>
        <v>23.796585523060045</v>
      </c>
      <c r="P77" s="105">
        <f t="shared" si="26"/>
        <v>1421.8706702575298</v>
      </c>
      <c r="Q77" s="115">
        <f t="shared" si="21"/>
        <v>1433.7195925096842</v>
      </c>
      <c r="R77" s="110">
        <f t="shared" si="27"/>
        <v>283418.05393215478</v>
      </c>
      <c r="S77" s="128">
        <f t="shared" si="28"/>
        <v>125161.16810294044</v>
      </c>
      <c r="T77" s="128">
        <f t="shared" si="29"/>
        <v>0</v>
      </c>
      <c r="U77" s="128">
        <f>IF(A77&lt;=$C$16,$U$23-($U$23*80%),0)</f>
        <v>93103.448275862087</v>
      </c>
      <c r="V77" s="116">
        <f t="shared" si="30"/>
        <v>408579.22203509521</v>
      </c>
    </row>
    <row r="78" spans="1:22">
      <c r="A78" s="109">
        <v>48</v>
      </c>
      <c r="B78" s="110">
        <f t="shared" si="31"/>
        <v>21833.038871786608</v>
      </c>
      <c r="C78" s="110">
        <f t="shared" si="32"/>
        <v>256302.89024585884</v>
      </c>
      <c r="D78" s="111">
        <f t="shared" si="22"/>
        <v>2317.7994093137104</v>
      </c>
      <c r="E78" s="110">
        <f t="shared" si="23"/>
        <v>19515.239462472899</v>
      </c>
      <c r="F78" s="110">
        <f t="shared" si="33"/>
        <v>258620.68965517252</v>
      </c>
      <c r="G78" s="110">
        <f t="shared" si="24"/>
        <v>9824.8674923039744</v>
      </c>
      <c r="H78" s="107">
        <f t="shared" si="34"/>
        <v>3880.4752655163197</v>
      </c>
      <c r="I78" s="107">
        <f t="shared" si="35"/>
        <v>-32.070043516605892</v>
      </c>
      <c r="J78" s="108">
        <f t="shared" si="25"/>
        <v>32.070043516663802</v>
      </c>
      <c r="K78" s="107">
        <f t="shared" si="36"/>
        <v>3848.4052219996561</v>
      </c>
      <c r="L78" s="114">
        <f t="shared" si="37"/>
        <v>1.9554136088117957E-11</v>
      </c>
      <c r="M78" s="105">
        <f t="shared" si="38"/>
        <v>1445.6672557805898</v>
      </c>
      <c r="N78" s="105">
        <f t="shared" si="39"/>
        <v>-11.947663270901558</v>
      </c>
      <c r="O78" s="106">
        <f t="shared" si="18"/>
        <v>11.947663270913964</v>
      </c>
      <c r="P78" s="105">
        <f t="shared" si="26"/>
        <v>1433.7195925096757</v>
      </c>
      <c r="Q78" s="115">
        <f t="shared" si="21"/>
        <v>8.4128259913995862E-12</v>
      </c>
      <c r="R78" s="110">
        <f t="shared" si="27"/>
        <v>258620.68965517255</v>
      </c>
      <c r="S78" s="128">
        <f t="shared" si="28"/>
        <v>116379.31034482764</v>
      </c>
      <c r="T78" s="128">
        <f t="shared" si="29"/>
        <v>0</v>
      </c>
      <c r="U78" s="128">
        <f>IF(A78&lt;=$C$16,$U$23-($U$23*80%),0)</f>
        <v>93103.448275862087</v>
      </c>
      <c r="V78" s="116">
        <f t="shared" si="30"/>
        <v>375000.00000000017</v>
      </c>
    </row>
    <row r="79" spans="1:22">
      <c r="A79" s="109">
        <v>49</v>
      </c>
      <c r="B79" s="110">
        <f t="shared" si="31"/>
        <v>0</v>
      </c>
      <c r="C79" s="110">
        <f t="shared" si="32"/>
        <v>0</v>
      </c>
      <c r="D79" s="111">
        <f t="shared" si="22"/>
        <v>0</v>
      </c>
      <c r="E79" s="110">
        <f t="shared" si="23"/>
        <v>0</v>
      </c>
      <c r="F79" s="110">
        <f t="shared" si="33"/>
        <v>0</v>
      </c>
      <c r="G79" s="110">
        <f t="shared" si="24"/>
        <v>0</v>
      </c>
      <c r="H79" s="107">
        <f t="shared" si="34"/>
        <v>0</v>
      </c>
      <c r="I79" s="107">
        <f t="shared" si="35"/>
        <v>0</v>
      </c>
      <c r="J79" s="108">
        <f t="shared" si="25"/>
        <v>0</v>
      </c>
      <c r="K79" s="107">
        <f t="shared" si="36"/>
        <v>0</v>
      </c>
      <c r="L79" s="114">
        <f t="shared" si="37"/>
        <v>0</v>
      </c>
      <c r="M79" s="105">
        <f t="shared" si="38"/>
        <v>0</v>
      </c>
      <c r="N79" s="105">
        <f t="shared" si="39"/>
        <v>0</v>
      </c>
      <c r="O79" s="106">
        <f t="shared" si="18"/>
        <v>0</v>
      </c>
      <c r="P79" s="105">
        <f t="shared" si="26"/>
        <v>0</v>
      </c>
      <c r="Q79" s="115">
        <f t="shared" si="21"/>
        <v>0</v>
      </c>
      <c r="R79" s="110">
        <f t="shared" si="27"/>
        <v>0</v>
      </c>
      <c r="S79" s="128">
        <f t="shared" si="28"/>
        <v>0</v>
      </c>
      <c r="T79" s="128">
        <f t="shared" si="29"/>
        <v>0</v>
      </c>
      <c r="U79" s="128">
        <f>IF(A79&lt;=$C$16,$U$23-($U$23*85%),0)</f>
        <v>0</v>
      </c>
      <c r="V79" s="116">
        <f t="shared" si="30"/>
        <v>0</v>
      </c>
    </row>
    <row r="80" spans="1:22">
      <c r="A80" s="109">
        <v>50</v>
      </c>
      <c r="B80" s="110">
        <f t="shared" si="31"/>
        <v>0</v>
      </c>
      <c r="C80" s="110">
        <f t="shared" si="32"/>
        <v>0</v>
      </c>
      <c r="D80" s="111">
        <f t="shared" si="22"/>
        <v>0</v>
      </c>
      <c r="E80" s="110">
        <f t="shared" si="23"/>
        <v>0</v>
      </c>
      <c r="F80" s="110">
        <f t="shared" si="33"/>
        <v>0</v>
      </c>
      <c r="G80" s="110">
        <f t="shared" si="24"/>
        <v>0</v>
      </c>
      <c r="H80" s="107">
        <f t="shared" si="34"/>
        <v>0</v>
      </c>
      <c r="I80" s="107">
        <f t="shared" si="35"/>
        <v>0</v>
      </c>
      <c r="J80" s="108">
        <f t="shared" si="25"/>
        <v>0</v>
      </c>
      <c r="K80" s="107">
        <f t="shared" si="36"/>
        <v>0</v>
      </c>
      <c r="L80" s="114">
        <f t="shared" si="37"/>
        <v>0</v>
      </c>
      <c r="M80" s="105">
        <f t="shared" si="38"/>
        <v>0</v>
      </c>
      <c r="N80" s="105">
        <f t="shared" si="39"/>
        <v>0</v>
      </c>
      <c r="O80" s="106">
        <f t="shared" si="18"/>
        <v>0</v>
      </c>
      <c r="P80" s="105">
        <f t="shared" si="26"/>
        <v>0</v>
      </c>
      <c r="Q80" s="115">
        <f t="shared" si="21"/>
        <v>0</v>
      </c>
      <c r="R80" s="110">
        <f t="shared" si="27"/>
        <v>0</v>
      </c>
      <c r="S80" s="128">
        <f t="shared" si="28"/>
        <v>0</v>
      </c>
      <c r="T80" s="128">
        <f t="shared" si="29"/>
        <v>0</v>
      </c>
      <c r="U80" s="128">
        <f>IF(A80&lt;=$C$16,$U$23-($U$23*85%),0)</f>
        <v>0</v>
      </c>
      <c r="V80" s="116">
        <f t="shared" si="30"/>
        <v>0</v>
      </c>
    </row>
    <row r="81" spans="1:23">
      <c r="A81" s="109">
        <v>51</v>
      </c>
      <c r="B81" s="110">
        <f t="shared" si="31"/>
        <v>0</v>
      </c>
      <c r="C81" s="110">
        <f t="shared" si="32"/>
        <v>0</v>
      </c>
      <c r="D81" s="111">
        <f t="shared" si="22"/>
        <v>0</v>
      </c>
      <c r="E81" s="110">
        <f t="shared" si="23"/>
        <v>0</v>
      </c>
      <c r="F81" s="110">
        <f t="shared" si="33"/>
        <v>0</v>
      </c>
      <c r="G81" s="110">
        <f t="shared" si="24"/>
        <v>0</v>
      </c>
      <c r="H81" s="107">
        <f t="shared" si="34"/>
        <v>0</v>
      </c>
      <c r="I81" s="107">
        <f t="shared" si="35"/>
        <v>0</v>
      </c>
      <c r="J81" s="108">
        <f t="shared" si="25"/>
        <v>0</v>
      </c>
      <c r="K81" s="107">
        <f t="shared" si="36"/>
        <v>0</v>
      </c>
      <c r="L81" s="114">
        <f t="shared" si="37"/>
        <v>0</v>
      </c>
      <c r="M81" s="105">
        <f t="shared" si="38"/>
        <v>0</v>
      </c>
      <c r="N81" s="105">
        <f t="shared" si="39"/>
        <v>0</v>
      </c>
      <c r="O81" s="106">
        <f t="shared" si="18"/>
        <v>0</v>
      </c>
      <c r="P81" s="105">
        <f t="shared" si="26"/>
        <v>0</v>
      </c>
      <c r="Q81" s="115">
        <f t="shared" si="21"/>
        <v>0</v>
      </c>
      <c r="R81" s="110">
        <f t="shared" si="27"/>
        <v>0</v>
      </c>
      <c r="S81" s="128">
        <f t="shared" si="28"/>
        <v>0</v>
      </c>
      <c r="T81" s="128">
        <f t="shared" si="29"/>
        <v>0</v>
      </c>
      <c r="U81" s="128">
        <f>IF(A81&lt;=$C$16,$U$23-($U$23*85%),0)</f>
        <v>0</v>
      </c>
      <c r="V81" s="116">
        <f t="shared" si="30"/>
        <v>0</v>
      </c>
    </row>
    <row r="82" spans="1:23">
      <c r="A82" s="109">
        <v>52</v>
      </c>
      <c r="B82" s="110">
        <f t="shared" si="31"/>
        <v>0</v>
      </c>
      <c r="C82" s="110">
        <f t="shared" si="32"/>
        <v>0</v>
      </c>
      <c r="D82" s="111">
        <f t="shared" si="22"/>
        <v>0</v>
      </c>
      <c r="E82" s="110">
        <f t="shared" si="23"/>
        <v>0</v>
      </c>
      <c r="F82" s="110">
        <f t="shared" si="33"/>
        <v>0</v>
      </c>
      <c r="G82" s="110">
        <f t="shared" si="24"/>
        <v>0</v>
      </c>
      <c r="H82" s="107">
        <f t="shared" si="34"/>
        <v>0</v>
      </c>
      <c r="I82" s="107">
        <f t="shared" si="35"/>
        <v>0</v>
      </c>
      <c r="J82" s="108">
        <f t="shared" si="25"/>
        <v>0</v>
      </c>
      <c r="K82" s="107">
        <f t="shared" si="36"/>
        <v>0</v>
      </c>
      <c r="L82" s="114">
        <f t="shared" si="37"/>
        <v>0</v>
      </c>
      <c r="M82" s="105">
        <f t="shared" si="38"/>
        <v>0</v>
      </c>
      <c r="N82" s="105">
        <f t="shared" si="39"/>
        <v>0</v>
      </c>
      <c r="O82" s="106">
        <f t="shared" si="18"/>
        <v>0</v>
      </c>
      <c r="P82" s="105">
        <f t="shared" si="26"/>
        <v>0</v>
      </c>
      <c r="Q82" s="115">
        <f t="shared" si="21"/>
        <v>0</v>
      </c>
      <c r="R82" s="110">
        <f t="shared" si="27"/>
        <v>0</v>
      </c>
      <c r="S82" s="128">
        <f t="shared" si="28"/>
        <v>0</v>
      </c>
      <c r="T82" s="128">
        <f t="shared" si="29"/>
        <v>0</v>
      </c>
      <c r="U82" s="128">
        <f>IF(A82&lt;=$C$16,$U$23-($U$23*90%),0)</f>
        <v>0</v>
      </c>
      <c r="V82" s="116">
        <f t="shared" si="30"/>
        <v>0</v>
      </c>
    </row>
    <row r="83" spans="1:23">
      <c r="A83" s="109">
        <v>53</v>
      </c>
      <c r="B83" s="110">
        <f t="shared" si="31"/>
        <v>0</v>
      </c>
      <c r="C83" s="110">
        <f t="shared" si="32"/>
        <v>0</v>
      </c>
      <c r="D83" s="111">
        <f t="shared" si="22"/>
        <v>0</v>
      </c>
      <c r="E83" s="110">
        <f t="shared" si="23"/>
        <v>0</v>
      </c>
      <c r="F83" s="110">
        <f t="shared" si="33"/>
        <v>0</v>
      </c>
      <c r="G83" s="110">
        <f t="shared" si="24"/>
        <v>0</v>
      </c>
      <c r="H83" s="107">
        <f t="shared" si="34"/>
        <v>0</v>
      </c>
      <c r="I83" s="107">
        <f t="shared" si="35"/>
        <v>0</v>
      </c>
      <c r="J83" s="108">
        <f t="shared" si="25"/>
        <v>0</v>
      </c>
      <c r="K83" s="107">
        <f t="shared" si="36"/>
        <v>0</v>
      </c>
      <c r="L83" s="114">
        <f t="shared" si="37"/>
        <v>0</v>
      </c>
      <c r="M83" s="105">
        <f t="shared" si="38"/>
        <v>0</v>
      </c>
      <c r="N83" s="105">
        <f t="shared" si="39"/>
        <v>0</v>
      </c>
      <c r="O83" s="106">
        <f t="shared" si="18"/>
        <v>0</v>
      </c>
      <c r="P83" s="105">
        <f t="shared" si="26"/>
        <v>0</v>
      </c>
      <c r="Q83" s="115">
        <f t="shared" si="21"/>
        <v>0</v>
      </c>
      <c r="R83" s="110">
        <f t="shared" si="27"/>
        <v>0</v>
      </c>
      <c r="S83" s="128">
        <f t="shared" si="28"/>
        <v>0</v>
      </c>
      <c r="T83" s="128">
        <f t="shared" si="29"/>
        <v>0</v>
      </c>
      <c r="U83" s="128">
        <f>IF(A83&lt;=$C$16,$U$23-($U$23*90%),0)</f>
        <v>0</v>
      </c>
      <c r="V83" s="116">
        <f t="shared" si="30"/>
        <v>0</v>
      </c>
    </row>
    <row r="84" spans="1:23">
      <c r="A84" s="109">
        <v>54</v>
      </c>
      <c r="B84" s="110">
        <f t="shared" si="31"/>
        <v>0</v>
      </c>
      <c r="C84" s="110">
        <f t="shared" si="32"/>
        <v>0</v>
      </c>
      <c r="D84" s="111">
        <f t="shared" si="22"/>
        <v>0</v>
      </c>
      <c r="E84" s="110">
        <f t="shared" si="23"/>
        <v>0</v>
      </c>
      <c r="F84" s="110">
        <f t="shared" si="33"/>
        <v>0</v>
      </c>
      <c r="G84" s="110">
        <f t="shared" si="24"/>
        <v>0</v>
      </c>
      <c r="H84" s="107">
        <f t="shared" si="34"/>
        <v>0</v>
      </c>
      <c r="I84" s="107">
        <f t="shared" si="35"/>
        <v>0</v>
      </c>
      <c r="J84" s="108">
        <f t="shared" si="25"/>
        <v>0</v>
      </c>
      <c r="K84" s="107">
        <f t="shared" si="36"/>
        <v>0</v>
      </c>
      <c r="L84" s="114">
        <f t="shared" si="37"/>
        <v>0</v>
      </c>
      <c r="M84" s="105">
        <f t="shared" si="38"/>
        <v>0</v>
      </c>
      <c r="N84" s="105">
        <f t="shared" si="39"/>
        <v>0</v>
      </c>
      <c r="O84" s="106">
        <f t="shared" si="18"/>
        <v>0</v>
      </c>
      <c r="P84" s="105">
        <f t="shared" si="26"/>
        <v>0</v>
      </c>
      <c r="Q84" s="115">
        <f t="shared" si="21"/>
        <v>0</v>
      </c>
      <c r="R84" s="110">
        <f t="shared" si="27"/>
        <v>0</v>
      </c>
      <c r="S84" s="128">
        <f t="shared" si="28"/>
        <v>0</v>
      </c>
      <c r="T84" s="128">
        <f t="shared" si="29"/>
        <v>0</v>
      </c>
      <c r="U84" s="128">
        <f>IF(A84&lt;=$C$16,$U$23-($U$23*90%),0)</f>
        <v>0</v>
      </c>
      <c r="V84" s="116">
        <f t="shared" si="30"/>
        <v>0</v>
      </c>
    </row>
    <row r="85" spans="1:23">
      <c r="A85" s="109">
        <v>55</v>
      </c>
      <c r="B85" s="110">
        <f t="shared" si="31"/>
        <v>0</v>
      </c>
      <c r="C85" s="110">
        <f t="shared" si="32"/>
        <v>0</v>
      </c>
      <c r="D85" s="111">
        <f t="shared" si="22"/>
        <v>0</v>
      </c>
      <c r="E85" s="110">
        <f t="shared" si="23"/>
        <v>0</v>
      </c>
      <c r="F85" s="110">
        <f t="shared" si="33"/>
        <v>0</v>
      </c>
      <c r="G85" s="110">
        <f t="shared" si="24"/>
        <v>0</v>
      </c>
      <c r="H85" s="107">
        <f t="shared" si="34"/>
        <v>0</v>
      </c>
      <c r="I85" s="107">
        <f t="shared" si="35"/>
        <v>0</v>
      </c>
      <c r="J85" s="108">
        <f t="shared" si="25"/>
        <v>0</v>
      </c>
      <c r="K85" s="107">
        <f t="shared" si="36"/>
        <v>0</v>
      </c>
      <c r="L85" s="114">
        <f t="shared" si="37"/>
        <v>0</v>
      </c>
      <c r="M85" s="105">
        <f t="shared" si="38"/>
        <v>0</v>
      </c>
      <c r="N85" s="105">
        <f t="shared" si="39"/>
        <v>0</v>
      </c>
      <c r="O85" s="106">
        <f t="shared" si="18"/>
        <v>0</v>
      </c>
      <c r="P85" s="105">
        <f t="shared" si="26"/>
        <v>0</v>
      </c>
      <c r="Q85" s="115">
        <f t="shared" si="21"/>
        <v>0</v>
      </c>
      <c r="R85" s="110">
        <f t="shared" si="27"/>
        <v>0</v>
      </c>
      <c r="S85" s="128">
        <f t="shared" si="28"/>
        <v>0</v>
      </c>
      <c r="T85" s="128">
        <f t="shared" si="29"/>
        <v>0</v>
      </c>
      <c r="U85" s="128">
        <f>IF(A85&lt;=$C$16,$U$23-($U$23*95%),0)</f>
        <v>0</v>
      </c>
      <c r="V85" s="116">
        <f t="shared" si="30"/>
        <v>0</v>
      </c>
    </row>
    <row r="86" spans="1:23">
      <c r="A86" s="109">
        <v>56</v>
      </c>
      <c r="B86" s="110">
        <f t="shared" si="31"/>
        <v>0</v>
      </c>
      <c r="C86" s="110">
        <f t="shared" si="32"/>
        <v>0</v>
      </c>
      <c r="D86" s="111">
        <f t="shared" si="22"/>
        <v>0</v>
      </c>
      <c r="E86" s="110">
        <f t="shared" si="23"/>
        <v>0</v>
      </c>
      <c r="F86" s="110">
        <f t="shared" si="33"/>
        <v>0</v>
      </c>
      <c r="G86" s="110">
        <f t="shared" si="24"/>
        <v>0</v>
      </c>
      <c r="H86" s="107">
        <f t="shared" si="34"/>
        <v>0</v>
      </c>
      <c r="I86" s="107">
        <f t="shared" si="35"/>
        <v>0</v>
      </c>
      <c r="J86" s="108">
        <f t="shared" si="25"/>
        <v>0</v>
      </c>
      <c r="K86" s="107">
        <f t="shared" si="36"/>
        <v>0</v>
      </c>
      <c r="L86" s="114">
        <f t="shared" si="37"/>
        <v>0</v>
      </c>
      <c r="M86" s="105">
        <f t="shared" si="38"/>
        <v>0</v>
      </c>
      <c r="N86" s="105">
        <f t="shared" si="39"/>
        <v>0</v>
      </c>
      <c r="O86" s="106">
        <f t="shared" si="18"/>
        <v>0</v>
      </c>
      <c r="P86" s="105">
        <f t="shared" si="26"/>
        <v>0</v>
      </c>
      <c r="Q86" s="115">
        <f t="shared" si="21"/>
        <v>0</v>
      </c>
      <c r="R86" s="110">
        <f t="shared" si="27"/>
        <v>0</v>
      </c>
      <c r="S86" s="128">
        <f t="shared" si="28"/>
        <v>0</v>
      </c>
      <c r="T86" s="128">
        <f t="shared" si="29"/>
        <v>0</v>
      </c>
      <c r="U86" s="128">
        <f>IF(A86&lt;=$C$16,$U$23-($U$23*95%),0)</f>
        <v>0</v>
      </c>
      <c r="V86" s="116">
        <f t="shared" si="30"/>
        <v>0</v>
      </c>
    </row>
    <row r="87" spans="1:23">
      <c r="A87" s="109">
        <v>57</v>
      </c>
      <c r="B87" s="110">
        <f t="shared" si="31"/>
        <v>0</v>
      </c>
      <c r="C87" s="110">
        <f t="shared" si="32"/>
        <v>0</v>
      </c>
      <c r="D87" s="111">
        <f t="shared" si="22"/>
        <v>0</v>
      </c>
      <c r="E87" s="110">
        <f t="shared" si="23"/>
        <v>0</v>
      </c>
      <c r="F87" s="110">
        <f t="shared" si="33"/>
        <v>0</v>
      </c>
      <c r="G87" s="110">
        <f t="shared" si="24"/>
        <v>0</v>
      </c>
      <c r="H87" s="107">
        <f t="shared" si="34"/>
        <v>0</v>
      </c>
      <c r="I87" s="107">
        <f t="shared" si="35"/>
        <v>0</v>
      </c>
      <c r="J87" s="108">
        <f t="shared" si="25"/>
        <v>0</v>
      </c>
      <c r="K87" s="107">
        <f t="shared" si="36"/>
        <v>0</v>
      </c>
      <c r="L87" s="114">
        <f t="shared" si="37"/>
        <v>0</v>
      </c>
      <c r="M87" s="105">
        <f t="shared" si="38"/>
        <v>0</v>
      </c>
      <c r="N87" s="105">
        <f t="shared" si="39"/>
        <v>0</v>
      </c>
      <c r="O87" s="106">
        <f t="shared" si="18"/>
        <v>0</v>
      </c>
      <c r="P87" s="105">
        <f t="shared" si="26"/>
        <v>0</v>
      </c>
      <c r="Q87" s="115">
        <f t="shared" si="21"/>
        <v>0</v>
      </c>
      <c r="R87" s="110">
        <f t="shared" si="27"/>
        <v>0</v>
      </c>
      <c r="S87" s="128">
        <f t="shared" si="28"/>
        <v>0</v>
      </c>
      <c r="T87" s="128">
        <f t="shared" si="29"/>
        <v>0</v>
      </c>
      <c r="U87" s="128">
        <f>IF(A87&lt;=$C$16,$U$23-($U$23*95%),0)</f>
        <v>0</v>
      </c>
      <c r="V87" s="116">
        <f t="shared" si="30"/>
        <v>0</v>
      </c>
    </row>
    <row r="88" spans="1:23">
      <c r="A88" s="109">
        <v>58</v>
      </c>
      <c r="B88" s="110">
        <f t="shared" si="31"/>
        <v>0</v>
      </c>
      <c r="C88" s="110">
        <f t="shared" si="32"/>
        <v>0</v>
      </c>
      <c r="D88" s="111">
        <f t="shared" si="22"/>
        <v>0</v>
      </c>
      <c r="E88" s="110">
        <f t="shared" si="23"/>
        <v>0</v>
      </c>
      <c r="F88" s="110">
        <f t="shared" si="33"/>
        <v>0</v>
      </c>
      <c r="G88" s="110">
        <f t="shared" si="24"/>
        <v>0</v>
      </c>
      <c r="H88" s="107">
        <f t="shared" si="34"/>
        <v>0</v>
      </c>
      <c r="I88" s="107">
        <f t="shared" si="35"/>
        <v>0</v>
      </c>
      <c r="J88" s="108">
        <f t="shared" si="25"/>
        <v>0</v>
      </c>
      <c r="K88" s="107">
        <f t="shared" si="36"/>
        <v>0</v>
      </c>
      <c r="L88" s="114">
        <f t="shared" si="37"/>
        <v>0</v>
      </c>
      <c r="M88" s="105">
        <f t="shared" si="38"/>
        <v>0</v>
      </c>
      <c r="N88" s="105">
        <f t="shared" si="39"/>
        <v>0</v>
      </c>
      <c r="O88" s="106">
        <f t="shared" si="18"/>
        <v>0</v>
      </c>
      <c r="P88" s="105">
        <f t="shared" si="26"/>
        <v>0</v>
      </c>
      <c r="Q88" s="115">
        <f t="shared" si="21"/>
        <v>0</v>
      </c>
      <c r="R88" s="110">
        <f t="shared" si="27"/>
        <v>0</v>
      </c>
      <c r="S88" s="128">
        <f t="shared" si="28"/>
        <v>0</v>
      </c>
      <c r="T88" s="128">
        <f t="shared" si="29"/>
        <v>0</v>
      </c>
      <c r="U88" s="128">
        <f>IF(A88&lt;=$C$16,$U$23-($U$23*100%),0)</f>
        <v>0</v>
      </c>
      <c r="V88" s="116">
        <f t="shared" si="30"/>
        <v>0</v>
      </c>
    </row>
    <row r="89" spans="1:23">
      <c r="A89" s="109">
        <v>59</v>
      </c>
      <c r="B89" s="110">
        <f t="shared" si="31"/>
        <v>0</v>
      </c>
      <c r="C89" s="110">
        <f t="shared" si="32"/>
        <v>0</v>
      </c>
      <c r="D89" s="111">
        <f t="shared" si="22"/>
        <v>0</v>
      </c>
      <c r="E89" s="110">
        <f t="shared" si="23"/>
        <v>0</v>
      </c>
      <c r="F89" s="110">
        <f t="shared" si="33"/>
        <v>0</v>
      </c>
      <c r="G89" s="110">
        <f t="shared" si="24"/>
        <v>0</v>
      </c>
      <c r="H89" s="107">
        <f t="shared" si="34"/>
        <v>0</v>
      </c>
      <c r="I89" s="107">
        <f t="shared" si="35"/>
        <v>0</v>
      </c>
      <c r="J89" s="108">
        <f t="shared" si="25"/>
        <v>0</v>
      </c>
      <c r="K89" s="107">
        <f t="shared" si="36"/>
        <v>0</v>
      </c>
      <c r="L89" s="114">
        <f t="shared" si="37"/>
        <v>0</v>
      </c>
      <c r="M89" s="105">
        <f t="shared" si="38"/>
        <v>0</v>
      </c>
      <c r="N89" s="105">
        <f t="shared" si="39"/>
        <v>0</v>
      </c>
      <c r="O89" s="106">
        <f t="shared" si="18"/>
        <v>0</v>
      </c>
      <c r="P89" s="105">
        <f t="shared" si="26"/>
        <v>0</v>
      </c>
      <c r="Q89" s="115">
        <f t="shared" si="21"/>
        <v>0</v>
      </c>
      <c r="R89" s="110">
        <f t="shared" si="27"/>
        <v>0</v>
      </c>
      <c r="S89" s="128">
        <f t="shared" si="28"/>
        <v>0</v>
      </c>
      <c r="T89" s="128">
        <f t="shared" si="29"/>
        <v>0</v>
      </c>
      <c r="U89" s="128">
        <f>IF(A89&lt;=$C$16,$U$23-($U$23*100%),0)</f>
        <v>0</v>
      </c>
      <c r="V89" s="116">
        <f t="shared" si="30"/>
        <v>0</v>
      </c>
    </row>
    <row r="90" spans="1:23">
      <c r="A90" s="109">
        <v>60</v>
      </c>
      <c r="B90" s="110">
        <f t="shared" si="31"/>
        <v>0</v>
      </c>
      <c r="C90" s="110">
        <f t="shared" si="32"/>
        <v>0</v>
      </c>
      <c r="D90" s="111">
        <f t="shared" si="22"/>
        <v>0</v>
      </c>
      <c r="E90" s="110">
        <f t="shared" si="23"/>
        <v>0</v>
      </c>
      <c r="F90" s="110">
        <f t="shared" si="33"/>
        <v>0</v>
      </c>
      <c r="G90" s="110">
        <f t="shared" si="24"/>
        <v>0</v>
      </c>
      <c r="H90" s="107">
        <f t="shared" si="34"/>
        <v>0</v>
      </c>
      <c r="I90" s="107">
        <f t="shared" si="35"/>
        <v>0</v>
      </c>
      <c r="J90" s="108">
        <f t="shared" si="25"/>
        <v>0</v>
      </c>
      <c r="K90" s="107">
        <f t="shared" si="36"/>
        <v>0</v>
      </c>
      <c r="L90" s="114">
        <f t="shared" si="37"/>
        <v>0</v>
      </c>
      <c r="M90" s="105">
        <f t="shared" si="38"/>
        <v>0</v>
      </c>
      <c r="N90" s="105">
        <f t="shared" si="39"/>
        <v>0</v>
      </c>
      <c r="O90" s="106">
        <f t="shared" si="18"/>
        <v>0</v>
      </c>
      <c r="P90" s="105">
        <f t="shared" si="26"/>
        <v>0</v>
      </c>
      <c r="Q90" s="115">
        <f t="shared" si="21"/>
        <v>0</v>
      </c>
      <c r="R90" s="110">
        <f t="shared" si="27"/>
        <v>0</v>
      </c>
      <c r="S90" s="128">
        <f t="shared" si="28"/>
        <v>0</v>
      </c>
      <c r="T90" s="128">
        <f t="shared" si="29"/>
        <v>0</v>
      </c>
      <c r="U90" s="128">
        <f>IF(A90&lt;=$C$16,$U$23-($U$23*100%),0)</f>
        <v>0</v>
      </c>
      <c r="V90" s="116">
        <f t="shared" si="30"/>
        <v>0</v>
      </c>
    </row>
    <row r="91" spans="1:23">
      <c r="E91" s="33"/>
      <c r="J91" s="33">
        <f>SUM(J31:J90)/C16</f>
        <v>692.97526551632018</v>
      </c>
      <c r="O91" s="33">
        <f>SUM(O31:O90)/C16</f>
        <v>258.16725578058976</v>
      </c>
      <c r="T91" s="117"/>
      <c r="U91" s="117"/>
      <c r="V91" s="58"/>
      <c r="W91" s="58"/>
    </row>
    <row r="92" spans="1:23">
      <c r="K92" s="33"/>
    </row>
  </sheetData>
  <mergeCells count="35">
    <mergeCell ref="A19:B19"/>
    <mergeCell ref="A20:B20"/>
    <mergeCell ref="V29:V30"/>
    <mergeCell ref="A14:B14"/>
    <mergeCell ref="A15:B15"/>
    <mergeCell ref="A16:B16"/>
    <mergeCell ref="A17:B17"/>
    <mergeCell ref="A18:B18"/>
    <mergeCell ref="S29:U29"/>
    <mergeCell ref="A9:B9"/>
    <mergeCell ref="A10:B10"/>
    <mergeCell ref="A11:B11"/>
    <mergeCell ref="A12:B12"/>
    <mergeCell ref="A13:B13"/>
    <mergeCell ref="B2:G5"/>
    <mergeCell ref="A29:G29"/>
    <mergeCell ref="H29:L29"/>
    <mergeCell ref="M29:Q29"/>
    <mergeCell ref="A6:B6"/>
    <mergeCell ref="E6:F6"/>
    <mergeCell ref="E11:F11"/>
    <mergeCell ref="E12:F12"/>
    <mergeCell ref="E13:F13"/>
    <mergeCell ref="E14:F14"/>
    <mergeCell ref="E15:F15"/>
    <mergeCell ref="E16:F16"/>
    <mergeCell ref="E17:F17"/>
    <mergeCell ref="E18:F18"/>
    <mergeCell ref="E19:F19"/>
    <mergeCell ref="A8:B8"/>
    <mergeCell ref="I3:J3"/>
    <mergeCell ref="L3:O3"/>
    <mergeCell ref="L4:M4"/>
    <mergeCell ref="N4:O4"/>
    <mergeCell ref="R29:R30"/>
  </mergeCells>
  <phoneticPr fontId="3" type="noConversion"/>
  <dataValidations count="2">
    <dataValidation type="list" allowBlank="1" showInputMessage="1" showErrorMessage="1" sqref="C6" xr:uid="{00000000-0002-0000-0100-000000000000}">
      <formula1>"Arrear, Advance"</formula1>
    </dataValidation>
    <dataValidation type="list" allowBlank="1" showInputMessage="1" showErrorMessage="1" sqref="G6" xr:uid="{00000000-0002-0000-0100-000001000000}">
      <formula1>"Yes, No"</formula1>
    </dataValidation>
  </dataValidations>
  <hyperlinks>
    <hyperlink ref="I8" r:id="rId1" xr:uid="{00000000-0004-0000-0100-000000000000}"/>
    <hyperlink ref="I9" r:id="rId2" xr:uid="{00000000-0004-0000-0100-000001000000}"/>
  </hyperlinks>
  <pageMargins left="0.15748031496062992" right="0.15748031496062992" top="0.19685039370078741" bottom="0.19685039370078741" header="0.51181102362204722" footer="0.51181102362204722"/>
  <pageSetup scale="95"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4"/>
  <sheetViews>
    <sheetView showGridLines="0" workbookViewId="0">
      <selection activeCell="B7" sqref="B7"/>
    </sheetView>
  </sheetViews>
  <sheetFormatPr defaultRowHeight="12.75"/>
  <cols>
    <col min="1" max="1" width="11.140625" customWidth="1"/>
    <col min="2" max="2" width="19.140625" customWidth="1"/>
    <col min="3" max="3" width="18.42578125" customWidth="1"/>
    <col min="4" max="4" width="14.42578125" customWidth="1"/>
    <col min="5" max="5" width="12.85546875" customWidth="1"/>
    <col min="6" max="6" width="14.7109375" customWidth="1"/>
    <col min="7" max="7" width="13.7109375" customWidth="1"/>
    <col min="8" max="8" width="12" style="1" customWidth="1"/>
    <col min="9" max="9" width="12.5703125" style="1" customWidth="1"/>
    <col min="10" max="10" width="14.5703125" style="1" customWidth="1"/>
    <col min="11" max="11" width="12" style="1" customWidth="1"/>
    <col min="12" max="12" width="14.140625" style="1" customWidth="1"/>
    <col min="13" max="13" width="9.140625" style="1"/>
    <col min="14" max="14" width="10.7109375" style="41" bestFit="1" customWidth="1"/>
    <col min="15" max="15" width="9.140625" style="1"/>
  </cols>
  <sheetData>
    <row r="1" spans="1:16" ht="13.5" thickBot="1"/>
    <row r="2" spans="1:16">
      <c r="A2" s="196" t="s">
        <v>115</v>
      </c>
      <c r="B2" s="197"/>
      <c r="C2" s="197"/>
      <c r="D2" s="197"/>
      <c r="E2" s="197"/>
      <c r="F2" s="197"/>
      <c r="G2" s="197"/>
      <c r="H2" s="197"/>
      <c r="I2" s="197"/>
      <c r="J2" s="197"/>
      <c r="K2" s="197"/>
      <c r="L2" s="198"/>
    </row>
    <row r="3" spans="1:16">
      <c r="A3" s="199"/>
      <c r="B3" s="200"/>
      <c r="C3" s="200"/>
      <c r="D3" s="200"/>
      <c r="E3" s="200"/>
      <c r="F3" s="200"/>
      <c r="G3" s="200"/>
      <c r="H3" s="200"/>
      <c r="I3" s="200"/>
      <c r="J3" s="200"/>
      <c r="K3" s="200"/>
      <c r="L3" s="201"/>
    </row>
    <row r="4" spans="1:16" ht="17.25" customHeight="1">
      <c r="A4" s="199"/>
      <c r="B4" s="200"/>
      <c r="C4" s="200"/>
      <c r="D4" s="200"/>
      <c r="E4" s="200"/>
      <c r="F4" s="200"/>
      <c r="G4" s="200"/>
      <c r="H4" s="200"/>
      <c r="I4" s="200"/>
      <c r="J4" s="200"/>
      <c r="K4" s="200"/>
      <c r="L4" s="201"/>
    </row>
    <row r="5" spans="1:16">
      <c r="A5" s="22"/>
      <c r="B5" s="44" t="s">
        <v>77</v>
      </c>
      <c r="C5" s="44" t="s">
        <v>116</v>
      </c>
      <c r="D5" s="44" t="s">
        <v>117</v>
      </c>
      <c r="E5" s="44" t="s">
        <v>118</v>
      </c>
      <c r="F5" s="10"/>
      <c r="G5" s="10"/>
      <c r="H5" s="10"/>
      <c r="I5" s="10"/>
      <c r="J5" s="10"/>
      <c r="K5" s="10"/>
      <c r="L5" s="23"/>
      <c r="O5" s="42"/>
    </row>
    <row r="6" spans="1:16">
      <c r="A6" s="12" t="s">
        <v>119</v>
      </c>
      <c r="B6" s="18">
        <f>Quotation!C12+(Quotation!J9/(1+0.18))+(Quotation!J8/(1+0.28))</f>
        <v>1034482.7586206895</v>
      </c>
      <c r="C6" s="18">
        <f>Quotation!C8+Quotation!J9+Quotation!J8</f>
        <v>1500000</v>
      </c>
      <c r="D6" s="18">
        <f>+C6-B6</f>
        <v>465517.24137931049</v>
      </c>
      <c r="E6" s="43">
        <v>0</v>
      </c>
      <c r="F6" s="10"/>
      <c r="G6" s="10"/>
      <c r="H6" s="10"/>
      <c r="I6" s="10"/>
      <c r="J6" s="10"/>
      <c r="K6" s="10"/>
      <c r="L6" s="23"/>
    </row>
    <row r="7" spans="1:16">
      <c r="A7" s="12" t="s">
        <v>120</v>
      </c>
      <c r="B7" s="19">
        <f>Quotation!C19*(1-E6)</f>
        <v>0.1</v>
      </c>
      <c r="C7" s="20"/>
      <c r="D7" s="4"/>
      <c r="E7" s="24"/>
      <c r="F7" s="10"/>
      <c r="G7" s="10"/>
      <c r="H7" s="10"/>
      <c r="I7" s="10"/>
      <c r="J7" s="10"/>
      <c r="K7" s="10"/>
      <c r="L7" s="23"/>
      <c r="O7" s="41"/>
    </row>
    <row r="8" spans="1:16">
      <c r="A8" s="12" t="s">
        <v>121</v>
      </c>
      <c r="B8" s="4">
        <f>Quotation!C16</f>
        <v>48</v>
      </c>
      <c r="C8" s="4"/>
      <c r="D8" s="4"/>
      <c r="E8" s="10"/>
      <c r="F8" s="10"/>
      <c r="G8" s="10"/>
      <c r="H8" s="10"/>
      <c r="I8" s="10"/>
      <c r="J8" s="10"/>
      <c r="K8" s="10"/>
      <c r="L8" s="23"/>
    </row>
    <row r="9" spans="1:16">
      <c r="A9" s="12" t="s">
        <v>22</v>
      </c>
      <c r="B9" s="18">
        <f>Quotation!C18</f>
        <v>258620.68965517238</v>
      </c>
      <c r="C9" s="4"/>
      <c r="D9" s="4"/>
      <c r="E9" s="10"/>
      <c r="F9" s="10"/>
      <c r="G9" s="10"/>
      <c r="H9" s="10"/>
      <c r="I9" s="10"/>
      <c r="J9" s="10"/>
      <c r="K9" s="10"/>
      <c r="L9" s="23"/>
    </row>
    <row r="10" spans="1:16">
      <c r="A10" s="132" t="s">
        <v>14</v>
      </c>
      <c r="B10" s="133">
        <f>Quotation!C20</f>
        <v>21833.038871786608</v>
      </c>
      <c r="C10" s="21"/>
      <c r="D10" s="4"/>
      <c r="E10" s="10"/>
      <c r="F10" s="10"/>
      <c r="G10" s="10"/>
      <c r="H10" s="11"/>
      <c r="I10" s="10"/>
      <c r="J10" s="10"/>
      <c r="K10" s="10"/>
      <c r="L10" s="23"/>
    </row>
    <row r="11" spans="1:16">
      <c r="A11" s="12"/>
      <c r="B11" s="10"/>
      <c r="C11" s="10"/>
      <c r="D11" s="10"/>
      <c r="E11" s="4" t="s">
        <v>122</v>
      </c>
      <c r="F11" s="10"/>
      <c r="G11" s="10"/>
      <c r="H11" s="10"/>
      <c r="I11" s="4"/>
      <c r="J11" s="202" t="s">
        <v>123</v>
      </c>
      <c r="K11" s="203"/>
      <c r="L11" s="23"/>
    </row>
    <row r="12" spans="1:16">
      <c r="A12" s="129" t="s">
        <v>124</v>
      </c>
      <c r="B12" s="130" t="s">
        <v>125</v>
      </c>
      <c r="C12" s="130" t="s">
        <v>14</v>
      </c>
      <c r="D12" s="130" t="s">
        <v>126</v>
      </c>
      <c r="E12" s="130" t="s">
        <v>127</v>
      </c>
      <c r="F12" s="130" t="s">
        <v>128</v>
      </c>
      <c r="G12" s="130" t="s">
        <v>40</v>
      </c>
      <c r="H12" s="130" t="s">
        <v>129</v>
      </c>
      <c r="I12" s="130" t="s">
        <v>130</v>
      </c>
      <c r="J12" s="130" t="s">
        <v>131</v>
      </c>
      <c r="K12" s="130" t="s">
        <v>40</v>
      </c>
      <c r="L12" s="131" t="s">
        <v>98</v>
      </c>
      <c r="M12" s="5"/>
    </row>
    <row r="13" spans="1:16">
      <c r="A13" s="13">
        <v>1</v>
      </c>
      <c r="B13" s="14">
        <f>IF(A13&lt;=$B$8,B6-B10,0)</f>
        <v>1012649.7197489029</v>
      </c>
      <c r="C13" s="14">
        <f>IF(A13&lt;=$B$8,SUM(D13:E13),0)</f>
        <v>21833.038871786608</v>
      </c>
      <c r="D13" s="15">
        <f>IF(A13&lt;=$B$8,B13*(Quotation!$J$15/12),0)</f>
        <v>8438.7476645741917</v>
      </c>
      <c r="E13" s="16">
        <f>IF(A13&lt;=$B$8,$B$10-D13,0)</f>
        <v>13394.291207212416</v>
      </c>
      <c r="F13" s="14">
        <f>IF(A13&lt;=$B$8,B6-E13,0)</f>
        <v>1021088.4674134771</v>
      </c>
      <c r="G13" s="14">
        <f>IF(A13&lt;=$B$8,+C13*Quotation!$J$14,0)</f>
        <v>9824.8674923039744</v>
      </c>
      <c r="H13" s="14">
        <f>IF(A13&lt;=$B$8,D6,0)</f>
        <v>465517.24137931049</v>
      </c>
      <c r="I13" s="14">
        <f>IF(A13&lt;=$B$8,+H13*$B$7/12,0)</f>
        <v>3879.3103448275874</v>
      </c>
      <c r="J13" s="14">
        <f>IF(A13&lt;=$B$8,I74,0)</f>
        <v>1955.2737942513952</v>
      </c>
      <c r="K13" s="14">
        <f>IF(A13&lt;=$B$8,+J13*Quotation!$J$14,0)</f>
        <v>879.87320741312783</v>
      </c>
      <c r="L13" s="17">
        <f>IF(A13&lt;=$B$8,+C13+G13+J13+K13,0)</f>
        <v>34493.053365755099</v>
      </c>
      <c r="M13" s="9"/>
      <c r="P13" s="2"/>
    </row>
    <row r="14" spans="1:16">
      <c r="A14" s="13">
        <f t="shared" ref="A14:A72" si="0">A13+1</f>
        <v>2</v>
      </c>
      <c r="B14" s="14">
        <f>IF(A14&lt;=$B$8,B13-E13,0)</f>
        <v>999255.42854169058</v>
      </c>
      <c r="C14" s="14">
        <f>IF(A14&lt;=$B$8,SUM(D14:E14),0)</f>
        <v>21833.038871786608</v>
      </c>
      <c r="D14" s="15">
        <f>IF(A14&lt;=$B$8,B14*(Quotation!$J$15/12),0)</f>
        <v>8327.1285711807541</v>
      </c>
      <c r="E14" s="16">
        <f>IF(A14&lt;=$B$8,$B$10-D14,0)</f>
        <v>13505.910300605854</v>
      </c>
      <c r="F14" s="14">
        <f>IF(A14&lt;=$B$8,F13-E14,0)</f>
        <v>1007582.5571128713</v>
      </c>
      <c r="G14" s="14">
        <f>IF(A14&lt;=$B$8,+C14*Quotation!$J$14,0)</f>
        <v>9824.8674923039744</v>
      </c>
      <c r="H14" s="14">
        <f>IF(A14&lt;=$B$8,IF((H13-G14)&gt;0,H13-G14,0),0)</f>
        <v>455692.37388700654</v>
      </c>
      <c r="I14" s="14">
        <f>IF(A14&lt;=$B$8,+H14*$B$7/12,0)</f>
        <v>3797.436449058388</v>
      </c>
      <c r="J14" s="14">
        <f>IF(A14&lt;=$B$8,+J13,0)</f>
        <v>1955.2737942513952</v>
      </c>
      <c r="K14" s="14">
        <f>IF(A14&lt;=$B$8,+J14*Quotation!$J$14,0)</f>
        <v>879.87320741312783</v>
      </c>
      <c r="L14" s="17">
        <f>IF(A14&lt;=$B$8,+C14+G14+J14+K14,0)</f>
        <v>34493.053365755099</v>
      </c>
      <c r="M14" s="9"/>
      <c r="P14" s="2"/>
    </row>
    <row r="15" spans="1:16">
      <c r="A15" s="13">
        <f t="shared" si="0"/>
        <v>3</v>
      </c>
      <c r="B15" s="14">
        <f t="shared" ref="B15:B72" si="1">IF(A15&lt;=$B$8,B14-E14,0)</f>
        <v>985749.51824108476</v>
      </c>
      <c r="C15" s="14">
        <f t="shared" ref="C15:C72" si="2">IF(A15&lt;=$B$8,SUM(D15:E15),0)</f>
        <v>21833.038871786608</v>
      </c>
      <c r="D15" s="15">
        <f>IF(A15&lt;=$B$8,B15*(Quotation!$J$15/12),0)</f>
        <v>8214.5793186757055</v>
      </c>
      <c r="E15" s="16">
        <f t="shared" ref="E15:E72" si="3">IF(A15&lt;=$B$8,$B$10-D15,0)</f>
        <v>13618.459553110903</v>
      </c>
      <c r="F15" s="14">
        <f t="shared" ref="F15:F72" si="4">IF(A15&lt;=$B$8,F14-E15,0)</f>
        <v>993964.09755976044</v>
      </c>
      <c r="G15" s="14">
        <f>IF(A15&lt;=$B$8,+C15*Quotation!$J$14,0)</f>
        <v>9824.8674923039744</v>
      </c>
      <c r="H15" s="14">
        <f t="shared" ref="H15:H72" si="5">IF(A15&lt;=$B$8,IF((H14-G15)&gt;0,H14-G15,0),0)</f>
        <v>445867.50639470259</v>
      </c>
      <c r="I15" s="14">
        <f t="shared" ref="I15:I72" si="6">IF(A15&lt;=$B$8,+H15*$B$7/12,0)</f>
        <v>3715.5625532891886</v>
      </c>
      <c r="J15" s="14">
        <f t="shared" ref="J15:J72" si="7">IF(A15&lt;=$B$8,+J14,0)</f>
        <v>1955.2737942513952</v>
      </c>
      <c r="K15" s="14">
        <f>IF(A15&lt;=$B$8,+J15*Quotation!$J$14,0)</f>
        <v>879.87320741312783</v>
      </c>
      <c r="L15" s="17">
        <f t="shared" ref="L15:L72" si="8">IF(A15&lt;=$B$8,+C15+G15+J15+K15,0)</f>
        <v>34493.053365755099</v>
      </c>
      <c r="M15" s="9"/>
      <c r="P15" s="2"/>
    </row>
    <row r="16" spans="1:16">
      <c r="A16" s="13">
        <f t="shared" si="0"/>
        <v>4</v>
      </c>
      <c r="B16" s="14">
        <f t="shared" si="1"/>
        <v>972131.05868797388</v>
      </c>
      <c r="C16" s="14">
        <f t="shared" si="2"/>
        <v>21833.038871786608</v>
      </c>
      <c r="D16" s="15">
        <f>IF(A16&lt;=$B$8,B16*(Quotation!$J$15/12),0)</f>
        <v>8101.0921557331158</v>
      </c>
      <c r="E16" s="16">
        <f t="shared" si="3"/>
        <v>13731.946716053491</v>
      </c>
      <c r="F16" s="14">
        <f t="shared" si="4"/>
        <v>980232.15084370691</v>
      </c>
      <c r="G16" s="14">
        <f>IF(A16&lt;=$B$8,+C16*Quotation!$J$14,0)</f>
        <v>9824.8674923039744</v>
      </c>
      <c r="H16" s="14">
        <f t="shared" si="5"/>
        <v>436042.63890239864</v>
      </c>
      <c r="I16" s="14">
        <f t="shared" si="6"/>
        <v>3633.6886575199892</v>
      </c>
      <c r="J16" s="14">
        <f t="shared" si="7"/>
        <v>1955.2737942513952</v>
      </c>
      <c r="K16" s="14">
        <f>IF(A16&lt;=$B$8,+J16*Quotation!$J$14,0)</f>
        <v>879.87320741312783</v>
      </c>
      <c r="L16" s="17">
        <f t="shared" si="8"/>
        <v>34493.053365755099</v>
      </c>
      <c r="M16" s="9"/>
      <c r="P16" s="2"/>
    </row>
    <row r="17" spans="1:16">
      <c r="A17" s="13">
        <f t="shared" si="0"/>
        <v>5</v>
      </c>
      <c r="B17" s="14">
        <f t="shared" si="1"/>
        <v>958399.11197192036</v>
      </c>
      <c r="C17" s="14">
        <f t="shared" si="2"/>
        <v>21833.038871786608</v>
      </c>
      <c r="D17" s="15">
        <f>IF(A17&lt;=$B$8,B17*(Quotation!$J$15/12),0)</f>
        <v>7986.6592664326699</v>
      </c>
      <c r="E17" s="16">
        <f t="shared" si="3"/>
        <v>13846.379605353937</v>
      </c>
      <c r="F17" s="14">
        <f t="shared" si="4"/>
        <v>966385.77123835299</v>
      </c>
      <c r="G17" s="14">
        <f>IF(A17&lt;=$B$8,+C17*Quotation!$J$14,0)</f>
        <v>9824.8674923039744</v>
      </c>
      <c r="H17" s="14">
        <f t="shared" si="5"/>
        <v>426217.77141009469</v>
      </c>
      <c r="I17" s="14">
        <f t="shared" si="6"/>
        <v>3551.8147617507893</v>
      </c>
      <c r="J17" s="14">
        <f t="shared" si="7"/>
        <v>1955.2737942513952</v>
      </c>
      <c r="K17" s="14">
        <f>IF(A17&lt;=$B$8,+J17*Quotation!$J$14,0)</f>
        <v>879.87320741312783</v>
      </c>
      <c r="L17" s="17">
        <f t="shared" si="8"/>
        <v>34493.053365755099</v>
      </c>
      <c r="M17" s="9"/>
      <c r="P17" s="2"/>
    </row>
    <row r="18" spans="1:16">
      <c r="A18" s="13">
        <f t="shared" si="0"/>
        <v>6</v>
      </c>
      <c r="B18" s="14">
        <f t="shared" si="1"/>
        <v>944552.73236656643</v>
      </c>
      <c r="C18" s="14">
        <f t="shared" si="2"/>
        <v>21833.038871786608</v>
      </c>
      <c r="D18" s="15">
        <f>IF(A18&lt;=$B$8,B18*(Quotation!$J$15/12),0)</f>
        <v>7871.2727697213868</v>
      </c>
      <c r="E18" s="16">
        <f t="shared" si="3"/>
        <v>13961.766102065221</v>
      </c>
      <c r="F18" s="14">
        <f t="shared" si="4"/>
        <v>952424.00513628777</v>
      </c>
      <c r="G18" s="14">
        <f>IF(A18&lt;=$B$8,+C18*Quotation!$J$14,0)</f>
        <v>9824.8674923039744</v>
      </c>
      <c r="H18" s="14">
        <f t="shared" si="5"/>
        <v>416392.90391779074</v>
      </c>
      <c r="I18" s="14">
        <f t="shared" si="6"/>
        <v>3469.9408659815895</v>
      </c>
      <c r="J18" s="14">
        <f t="shared" si="7"/>
        <v>1955.2737942513952</v>
      </c>
      <c r="K18" s="14">
        <f>IF(A18&lt;=$B$8,+J18*Quotation!$J$14,0)</f>
        <v>879.87320741312783</v>
      </c>
      <c r="L18" s="17">
        <f t="shared" si="8"/>
        <v>34493.053365755099</v>
      </c>
      <c r="M18" s="9"/>
      <c r="P18" s="2"/>
    </row>
    <row r="19" spans="1:16">
      <c r="A19" s="13">
        <f t="shared" si="0"/>
        <v>7</v>
      </c>
      <c r="B19" s="14">
        <f t="shared" si="1"/>
        <v>930590.96626450121</v>
      </c>
      <c r="C19" s="14">
        <f t="shared" si="2"/>
        <v>21833.038871786608</v>
      </c>
      <c r="D19" s="15">
        <f>IF(A19&lt;=$B$8,B19*(Quotation!$J$15/12),0)</f>
        <v>7754.9247188708432</v>
      </c>
      <c r="E19" s="16">
        <f t="shared" si="3"/>
        <v>14078.114152915765</v>
      </c>
      <c r="F19" s="14">
        <f t="shared" si="4"/>
        <v>938345.890983372</v>
      </c>
      <c r="G19" s="14">
        <f>IF(A19&lt;=$B$8,+C19*Quotation!$J$14,0)</f>
        <v>9824.8674923039744</v>
      </c>
      <c r="H19" s="14">
        <f t="shared" si="5"/>
        <v>406568.03642548679</v>
      </c>
      <c r="I19" s="14">
        <f t="shared" si="6"/>
        <v>3388.0669702123901</v>
      </c>
      <c r="J19" s="14">
        <f t="shared" si="7"/>
        <v>1955.2737942513952</v>
      </c>
      <c r="K19" s="14">
        <f>IF(A19&lt;=$B$8,+J19*Quotation!$J$14,0)</f>
        <v>879.87320741312783</v>
      </c>
      <c r="L19" s="17">
        <f t="shared" si="8"/>
        <v>34493.053365755099</v>
      </c>
      <c r="M19" s="9"/>
      <c r="P19" s="2"/>
    </row>
    <row r="20" spans="1:16">
      <c r="A20" s="13">
        <f t="shared" si="0"/>
        <v>8</v>
      </c>
      <c r="B20" s="14">
        <f t="shared" si="1"/>
        <v>916512.85211158544</v>
      </c>
      <c r="C20" s="14">
        <f t="shared" si="2"/>
        <v>21833.038871786608</v>
      </c>
      <c r="D20" s="15">
        <f>IF(A20&lt;=$B$8,B20*(Quotation!$J$15/12),0)</f>
        <v>7637.6071009298785</v>
      </c>
      <c r="E20" s="16">
        <f t="shared" si="3"/>
        <v>14195.431770856729</v>
      </c>
      <c r="F20" s="14">
        <f t="shared" si="4"/>
        <v>924150.45921251527</v>
      </c>
      <c r="G20" s="14">
        <f>IF(A20&lt;=$B$8,+C20*Quotation!$J$14,0)</f>
        <v>9824.8674923039744</v>
      </c>
      <c r="H20" s="14">
        <f t="shared" si="5"/>
        <v>396743.16893318284</v>
      </c>
      <c r="I20" s="14">
        <f t="shared" si="6"/>
        <v>3306.1930744431907</v>
      </c>
      <c r="J20" s="14">
        <f t="shared" si="7"/>
        <v>1955.2737942513952</v>
      </c>
      <c r="K20" s="14">
        <f>IF(A20&lt;=$B$8,+J20*Quotation!$J$14,0)</f>
        <v>879.87320741312783</v>
      </c>
      <c r="L20" s="17">
        <f t="shared" si="8"/>
        <v>34493.053365755099</v>
      </c>
      <c r="M20" s="9"/>
      <c r="P20" s="2"/>
    </row>
    <row r="21" spans="1:16">
      <c r="A21" s="13">
        <f t="shared" si="0"/>
        <v>9</v>
      </c>
      <c r="B21" s="14">
        <f t="shared" si="1"/>
        <v>902317.42034072871</v>
      </c>
      <c r="C21" s="14">
        <f t="shared" si="2"/>
        <v>21833.038871786608</v>
      </c>
      <c r="D21" s="15">
        <f>IF(A21&lt;=$B$8,B21*(Quotation!$J$15/12),0)</f>
        <v>7519.3118361727393</v>
      </c>
      <c r="E21" s="16">
        <f t="shared" si="3"/>
        <v>14313.727035613869</v>
      </c>
      <c r="F21" s="14">
        <f t="shared" si="4"/>
        <v>909836.73217690142</v>
      </c>
      <c r="G21" s="14">
        <f>IF(A21&lt;=$B$8,+C21*Quotation!$J$14,0)</f>
        <v>9824.8674923039744</v>
      </c>
      <c r="H21" s="14">
        <f t="shared" si="5"/>
        <v>386918.30144087889</v>
      </c>
      <c r="I21" s="14">
        <f t="shared" si="6"/>
        <v>3224.3191786739912</v>
      </c>
      <c r="J21" s="14">
        <f t="shared" si="7"/>
        <v>1955.2737942513952</v>
      </c>
      <c r="K21" s="14">
        <f>IF(A21&lt;=$B$8,+J21*Quotation!$J$14,0)</f>
        <v>879.87320741312783</v>
      </c>
      <c r="L21" s="17">
        <f t="shared" si="8"/>
        <v>34493.053365755099</v>
      </c>
      <c r="M21" s="9"/>
      <c r="P21" s="2"/>
    </row>
    <row r="22" spans="1:16">
      <c r="A22" s="13">
        <f t="shared" si="0"/>
        <v>10</v>
      </c>
      <c r="B22" s="14">
        <f t="shared" si="1"/>
        <v>888003.69330511487</v>
      </c>
      <c r="C22" s="14">
        <f t="shared" si="2"/>
        <v>21833.038871786608</v>
      </c>
      <c r="D22" s="15">
        <f>IF(A22&lt;=$B$8,B22*(Quotation!$J$15/12),0)</f>
        <v>7400.0307775426236</v>
      </c>
      <c r="E22" s="16">
        <f t="shared" si="3"/>
        <v>14433.008094243985</v>
      </c>
      <c r="F22" s="14">
        <f t="shared" si="4"/>
        <v>895403.72408265749</v>
      </c>
      <c r="G22" s="14">
        <f>IF(A22&lt;=$B$8,+C22*Quotation!$J$14,0)</f>
        <v>9824.8674923039744</v>
      </c>
      <c r="H22" s="14">
        <f t="shared" si="5"/>
        <v>377093.43394857494</v>
      </c>
      <c r="I22" s="14">
        <f t="shared" si="6"/>
        <v>3142.4452829047914</v>
      </c>
      <c r="J22" s="14">
        <f t="shared" si="7"/>
        <v>1955.2737942513952</v>
      </c>
      <c r="K22" s="14">
        <f>IF(A22&lt;=$B$8,+J22*Quotation!$J$14,0)</f>
        <v>879.87320741312783</v>
      </c>
      <c r="L22" s="17">
        <f t="shared" si="8"/>
        <v>34493.053365755099</v>
      </c>
      <c r="M22" s="9"/>
      <c r="P22" s="2"/>
    </row>
    <row r="23" spans="1:16">
      <c r="A23" s="13">
        <f t="shared" si="0"/>
        <v>11</v>
      </c>
      <c r="B23" s="14">
        <f t="shared" si="1"/>
        <v>873570.68521087093</v>
      </c>
      <c r="C23" s="14">
        <f t="shared" si="2"/>
        <v>21833.038871786608</v>
      </c>
      <c r="D23" s="15">
        <f>IF(A23&lt;=$B$8,B23*(Quotation!$J$15/12),0)</f>
        <v>7279.7557100905906</v>
      </c>
      <c r="E23" s="16">
        <f t="shared" si="3"/>
        <v>14553.283161696017</v>
      </c>
      <c r="F23" s="14">
        <f t="shared" si="4"/>
        <v>880850.44092096144</v>
      </c>
      <c r="G23" s="14">
        <f>IF(A23&lt;=$B$8,+C23*Quotation!$J$14,0)</f>
        <v>9824.8674923039744</v>
      </c>
      <c r="H23" s="14">
        <f t="shared" si="5"/>
        <v>367268.56645627099</v>
      </c>
      <c r="I23" s="14">
        <f t="shared" si="6"/>
        <v>3060.5713871355915</v>
      </c>
      <c r="J23" s="14">
        <f t="shared" si="7"/>
        <v>1955.2737942513952</v>
      </c>
      <c r="K23" s="14">
        <f>IF(A23&lt;=$B$8,+J23*Quotation!$J$14,0)</f>
        <v>879.87320741312783</v>
      </c>
      <c r="L23" s="17">
        <f t="shared" si="8"/>
        <v>34493.053365755099</v>
      </c>
      <c r="M23" s="9"/>
      <c r="P23" s="2"/>
    </row>
    <row r="24" spans="1:16">
      <c r="A24" s="13">
        <f t="shared" si="0"/>
        <v>12</v>
      </c>
      <c r="B24" s="14">
        <f t="shared" si="1"/>
        <v>859017.40204917488</v>
      </c>
      <c r="C24" s="14">
        <f t="shared" si="2"/>
        <v>21833.038871786608</v>
      </c>
      <c r="D24" s="15">
        <f>IF(A24&lt;=$B$8,B24*(Quotation!$J$15/12),0)</f>
        <v>7158.4783504097904</v>
      </c>
      <c r="E24" s="16">
        <f t="shared" si="3"/>
        <v>14674.560521376818</v>
      </c>
      <c r="F24" s="14">
        <f t="shared" si="4"/>
        <v>866175.88039958465</v>
      </c>
      <c r="G24" s="14">
        <f>IF(A24&lt;=$B$8,+C24*Quotation!$J$14,0)</f>
        <v>9824.8674923039744</v>
      </c>
      <c r="H24" s="14">
        <f t="shared" si="5"/>
        <v>357443.69896396704</v>
      </c>
      <c r="I24" s="14">
        <f t="shared" si="6"/>
        <v>2978.6974913663921</v>
      </c>
      <c r="J24" s="14">
        <f t="shared" si="7"/>
        <v>1955.2737942513952</v>
      </c>
      <c r="K24" s="14">
        <f>IF(A24&lt;=$B$8,+J24*Quotation!$J$14,0)</f>
        <v>879.87320741312783</v>
      </c>
      <c r="L24" s="17">
        <f t="shared" si="8"/>
        <v>34493.053365755099</v>
      </c>
      <c r="M24" s="9"/>
      <c r="P24" s="2"/>
    </row>
    <row r="25" spans="1:16">
      <c r="A25" s="13">
        <f t="shared" si="0"/>
        <v>13</v>
      </c>
      <c r="B25" s="14">
        <f t="shared" si="1"/>
        <v>844342.8415277981</v>
      </c>
      <c r="C25" s="14">
        <f t="shared" si="2"/>
        <v>21833.038871786608</v>
      </c>
      <c r="D25" s="15">
        <f>IF(A25&lt;=$B$8,B25*(Quotation!$J$15/12),0)</f>
        <v>7036.1903460649837</v>
      </c>
      <c r="E25" s="16">
        <f t="shared" si="3"/>
        <v>14796.848525721623</v>
      </c>
      <c r="F25" s="14">
        <f t="shared" si="4"/>
        <v>851379.03187386307</v>
      </c>
      <c r="G25" s="14">
        <f>IF(A25&lt;=$B$8,+C25*Quotation!$J$14,0)</f>
        <v>9824.8674923039744</v>
      </c>
      <c r="H25" s="14">
        <f t="shared" si="5"/>
        <v>347618.83147166308</v>
      </c>
      <c r="I25" s="14">
        <f t="shared" si="6"/>
        <v>2896.8235955971923</v>
      </c>
      <c r="J25" s="14">
        <f t="shared" si="7"/>
        <v>1955.2737942513952</v>
      </c>
      <c r="K25" s="14">
        <f>IF(A25&lt;=$B$8,+J25*Quotation!$J$14,0)</f>
        <v>879.87320741312783</v>
      </c>
      <c r="L25" s="17">
        <f t="shared" si="8"/>
        <v>34493.053365755099</v>
      </c>
      <c r="M25" s="9"/>
      <c r="P25" s="2"/>
    </row>
    <row r="26" spans="1:16">
      <c r="A26" s="13">
        <f t="shared" si="0"/>
        <v>14</v>
      </c>
      <c r="B26" s="14">
        <f t="shared" si="1"/>
        <v>829545.99300207652</v>
      </c>
      <c r="C26" s="14">
        <f t="shared" si="2"/>
        <v>21833.038871786608</v>
      </c>
      <c r="D26" s="15">
        <f>IF(A26&lt;=$B$8,B26*(Quotation!$J$15/12),0)</f>
        <v>6912.8832750173042</v>
      </c>
      <c r="E26" s="16">
        <f t="shared" si="3"/>
        <v>14920.155596769304</v>
      </c>
      <c r="F26" s="14">
        <f t="shared" si="4"/>
        <v>836458.87627709378</v>
      </c>
      <c r="G26" s="14">
        <f>IF(A26&lt;=$B$8,+C26*Quotation!$J$14,0)</f>
        <v>9824.8674923039744</v>
      </c>
      <c r="H26" s="14">
        <f t="shared" si="5"/>
        <v>337793.96397935913</v>
      </c>
      <c r="I26" s="14">
        <f t="shared" si="6"/>
        <v>2814.9496998279933</v>
      </c>
      <c r="J26" s="14">
        <f t="shared" si="7"/>
        <v>1955.2737942513952</v>
      </c>
      <c r="K26" s="14">
        <f>IF(A26&lt;=$B$8,+J26*Quotation!$J$14,0)</f>
        <v>879.87320741312783</v>
      </c>
      <c r="L26" s="17">
        <f t="shared" si="8"/>
        <v>34493.053365755099</v>
      </c>
      <c r="M26" s="9"/>
      <c r="P26" s="2"/>
    </row>
    <row r="27" spans="1:16">
      <c r="A27" s="13">
        <f t="shared" si="0"/>
        <v>15</v>
      </c>
      <c r="B27" s="14">
        <f t="shared" si="1"/>
        <v>814625.83740530722</v>
      </c>
      <c r="C27" s="14">
        <f t="shared" si="2"/>
        <v>21833.038871786608</v>
      </c>
      <c r="D27" s="15">
        <f>IF(A27&lt;=$B$8,B27*(Quotation!$J$15/12),0)</f>
        <v>6788.5486450442268</v>
      </c>
      <c r="E27" s="16">
        <f t="shared" si="3"/>
        <v>15044.490226742382</v>
      </c>
      <c r="F27" s="14">
        <f t="shared" si="4"/>
        <v>821414.38605035143</v>
      </c>
      <c r="G27" s="14">
        <f>IF(A27&lt;=$B$8,+C27*Quotation!$J$14,0)</f>
        <v>9824.8674923039744</v>
      </c>
      <c r="H27" s="14">
        <f t="shared" si="5"/>
        <v>327969.09648705518</v>
      </c>
      <c r="I27" s="14">
        <f t="shared" si="6"/>
        <v>2733.0758040587934</v>
      </c>
      <c r="J27" s="14">
        <f t="shared" si="7"/>
        <v>1955.2737942513952</v>
      </c>
      <c r="K27" s="14">
        <f>IF(A27&lt;=$B$8,+J27*Quotation!$J$14,0)</f>
        <v>879.87320741312783</v>
      </c>
      <c r="L27" s="17">
        <f t="shared" si="8"/>
        <v>34493.053365755099</v>
      </c>
      <c r="M27" s="9"/>
      <c r="P27" s="2"/>
    </row>
    <row r="28" spans="1:16">
      <c r="A28" s="13">
        <f t="shared" si="0"/>
        <v>16</v>
      </c>
      <c r="B28" s="14">
        <f t="shared" si="1"/>
        <v>799581.34717856487</v>
      </c>
      <c r="C28" s="14">
        <f t="shared" si="2"/>
        <v>21833.038871786608</v>
      </c>
      <c r="D28" s="15">
        <f>IF(A28&lt;=$B$8,B28*(Quotation!$J$15/12),0)</f>
        <v>6663.1778931547069</v>
      </c>
      <c r="E28" s="16">
        <f t="shared" si="3"/>
        <v>15169.860978631901</v>
      </c>
      <c r="F28" s="14">
        <f t="shared" si="4"/>
        <v>806244.52507171954</v>
      </c>
      <c r="G28" s="14">
        <f>IF(A28&lt;=$B$8,+C28*Quotation!$J$14,0)</f>
        <v>9824.8674923039744</v>
      </c>
      <c r="H28" s="14">
        <f t="shared" si="5"/>
        <v>318144.22899475123</v>
      </c>
      <c r="I28" s="14">
        <f t="shared" si="6"/>
        <v>2651.2019082895936</v>
      </c>
      <c r="J28" s="14">
        <f t="shared" si="7"/>
        <v>1955.2737942513952</v>
      </c>
      <c r="K28" s="14">
        <f>IF(A28&lt;=$B$8,+J28*Quotation!$J$14,0)</f>
        <v>879.87320741312783</v>
      </c>
      <c r="L28" s="17">
        <f t="shared" si="8"/>
        <v>34493.053365755099</v>
      </c>
      <c r="M28" s="9"/>
      <c r="P28" s="2"/>
    </row>
    <row r="29" spans="1:16">
      <c r="A29" s="13">
        <f t="shared" si="0"/>
        <v>17</v>
      </c>
      <c r="B29" s="14">
        <f t="shared" si="1"/>
        <v>784411.48619993299</v>
      </c>
      <c r="C29" s="14">
        <f t="shared" si="2"/>
        <v>21833.038871786608</v>
      </c>
      <c r="D29" s="15">
        <f>IF(A29&lt;=$B$8,B29*(Quotation!$J$15/12),0)</f>
        <v>6536.7623849994416</v>
      </c>
      <c r="E29" s="16">
        <f t="shared" si="3"/>
        <v>15296.276486787167</v>
      </c>
      <c r="F29" s="14">
        <f t="shared" si="4"/>
        <v>790948.24858493241</v>
      </c>
      <c r="G29" s="14">
        <f>IF(A29&lt;=$B$8,+C29*Quotation!$J$14,0)</f>
        <v>9824.8674923039744</v>
      </c>
      <c r="H29" s="14">
        <f t="shared" si="5"/>
        <v>308319.36150244728</v>
      </c>
      <c r="I29" s="14">
        <f t="shared" si="6"/>
        <v>2569.3280125203942</v>
      </c>
      <c r="J29" s="14">
        <f t="shared" si="7"/>
        <v>1955.2737942513952</v>
      </c>
      <c r="K29" s="14">
        <f>IF(A29&lt;=$B$8,+J29*Quotation!$J$14,0)</f>
        <v>879.87320741312783</v>
      </c>
      <c r="L29" s="17">
        <f t="shared" si="8"/>
        <v>34493.053365755099</v>
      </c>
      <c r="M29" s="9"/>
      <c r="P29" s="2"/>
    </row>
    <row r="30" spans="1:16">
      <c r="A30" s="13">
        <f t="shared" si="0"/>
        <v>18</v>
      </c>
      <c r="B30" s="14">
        <f t="shared" si="1"/>
        <v>769115.20971314586</v>
      </c>
      <c r="C30" s="14">
        <f t="shared" si="2"/>
        <v>21833.038871786608</v>
      </c>
      <c r="D30" s="15">
        <f>IF(A30&lt;=$B$8,B30*(Quotation!$J$15/12),0)</f>
        <v>6409.2934142762151</v>
      </c>
      <c r="E30" s="16">
        <f t="shared" si="3"/>
        <v>15423.745457510393</v>
      </c>
      <c r="F30" s="14">
        <f t="shared" si="4"/>
        <v>775524.50312742207</v>
      </c>
      <c r="G30" s="14">
        <f>IF(A30&lt;=$B$8,+C30*Quotation!$J$14,0)</f>
        <v>9824.8674923039744</v>
      </c>
      <c r="H30" s="14">
        <f t="shared" si="5"/>
        <v>298494.49401014333</v>
      </c>
      <c r="I30" s="14">
        <f t="shared" si="6"/>
        <v>2487.4541167511948</v>
      </c>
      <c r="J30" s="14">
        <f t="shared" si="7"/>
        <v>1955.2737942513952</v>
      </c>
      <c r="K30" s="14">
        <f>IF(A30&lt;=$B$8,+J30*Quotation!$J$14,0)</f>
        <v>879.87320741312783</v>
      </c>
      <c r="L30" s="17">
        <f t="shared" si="8"/>
        <v>34493.053365755099</v>
      </c>
      <c r="M30" s="9"/>
      <c r="P30" s="2"/>
    </row>
    <row r="31" spans="1:16">
      <c r="A31" s="13">
        <f t="shared" si="0"/>
        <v>19</v>
      </c>
      <c r="B31" s="14">
        <f t="shared" si="1"/>
        <v>753691.46425563551</v>
      </c>
      <c r="C31" s="14">
        <f t="shared" si="2"/>
        <v>21833.038871786608</v>
      </c>
      <c r="D31" s="15">
        <f>IF(A31&lt;=$B$8,B31*(Quotation!$J$15/12),0)</f>
        <v>6280.7622021302959</v>
      </c>
      <c r="E31" s="16">
        <f t="shared" si="3"/>
        <v>15552.276669656312</v>
      </c>
      <c r="F31" s="14">
        <f t="shared" si="4"/>
        <v>759972.22645776579</v>
      </c>
      <c r="G31" s="14">
        <f>IF(A31&lt;=$B$8,+C31*Quotation!$J$14,0)</f>
        <v>9824.8674923039744</v>
      </c>
      <c r="H31" s="14">
        <f t="shared" si="5"/>
        <v>288669.62651783938</v>
      </c>
      <c r="I31" s="14">
        <f t="shared" si="6"/>
        <v>2405.5802209819949</v>
      </c>
      <c r="J31" s="14">
        <f t="shared" si="7"/>
        <v>1955.2737942513952</v>
      </c>
      <c r="K31" s="14">
        <f>IF(A31&lt;=$B$8,+J31*Quotation!$J$14,0)</f>
        <v>879.87320741312783</v>
      </c>
      <c r="L31" s="17">
        <f t="shared" si="8"/>
        <v>34493.053365755099</v>
      </c>
      <c r="M31" s="9"/>
      <c r="P31" s="2"/>
    </row>
    <row r="32" spans="1:16">
      <c r="A32" s="13">
        <f t="shared" si="0"/>
        <v>20</v>
      </c>
      <c r="B32" s="14">
        <f t="shared" si="1"/>
        <v>738139.18758597923</v>
      </c>
      <c r="C32" s="14">
        <f t="shared" si="2"/>
        <v>21833.038871786608</v>
      </c>
      <c r="D32" s="15">
        <f>IF(A32&lt;=$B$8,B32*(Quotation!$J$15/12),0)</f>
        <v>6151.159896549827</v>
      </c>
      <c r="E32" s="16">
        <f t="shared" si="3"/>
        <v>15681.878975236781</v>
      </c>
      <c r="F32" s="14">
        <f t="shared" si="4"/>
        <v>744290.347482529</v>
      </c>
      <c r="G32" s="14">
        <f>IF(A32&lt;=$B$8,+C32*Quotation!$J$14,0)</f>
        <v>9824.8674923039744</v>
      </c>
      <c r="H32" s="14">
        <f t="shared" si="5"/>
        <v>278844.75902553543</v>
      </c>
      <c r="I32" s="14">
        <f t="shared" si="6"/>
        <v>2323.7063252127955</v>
      </c>
      <c r="J32" s="14">
        <f t="shared" si="7"/>
        <v>1955.2737942513952</v>
      </c>
      <c r="K32" s="14">
        <f>IF(A32&lt;=$B$8,+J32*Quotation!$J$14,0)</f>
        <v>879.87320741312783</v>
      </c>
      <c r="L32" s="17">
        <f t="shared" si="8"/>
        <v>34493.053365755099</v>
      </c>
      <c r="M32" s="9"/>
      <c r="P32" s="2"/>
    </row>
    <row r="33" spans="1:16">
      <c r="A33" s="13">
        <f t="shared" si="0"/>
        <v>21</v>
      </c>
      <c r="B33" s="14">
        <f t="shared" si="1"/>
        <v>722457.30861074245</v>
      </c>
      <c r="C33" s="14">
        <f t="shared" si="2"/>
        <v>21833.038871786608</v>
      </c>
      <c r="D33" s="15">
        <f>IF(A33&lt;=$B$8,B33*(Quotation!$J$15/12),0)</f>
        <v>6020.477571756187</v>
      </c>
      <c r="E33" s="16">
        <f t="shared" si="3"/>
        <v>15812.561300030422</v>
      </c>
      <c r="F33" s="14">
        <f t="shared" si="4"/>
        <v>728477.78618249856</v>
      </c>
      <c r="G33" s="14">
        <f>IF(A33&lt;=$B$8,+C33*Quotation!$J$14,0)</f>
        <v>9824.8674923039744</v>
      </c>
      <c r="H33" s="14">
        <f t="shared" si="5"/>
        <v>269019.89153323148</v>
      </c>
      <c r="I33" s="14">
        <f t="shared" si="6"/>
        <v>2241.8324294435956</v>
      </c>
      <c r="J33" s="14">
        <f t="shared" si="7"/>
        <v>1955.2737942513952</v>
      </c>
      <c r="K33" s="14">
        <f>IF(A33&lt;=$B$8,+J33*Quotation!$J$14,0)</f>
        <v>879.87320741312783</v>
      </c>
      <c r="L33" s="17">
        <f t="shared" si="8"/>
        <v>34493.053365755099</v>
      </c>
      <c r="M33" s="9"/>
      <c r="P33" s="2"/>
    </row>
    <row r="34" spans="1:16">
      <c r="A34" s="13">
        <f t="shared" si="0"/>
        <v>22</v>
      </c>
      <c r="B34" s="14">
        <f t="shared" si="1"/>
        <v>706644.747310712</v>
      </c>
      <c r="C34" s="14">
        <f t="shared" si="2"/>
        <v>21833.038871786608</v>
      </c>
      <c r="D34" s="15">
        <f>IF(A34&lt;=$B$8,B34*(Quotation!$J$15/12),0)</f>
        <v>5888.7062275892667</v>
      </c>
      <c r="E34" s="16">
        <f t="shared" si="3"/>
        <v>15944.33264419734</v>
      </c>
      <c r="F34" s="14">
        <f t="shared" si="4"/>
        <v>712533.45353830117</v>
      </c>
      <c r="G34" s="14">
        <f>IF(A34&lt;=$B$8,+C34*Quotation!$J$14,0)</f>
        <v>9824.8674923039744</v>
      </c>
      <c r="H34" s="14">
        <f t="shared" si="5"/>
        <v>259195.0240409275</v>
      </c>
      <c r="I34" s="14">
        <f t="shared" si="6"/>
        <v>2159.9585336743962</v>
      </c>
      <c r="J34" s="14">
        <f t="shared" si="7"/>
        <v>1955.2737942513952</v>
      </c>
      <c r="K34" s="14">
        <f>IF(A34&lt;=$B$8,+J34*Quotation!$J$14,0)</f>
        <v>879.87320741312783</v>
      </c>
      <c r="L34" s="17">
        <f t="shared" si="8"/>
        <v>34493.053365755099</v>
      </c>
      <c r="M34" s="9"/>
      <c r="P34" s="2"/>
    </row>
    <row r="35" spans="1:16">
      <c r="A35" s="13">
        <f t="shared" si="0"/>
        <v>23</v>
      </c>
      <c r="B35" s="14">
        <f t="shared" si="1"/>
        <v>690700.41466651461</v>
      </c>
      <c r="C35" s="14">
        <f t="shared" si="2"/>
        <v>21833.038871786608</v>
      </c>
      <c r="D35" s="15">
        <f>IF(A35&lt;=$B$8,B35*(Quotation!$J$15/12),0)</f>
        <v>5755.8367888876219</v>
      </c>
      <c r="E35" s="16">
        <f t="shared" si="3"/>
        <v>16077.202082898986</v>
      </c>
      <c r="F35" s="14">
        <f t="shared" si="4"/>
        <v>696456.25145540223</v>
      </c>
      <c r="G35" s="14">
        <f>IF(A35&lt;=$B$8,+C35*Quotation!$J$14,0)</f>
        <v>9824.8674923039744</v>
      </c>
      <c r="H35" s="14">
        <f t="shared" si="5"/>
        <v>249370.15654862352</v>
      </c>
      <c r="I35" s="14">
        <f t="shared" si="6"/>
        <v>2078.0846379051959</v>
      </c>
      <c r="J35" s="14">
        <f t="shared" si="7"/>
        <v>1955.2737942513952</v>
      </c>
      <c r="K35" s="14">
        <f>IF(A35&lt;=$B$8,+J35*Quotation!$J$14,0)</f>
        <v>879.87320741312783</v>
      </c>
      <c r="L35" s="17">
        <f t="shared" si="8"/>
        <v>34493.053365755099</v>
      </c>
      <c r="M35" s="9"/>
      <c r="P35" s="2"/>
    </row>
    <row r="36" spans="1:16">
      <c r="A36" s="13">
        <f t="shared" si="0"/>
        <v>24</v>
      </c>
      <c r="B36" s="14">
        <f t="shared" si="1"/>
        <v>674623.21258361568</v>
      </c>
      <c r="C36" s="14">
        <f t="shared" si="2"/>
        <v>21833.038871786608</v>
      </c>
      <c r="D36" s="15">
        <f>IF(A36&lt;=$B$8,B36*(Quotation!$J$15/12),0)</f>
        <v>5621.8601048634637</v>
      </c>
      <c r="E36" s="16">
        <f t="shared" si="3"/>
        <v>16211.178766923145</v>
      </c>
      <c r="F36" s="14">
        <f t="shared" si="4"/>
        <v>680245.07268847909</v>
      </c>
      <c r="G36" s="14">
        <f>IF(A36&lt;=$B$8,+C36*Quotation!$J$14,0)</f>
        <v>9824.8674923039744</v>
      </c>
      <c r="H36" s="14">
        <f t="shared" si="5"/>
        <v>239545.28905631954</v>
      </c>
      <c r="I36" s="14">
        <f t="shared" si="6"/>
        <v>1996.2107421359963</v>
      </c>
      <c r="J36" s="14">
        <f t="shared" si="7"/>
        <v>1955.2737942513952</v>
      </c>
      <c r="K36" s="14">
        <f>IF(A36&lt;=$B$8,+J36*Quotation!$J$14,0)</f>
        <v>879.87320741312783</v>
      </c>
      <c r="L36" s="17">
        <f t="shared" si="8"/>
        <v>34493.053365755099</v>
      </c>
      <c r="M36" s="9"/>
      <c r="P36" s="2"/>
    </row>
    <row r="37" spans="1:16">
      <c r="A37" s="13">
        <f t="shared" si="0"/>
        <v>25</v>
      </c>
      <c r="B37" s="14">
        <f t="shared" si="1"/>
        <v>658412.03381669254</v>
      </c>
      <c r="C37" s="14">
        <f t="shared" si="2"/>
        <v>21833.038871786608</v>
      </c>
      <c r="D37" s="15">
        <f>IF(A37&lt;=$B$8,B37*(Quotation!$J$15/12),0)</f>
        <v>5486.7669484724374</v>
      </c>
      <c r="E37" s="16">
        <f t="shared" si="3"/>
        <v>16346.271923314171</v>
      </c>
      <c r="F37" s="14">
        <f t="shared" si="4"/>
        <v>663898.80076516489</v>
      </c>
      <c r="G37" s="14">
        <f>IF(A37&lt;=$B$8,+C37*Quotation!$J$14,0)</f>
        <v>9824.8674923039744</v>
      </c>
      <c r="H37" s="14">
        <f t="shared" si="5"/>
        <v>229720.42156401556</v>
      </c>
      <c r="I37" s="14">
        <f t="shared" si="6"/>
        <v>1914.3368463667964</v>
      </c>
      <c r="J37" s="14">
        <f t="shared" si="7"/>
        <v>1955.2737942513952</v>
      </c>
      <c r="K37" s="14">
        <f>IF(A37&lt;=$B$8,+J37*Quotation!$J$14,0)</f>
        <v>879.87320741312783</v>
      </c>
      <c r="L37" s="17">
        <f t="shared" si="8"/>
        <v>34493.053365755099</v>
      </c>
      <c r="M37" s="9"/>
      <c r="P37" s="2"/>
    </row>
    <row r="38" spans="1:16">
      <c r="A38" s="13">
        <f t="shared" si="0"/>
        <v>26</v>
      </c>
      <c r="B38" s="14">
        <f t="shared" si="1"/>
        <v>642065.76189337834</v>
      </c>
      <c r="C38" s="14">
        <f t="shared" si="2"/>
        <v>21833.038871786608</v>
      </c>
      <c r="D38" s="15">
        <f>IF(A38&lt;=$B$8,B38*(Quotation!$J$15/12),0)</f>
        <v>5350.5480157781531</v>
      </c>
      <c r="E38" s="16">
        <f t="shared" si="3"/>
        <v>16482.490856008455</v>
      </c>
      <c r="F38" s="14">
        <f t="shared" si="4"/>
        <v>647416.30990915641</v>
      </c>
      <c r="G38" s="14">
        <f>IF(A38&lt;=$B$8,+C38*Quotation!$J$14,0)</f>
        <v>9824.8674923039744</v>
      </c>
      <c r="H38" s="14">
        <f t="shared" si="5"/>
        <v>219895.55407171158</v>
      </c>
      <c r="I38" s="14">
        <f t="shared" si="6"/>
        <v>1832.4629505975965</v>
      </c>
      <c r="J38" s="14">
        <f t="shared" si="7"/>
        <v>1955.2737942513952</v>
      </c>
      <c r="K38" s="14">
        <f>IF(A38&lt;=$B$8,+J38*Quotation!$J$14,0)</f>
        <v>879.87320741312783</v>
      </c>
      <c r="L38" s="17">
        <f t="shared" si="8"/>
        <v>34493.053365755099</v>
      </c>
      <c r="M38" s="9"/>
      <c r="P38" s="2"/>
    </row>
    <row r="39" spans="1:16">
      <c r="A39" s="13">
        <f t="shared" si="0"/>
        <v>27</v>
      </c>
      <c r="B39" s="14">
        <f t="shared" si="1"/>
        <v>625583.27103736985</v>
      </c>
      <c r="C39" s="14">
        <f t="shared" si="2"/>
        <v>21833.038871786608</v>
      </c>
      <c r="D39" s="15">
        <f>IF(A39&lt;=$B$8,B39*(Quotation!$J$15/12),0)</f>
        <v>5213.1939253114151</v>
      </c>
      <c r="E39" s="16">
        <f t="shared" si="3"/>
        <v>16619.844946475194</v>
      </c>
      <c r="F39" s="14">
        <f t="shared" si="4"/>
        <v>630796.46496268117</v>
      </c>
      <c r="G39" s="14">
        <f>IF(A39&lt;=$B$8,+C39*Quotation!$J$14,0)</f>
        <v>9824.8674923039744</v>
      </c>
      <c r="H39" s="14">
        <f t="shared" si="5"/>
        <v>210070.6865794076</v>
      </c>
      <c r="I39" s="14">
        <f t="shared" si="6"/>
        <v>1750.5890548283969</v>
      </c>
      <c r="J39" s="14">
        <f t="shared" si="7"/>
        <v>1955.2737942513952</v>
      </c>
      <c r="K39" s="14">
        <f>IF(A39&lt;=$B$8,+J39*Quotation!$J$14,0)</f>
        <v>879.87320741312783</v>
      </c>
      <c r="L39" s="17">
        <f t="shared" si="8"/>
        <v>34493.053365755099</v>
      </c>
      <c r="M39" s="9"/>
      <c r="P39" s="2"/>
    </row>
    <row r="40" spans="1:16">
      <c r="A40" s="13">
        <f t="shared" si="0"/>
        <v>28</v>
      </c>
      <c r="B40" s="14">
        <f t="shared" si="1"/>
        <v>608963.42609089462</v>
      </c>
      <c r="C40" s="14">
        <f t="shared" si="2"/>
        <v>21833.038871786608</v>
      </c>
      <c r="D40" s="15">
        <f>IF(A40&lt;=$B$8,B40*(Quotation!$J$15/12),0)</f>
        <v>5074.6952174241214</v>
      </c>
      <c r="E40" s="16">
        <f t="shared" si="3"/>
        <v>16758.343654362485</v>
      </c>
      <c r="F40" s="14">
        <f t="shared" si="4"/>
        <v>614038.12130831869</v>
      </c>
      <c r="G40" s="14">
        <f>IF(A40&lt;=$B$8,+C40*Quotation!$J$14,0)</f>
        <v>9824.8674923039744</v>
      </c>
      <c r="H40" s="14">
        <f t="shared" si="5"/>
        <v>200245.81908710362</v>
      </c>
      <c r="I40" s="14">
        <f t="shared" si="6"/>
        <v>1668.7151590591968</v>
      </c>
      <c r="J40" s="14">
        <f t="shared" si="7"/>
        <v>1955.2737942513952</v>
      </c>
      <c r="K40" s="14">
        <f>IF(A40&lt;=$B$8,+J40*Quotation!$J$14,0)</f>
        <v>879.87320741312783</v>
      </c>
      <c r="L40" s="17">
        <f t="shared" si="8"/>
        <v>34493.053365755099</v>
      </c>
      <c r="M40" s="9"/>
      <c r="P40" s="2"/>
    </row>
    <row r="41" spans="1:16">
      <c r="A41" s="13">
        <f t="shared" si="0"/>
        <v>29</v>
      </c>
      <c r="B41" s="14">
        <f t="shared" si="1"/>
        <v>592205.08243653213</v>
      </c>
      <c r="C41" s="14">
        <f t="shared" si="2"/>
        <v>21833.038871786608</v>
      </c>
      <c r="D41" s="15">
        <f>IF(A41&lt;=$B$8,B41*(Quotation!$J$15/12),0)</f>
        <v>4935.0423536377675</v>
      </c>
      <c r="E41" s="16">
        <f t="shared" si="3"/>
        <v>16897.996518148841</v>
      </c>
      <c r="F41" s="14">
        <f t="shared" si="4"/>
        <v>597140.12479016988</v>
      </c>
      <c r="G41" s="14">
        <f>IF(A41&lt;=$B$8,+C41*Quotation!$J$14,0)</f>
        <v>9824.8674923039744</v>
      </c>
      <c r="H41" s="14">
        <f t="shared" si="5"/>
        <v>190420.95159479964</v>
      </c>
      <c r="I41" s="14">
        <f t="shared" si="6"/>
        <v>1586.8412632899972</v>
      </c>
      <c r="J41" s="14">
        <f t="shared" si="7"/>
        <v>1955.2737942513952</v>
      </c>
      <c r="K41" s="14">
        <f>IF(A41&lt;=$B$8,+J41*Quotation!$J$14,0)</f>
        <v>879.87320741312783</v>
      </c>
      <c r="L41" s="17">
        <f t="shared" si="8"/>
        <v>34493.053365755099</v>
      </c>
      <c r="M41" s="9"/>
      <c r="P41" s="2"/>
    </row>
    <row r="42" spans="1:16">
      <c r="A42" s="13">
        <f t="shared" si="0"/>
        <v>30</v>
      </c>
      <c r="B42" s="14">
        <f t="shared" si="1"/>
        <v>575307.08591838332</v>
      </c>
      <c r="C42" s="14">
        <f t="shared" si="2"/>
        <v>21833.038871786608</v>
      </c>
      <c r="D42" s="15">
        <f>IF(A42&lt;=$B$8,B42*(Quotation!$J$15/12),0)</f>
        <v>4794.2257159865276</v>
      </c>
      <c r="E42" s="16">
        <f t="shared" si="3"/>
        <v>17038.813155800082</v>
      </c>
      <c r="F42" s="14">
        <f t="shared" si="4"/>
        <v>580101.31163436978</v>
      </c>
      <c r="G42" s="14">
        <f>IF(A42&lt;=$B$8,+C42*Quotation!$J$14,0)</f>
        <v>9824.8674923039744</v>
      </c>
      <c r="H42" s="14">
        <f t="shared" si="5"/>
        <v>180596.08410249566</v>
      </c>
      <c r="I42" s="14">
        <f t="shared" si="6"/>
        <v>1504.9673675207971</v>
      </c>
      <c r="J42" s="14">
        <f t="shared" si="7"/>
        <v>1955.2737942513952</v>
      </c>
      <c r="K42" s="14">
        <f>IF(A42&lt;=$B$8,+J42*Quotation!$J$14,0)</f>
        <v>879.87320741312783</v>
      </c>
      <c r="L42" s="17">
        <f t="shared" si="8"/>
        <v>34493.053365755099</v>
      </c>
      <c r="M42" s="9"/>
      <c r="P42" s="2"/>
    </row>
    <row r="43" spans="1:16">
      <c r="A43" s="13">
        <f t="shared" si="0"/>
        <v>31</v>
      </c>
      <c r="B43" s="14">
        <f t="shared" si="1"/>
        <v>558268.27276258322</v>
      </c>
      <c r="C43" s="14">
        <f t="shared" si="2"/>
        <v>21833.038871786608</v>
      </c>
      <c r="D43" s="15">
        <f>IF(A43&lt;=$B$8,B43*(Quotation!$J$15/12),0)</f>
        <v>4652.2356063548605</v>
      </c>
      <c r="E43" s="16">
        <f t="shared" si="3"/>
        <v>17180.803265431747</v>
      </c>
      <c r="F43" s="14">
        <f t="shared" si="4"/>
        <v>562920.508368938</v>
      </c>
      <c r="G43" s="14">
        <f>IF(A43&lt;=$B$8,+C43*Quotation!$J$14,0)</f>
        <v>9824.8674923039744</v>
      </c>
      <c r="H43" s="14">
        <f t="shared" si="5"/>
        <v>170771.21661019168</v>
      </c>
      <c r="I43" s="14">
        <f t="shared" si="6"/>
        <v>1423.0934717515975</v>
      </c>
      <c r="J43" s="14">
        <f t="shared" si="7"/>
        <v>1955.2737942513952</v>
      </c>
      <c r="K43" s="14">
        <f>IF(A43&lt;=$B$8,+J43*Quotation!$J$14,0)</f>
        <v>879.87320741312783</v>
      </c>
      <c r="L43" s="17">
        <f t="shared" si="8"/>
        <v>34493.053365755099</v>
      </c>
      <c r="M43" s="9"/>
      <c r="P43" s="2"/>
    </row>
    <row r="44" spans="1:16">
      <c r="A44" s="13">
        <f t="shared" si="0"/>
        <v>32</v>
      </c>
      <c r="B44" s="14">
        <f t="shared" si="1"/>
        <v>541087.46949715144</v>
      </c>
      <c r="C44" s="14">
        <f t="shared" si="2"/>
        <v>21833.038871786608</v>
      </c>
      <c r="D44" s="15">
        <f>IF(A44&lt;=$B$8,B44*(Quotation!$J$15/12),0)</f>
        <v>4509.062245809595</v>
      </c>
      <c r="E44" s="16">
        <f t="shared" si="3"/>
        <v>17323.976625977011</v>
      </c>
      <c r="F44" s="14">
        <f t="shared" si="4"/>
        <v>545596.53174296103</v>
      </c>
      <c r="G44" s="14">
        <f>IF(A44&lt;=$B$8,+C44*Quotation!$J$14,0)</f>
        <v>9824.8674923039744</v>
      </c>
      <c r="H44" s="14">
        <f t="shared" si="5"/>
        <v>160946.3491178877</v>
      </c>
      <c r="I44" s="14">
        <f t="shared" si="6"/>
        <v>1341.2195759823976</v>
      </c>
      <c r="J44" s="14">
        <f t="shared" si="7"/>
        <v>1955.2737942513952</v>
      </c>
      <c r="K44" s="14">
        <f>IF(A44&lt;=$B$8,+J44*Quotation!$J$14,0)</f>
        <v>879.87320741312783</v>
      </c>
      <c r="L44" s="17">
        <f t="shared" si="8"/>
        <v>34493.053365755099</v>
      </c>
      <c r="M44" s="9"/>
      <c r="P44" s="2"/>
    </row>
    <row r="45" spans="1:16">
      <c r="A45" s="13">
        <f t="shared" si="0"/>
        <v>33</v>
      </c>
      <c r="B45" s="14">
        <f t="shared" si="1"/>
        <v>523763.49287117441</v>
      </c>
      <c r="C45" s="14">
        <f t="shared" si="2"/>
        <v>21833.038871786608</v>
      </c>
      <c r="D45" s="15">
        <f>IF(A45&lt;=$B$8,B45*(Quotation!$J$15/12),0)</f>
        <v>4364.6957739264535</v>
      </c>
      <c r="E45" s="16">
        <f t="shared" si="3"/>
        <v>17468.343097860154</v>
      </c>
      <c r="F45" s="14">
        <f t="shared" si="4"/>
        <v>528128.18864510092</v>
      </c>
      <c r="G45" s="14">
        <f>IF(A45&lt;=$B$8,+C45*Quotation!$J$14,0)</f>
        <v>9824.8674923039744</v>
      </c>
      <c r="H45" s="14">
        <f t="shared" si="5"/>
        <v>151121.48162558372</v>
      </c>
      <c r="I45" s="14">
        <f t="shared" si="6"/>
        <v>1259.3456802131977</v>
      </c>
      <c r="J45" s="14">
        <f t="shared" si="7"/>
        <v>1955.2737942513952</v>
      </c>
      <c r="K45" s="14">
        <f>IF(A45&lt;=$B$8,+J45*Quotation!$J$14,0)</f>
        <v>879.87320741312783</v>
      </c>
      <c r="L45" s="17">
        <f t="shared" si="8"/>
        <v>34493.053365755099</v>
      </c>
      <c r="M45" s="9"/>
      <c r="P45" s="2"/>
    </row>
    <row r="46" spans="1:16">
      <c r="A46" s="13">
        <f t="shared" si="0"/>
        <v>34</v>
      </c>
      <c r="B46" s="14">
        <f t="shared" si="1"/>
        <v>506295.14977331425</v>
      </c>
      <c r="C46" s="14">
        <f t="shared" si="2"/>
        <v>21833.038871786608</v>
      </c>
      <c r="D46" s="15">
        <f>IF(A46&lt;=$B$8,B46*(Quotation!$J$15/12),0)</f>
        <v>4219.1262481109516</v>
      </c>
      <c r="E46" s="16">
        <f t="shared" si="3"/>
        <v>17613.912623675657</v>
      </c>
      <c r="F46" s="14">
        <f t="shared" si="4"/>
        <v>510514.27602142526</v>
      </c>
      <c r="G46" s="14">
        <f>IF(A46&lt;=$B$8,+C46*Quotation!$J$14,0)</f>
        <v>9824.8674923039744</v>
      </c>
      <c r="H46" s="14">
        <f t="shared" si="5"/>
        <v>141296.61413327974</v>
      </c>
      <c r="I46" s="14">
        <f t="shared" si="6"/>
        <v>1177.4717844439979</v>
      </c>
      <c r="J46" s="14">
        <f t="shared" si="7"/>
        <v>1955.2737942513952</v>
      </c>
      <c r="K46" s="14">
        <f>IF(A46&lt;=$B$8,+J46*Quotation!$J$14,0)</f>
        <v>879.87320741312783</v>
      </c>
      <c r="L46" s="17">
        <f t="shared" si="8"/>
        <v>34493.053365755099</v>
      </c>
      <c r="M46" s="9"/>
      <c r="P46" s="2"/>
    </row>
    <row r="47" spans="1:16">
      <c r="A47" s="13">
        <f t="shared" si="0"/>
        <v>35</v>
      </c>
      <c r="B47" s="14">
        <f t="shared" si="1"/>
        <v>488681.23714963859</v>
      </c>
      <c r="C47" s="14">
        <f t="shared" si="2"/>
        <v>21833.038871786608</v>
      </c>
      <c r="D47" s="15">
        <f>IF(A47&lt;=$B$8,B47*(Quotation!$J$15/12),0)</f>
        <v>4072.343642913655</v>
      </c>
      <c r="E47" s="16">
        <f t="shared" si="3"/>
        <v>17760.695228872952</v>
      </c>
      <c r="F47" s="14">
        <f t="shared" si="4"/>
        <v>492753.58079255233</v>
      </c>
      <c r="G47" s="14">
        <f>IF(A47&lt;=$B$8,+C47*Quotation!$J$14,0)</f>
        <v>9824.8674923039744</v>
      </c>
      <c r="H47" s="14">
        <f t="shared" si="5"/>
        <v>131471.74664097576</v>
      </c>
      <c r="I47" s="14">
        <f t="shared" si="6"/>
        <v>1095.597888674798</v>
      </c>
      <c r="J47" s="14">
        <f t="shared" si="7"/>
        <v>1955.2737942513952</v>
      </c>
      <c r="K47" s="14">
        <f>IF(A47&lt;=$B$8,+J47*Quotation!$J$14,0)</f>
        <v>879.87320741312783</v>
      </c>
      <c r="L47" s="17">
        <f t="shared" si="8"/>
        <v>34493.053365755099</v>
      </c>
      <c r="M47" s="9"/>
      <c r="P47" s="2"/>
    </row>
    <row r="48" spans="1:16">
      <c r="A48" s="13">
        <f t="shared" si="0"/>
        <v>36</v>
      </c>
      <c r="B48" s="14">
        <f t="shared" si="1"/>
        <v>470920.54192076565</v>
      </c>
      <c r="C48" s="14">
        <f t="shared" si="2"/>
        <v>21833.038871786608</v>
      </c>
      <c r="D48" s="15">
        <f>IF(A48&lt;=$B$8,B48*(Quotation!$J$15/12),0)</f>
        <v>3924.3378493397136</v>
      </c>
      <c r="E48" s="16">
        <f t="shared" si="3"/>
        <v>17908.701022446894</v>
      </c>
      <c r="F48" s="14">
        <f t="shared" si="4"/>
        <v>474844.87977010541</v>
      </c>
      <c r="G48" s="14">
        <f>IF(A48&lt;=$B$8,+C48*Quotation!$J$14,0)</f>
        <v>9824.8674923039744</v>
      </c>
      <c r="H48" s="14">
        <f t="shared" si="5"/>
        <v>121646.87914867178</v>
      </c>
      <c r="I48" s="14">
        <f t="shared" si="6"/>
        <v>1013.7239929055983</v>
      </c>
      <c r="J48" s="14">
        <f t="shared" si="7"/>
        <v>1955.2737942513952</v>
      </c>
      <c r="K48" s="14">
        <f>IF(A48&lt;=$B$8,+J48*Quotation!$J$14,0)</f>
        <v>879.87320741312783</v>
      </c>
      <c r="L48" s="17">
        <f t="shared" si="8"/>
        <v>34493.053365755099</v>
      </c>
      <c r="M48" s="9"/>
      <c r="P48" s="2"/>
    </row>
    <row r="49" spans="1:16">
      <c r="A49" s="13">
        <f t="shared" si="0"/>
        <v>37</v>
      </c>
      <c r="B49" s="14">
        <f t="shared" si="1"/>
        <v>453011.84089831874</v>
      </c>
      <c r="C49" s="14">
        <f t="shared" si="2"/>
        <v>21833.038871786608</v>
      </c>
      <c r="D49" s="15">
        <f>IF(A49&lt;=$B$8,B49*(Quotation!$J$15/12),0)</f>
        <v>3775.0986741526563</v>
      </c>
      <c r="E49" s="16">
        <f t="shared" si="3"/>
        <v>18057.94019763395</v>
      </c>
      <c r="F49" s="14">
        <f t="shared" si="4"/>
        <v>456786.93957247149</v>
      </c>
      <c r="G49" s="14">
        <f>IF(A49&lt;=$B$8,+C49*Quotation!$J$14,0)</f>
        <v>9824.8674923039744</v>
      </c>
      <c r="H49" s="14">
        <f t="shared" si="5"/>
        <v>111822.0116563678</v>
      </c>
      <c r="I49" s="14">
        <f t="shared" si="6"/>
        <v>931.8500971363984</v>
      </c>
      <c r="J49" s="14">
        <f t="shared" si="7"/>
        <v>1955.2737942513952</v>
      </c>
      <c r="K49" s="14">
        <f>IF(A49&lt;=$B$8,+J49*Quotation!$J$14,0)</f>
        <v>879.87320741312783</v>
      </c>
      <c r="L49" s="17">
        <f t="shared" si="8"/>
        <v>34493.053365755099</v>
      </c>
      <c r="M49" s="9"/>
      <c r="P49" s="2"/>
    </row>
    <row r="50" spans="1:16">
      <c r="A50" s="13">
        <f t="shared" si="0"/>
        <v>38</v>
      </c>
      <c r="B50" s="14">
        <f t="shared" si="1"/>
        <v>434953.90070068481</v>
      </c>
      <c r="C50" s="14">
        <f t="shared" si="2"/>
        <v>21833.038871786608</v>
      </c>
      <c r="D50" s="15">
        <f>IF(A50&lt;=$B$8,B50*(Quotation!$J$15/12),0)</f>
        <v>3624.6158391723734</v>
      </c>
      <c r="E50" s="16">
        <f t="shared" si="3"/>
        <v>18208.423032614235</v>
      </c>
      <c r="F50" s="14">
        <f t="shared" si="4"/>
        <v>438578.51653985726</v>
      </c>
      <c r="G50" s="14">
        <f>IF(A50&lt;=$B$8,+C50*Quotation!$J$14,0)</f>
        <v>9824.8674923039744</v>
      </c>
      <c r="H50" s="14">
        <f t="shared" si="5"/>
        <v>101997.14416406382</v>
      </c>
      <c r="I50" s="14">
        <f t="shared" si="6"/>
        <v>849.97620136719854</v>
      </c>
      <c r="J50" s="14">
        <f t="shared" si="7"/>
        <v>1955.2737942513952</v>
      </c>
      <c r="K50" s="14">
        <f>IF(A50&lt;=$B$8,+J50*Quotation!$J$14,0)</f>
        <v>879.87320741312783</v>
      </c>
      <c r="L50" s="17">
        <f t="shared" si="8"/>
        <v>34493.053365755099</v>
      </c>
      <c r="M50" s="9"/>
      <c r="P50" s="2"/>
    </row>
    <row r="51" spans="1:16">
      <c r="A51" s="13">
        <f t="shared" si="0"/>
        <v>39</v>
      </c>
      <c r="B51" s="14">
        <f t="shared" si="1"/>
        <v>416745.47766807058</v>
      </c>
      <c r="C51" s="14">
        <f t="shared" si="2"/>
        <v>21833.038871786608</v>
      </c>
      <c r="D51" s="15">
        <f>IF(A51&lt;=$B$8,B51*(Quotation!$J$15/12),0)</f>
        <v>3472.878980567255</v>
      </c>
      <c r="E51" s="16">
        <f t="shared" si="3"/>
        <v>18360.159891219351</v>
      </c>
      <c r="F51" s="14">
        <f t="shared" si="4"/>
        <v>420218.35664863791</v>
      </c>
      <c r="G51" s="14">
        <f>IF(A51&lt;=$B$8,+C51*Quotation!$J$14,0)</f>
        <v>9824.8674923039744</v>
      </c>
      <c r="H51" s="14">
        <f t="shared" si="5"/>
        <v>92172.276671759842</v>
      </c>
      <c r="I51" s="14">
        <f t="shared" si="6"/>
        <v>768.10230559799868</v>
      </c>
      <c r="J51" s="14">
        <f t="shared" si="7"/>
        <v>1955.2737942513952</v>
      </c>
      <c r="K51" s="14">
        <f>IF(A51&lt;=$B$8,+J51*Quotation!$J$14,0)</f>
        <v>879.87320741312783</v>
      </c>
      <c r="L51" s="17">
        <f t="shared" si="8"/>
        <v>34493.053365755099</v>
      </c>
      <c r="M51" s="9"/>
      <c r="P51" s="2"/>
    </row>
    <row r="52" spans="1:16">
      <c r="A52" s="13">
        <f t="shared" si="0"/>
        <v>40</v>
      </c>
      <c r="B52" s="14">
        <f t="shared" si="1"/>
        <v>398385.31777685124</v>
      </c>
      <c r="C52" s="14">
        <f t="shared" si="2"/>
        <v>21833.038871786608</v>
      </c>
      <c r="D52" s="15">
        <f>IF(A52&lt;=$B$8,B52*(Quotation!$J$15/12),0)</f>
        <v>3319.877648140427</v>
      </c>
      <c r="E52" s="16">
        <f t="shared" si="3"/>
        <v>18513.161223646181</v>
      </c>
      <c r="F52" s="14">
        <f t="shared" si="4"/>
        <v>401705.19542499172</v>
      </c>
      <c r="G52" s="14">
        <f>IF(A52&lt;=$B$8,+C52*Quotation!$J$14,0)</f>
        <v>9824.8674923039744</v>
      </c>
      <c r="H52" s="14">
        <f t="shared" si="5"/>
        <v>82347.409179455863</v>
      </c>
      <c r="I52" s="14">
        <f t="shared" si="6"/>
        <v>686.22840982879882</v>
      </c>
      <c r="J52" s="14">
        <f t="shared" si="7"/>
        <v>1955.2737942513952</v>
      </c>
      <c r="K52" s="14">
        <f>IF(A52&lt;=$B$8,+J52*Quotation!$J$14,0)</f>
        <v>879.87320741312783</v>
      </c>
      <c r="L52" s="17">
        <f t="shared" si="8"/>
        <v>34493.053365755099</v>
      </c>
      <c r="M52" s="9"/>
      <c r="P52" s="2"/>
    </row>
    <row r="53" spans="1:16">
      <c r="A53" s="13">
        <f t="shared" si="0"/>
        <v>41</v>
      </c>
      <c r="B53" s="14">
        <f t="shared" si="1"/>
        <v>379872.15655320504</v>
      </c>
      <c r="C53" s="14">
        <f t="shared" si="2"/>
        <v>21833.038871786608</v>
      </c>
      <c r="D53" s="15">
        <f>IF(A53&lt;=$B$8,B53*(Quotation!$J$15/12),0)</f>
        <v>3165.601304610042</v>
      </c>
      <c r="E53" s="16">
        <f t="shared" si="3"/>
        <v>18667.437567176567</v>
      </c>
      <c r="F53" s="14">
        <f t="shared" si="4"/>
        <v>383037.75785781513</v>
      </c>
      <c r="G53" s="14">
        <f>IF(A53&lt;=$B$8,+C53*Quotation!$J$14,0)</f>
        <v>9824.8674923039744</v>
      </c>
      <c r="H53" s="14">
        <f t="shared" si="5"/>
        <v>72522.541687151883</v>
      </c>
      <c r="I53" s="14">
        <f t="shared" si="6"/>
        <v>604.35451405959907</v>
      </c>
      <c r="J53" s="14">
        <f t="shared" si="7"/>
        <v>1955.2737942513952</v>
      </c>
      <c r="K53" s="14">
        <f>IF(A53&lt;=$B$8,+J53*Quotation!$J$14,0)</f>
        <v>879.87320741312783</v>
      </c>
      <c r="L53" s="17">
        <f t="shared" si="8"/>
        <v>34493.053365755099</v>
      </c>
      <c r="M53" s="9"/>
      <c r="P53" s="2"/>
    </row>
    <row r="54" spans="1:16">
      <c r="A54" s="13">
        <f t="shared" si="0"/>
        <v>42</v>
      </c>
      <c r="B54" s="14">
        <f t="shared" si="1"/>
        <v>361204.71898602846</v>
      </c>
      <c r="C54" s="14">
        <f t="shared" si="2"/>
        <v>21833.038871786608</v>
      </c>
      <c r="D54" s="15">
        <f>IF(A54&lt;=$B$8,B54*(Quotation!$J$15/12),0)</f>
        <v>3010.0393248835703</v>
      </c>
      <c r="E54" s="16">
        <f t="shared" si="3"/>
        <v>18822.999546903036</v>
      </c>
      <c r="F54" s="14">
        <f t="shared" si="4"/>
        <v>364214.75831091212</v>
      </c>
      <c r="G54" s="14">
        <f>IF(A54&lt;=$B$8,+C54*Quotation!$J$14,0)</f>
        <v>9824.8674923039744</v>
      </c>
      <c r="H54" s="14">
        <f t="shared" si="5"/>
        <v>62697.67419484791</v>
      </c>
      <c r="I54" s="14">
        <f t="shared" si="6"/>
        <v>522.48061829039932</v>
      </c>
      <c r="J54" s="14">
        <f t="shared" si="7"/>
        <v>1955.2737942513952</v>
      </c>
      <c r="K54" s="14">
        <f>IF(A54&lt;=$B$8,+J54*Quotation!$J$14,0)</f>
        <v>879.87320741312783</v>
      </c>
      <c r="L54" s="17">
        <f t="shared" si="8"/>
        <v>34493.053365755099</v>
      </c>
      <c r="M54" s="9"/>
      <c r="P54" s="2"/>
    </row>
    <row r="55" spans="1:16">
      <c r="A55" s="13">
        <f t="shared" si="0"/>
        <v>43</v>
      </c>
      <c r="B55" s="14">
        <f t="shared" si="1"/>
        <v>342381.71943912545</v>
      </c>
      <c r="C55" s="14">
        <f t="shared" si="2"/>
        <v>21833.038871786608</v>
      </c>
      <c r="D55" s="15">
        <f>IF(A55&lt;=$B$8,B55*(Quotation!$J$15/12),0)</f>
        <v>2853.1809953260454</v>
      </c>
      <c r="E55" s="16">
        <f t="shared" si="3"/>
        <v>18979.857876460563</v>
      </c>
      <c r="F55" s="14">
        <f t="shared" si="4"/>
        <v>345234.90043445153</v>
      </c>
      <c r="G55" s="14">
        <f>IF(A55&lt;=$B$8,+C55*Quotation!$J$14,0)</f>
        <v>9824.8674923039744</v>
      </c>
      <c r="H55" s="14">
        <f t="shared" si="5"/>
        <v>52872.806702543938</v>
      </c>
      <c r="I55" s="14">
        <f t="shared" si="6"/>
        <v>440.60672252119952</v>
      </c>
      <c r="J55" s="14">
        <f t="shared" si="7"/>
        <v>1955.2737942513952</v>
      </c>
      <c r="K55" s="14">
        <f>IF(A55&lt;=$B$8,+J55*Quotation!$J$14,0)</f>
        <v>879.87320741312783</v>
      </c>
      <c r="L55" s="17">
        <f t="shared" si="8"/>
        <v>34493.053365755099</v>
      </c>
      <c r="M55" s="9"/>
      <c r="P55" s="2"/>
    </row>
    <row r="56" spans="1:16">
      <c r="A56" s="13">
        <f t="shared" si="0"/>
        <v>44</v>
      </c>
      <c r="B56" s="14">
        <f t="shared" si="1"/>
        <v>323401.86156266485</v>
      </c>
      <c r="C56" s="14">
        <f t="shared" si="2"/>
        <v>21833.038871786608</v>
      </c>
      <c r="D56" s="15">
        <f>IF(A56&lt;=$B$8,B56*(Quotation!$J$15/12),0)</f>
        <v>2695.015513022207</v>
      </c>
      <c r="E56" s="16">
        <f t="shared" si="3"/>
        <v>19138.0233587644</v>
      </c>
      <c r="F56" s="14">
        <f t="shared" si="4"/>
        <v>326096.87707568711</v>
      </c>
      <c r="G56" s="14">
        <f>IF(A56&lt;=$B$8,+C56*Quotation!$J$14,0)</f>
        <v>9824.8674923039744</v>
      </c>
      <c r="H56" s="14">
        <f t="shared" si="5"/>
        <v>43047.939210239965</v>
      </c>
      <c r="I56" s="14">
        <f t="shared" si="6"/>
        <v>358.73282675199971</v>
      </c>
      <c r="J56" s="14">
        <f t="shared" si="7"/>
        <v>1955.2737942513952</v>
      </c>
      <c r="K56" s="14">
        <f>IF(A56&lt;=$B$8,+J56*Quotation!$J$14,0)</f>
        <v>879.87320741312783</v>
      </c>
      <c r="L56" s="17">
        <f t="shared" si="8"/>
        <v>34493.053365755099</v>
      </c>
      <c r="M56" s="9"/>
      <c r="P56" s="2"/>
    </row>
    <row r="57" spans="1:16">
      <c r="A57" s="13">
        <f t="shared" si="0"/>
        <v>45</v>
      </c>
      <c r="B57" s="14">
        <f t="shared" si="1"/>
        <v>304263.83820390044</v>
      </c>
      <c r="C57" s="14">
        <f t="shared" si="2"/>
        <v>21833.038871786608</v>
      </c>
      <c r="D57" s="15">
        <f>IF(A57&lt;=$B$8,B57*(Quotation!$J$15/12),0)</f>
        <v>2535.5319850325036</v>
      </c>
      <c r="E57" s="16">
        <f t="shared" si="3"/>
        <v>19297.506886754105</v>
      </c>
      <c r="F57" s="14">
        <f t="shared" si="4"/>
        <v>306799.37018893298</v>
      </c>
      <c r="G57" s="14">
        <f>IF(A57&lt;=$B$8,+C57*Quotation!$J$14,0)</f>
        <v>9824.8674923039744</v>
      </c>
      <c r="H57" s="14">
        <f t="shared" si="5"/>
        <v>33223.071717935993</v>
      </c>
      <c r="I57" s="14">
        <f t="shared" si="6"/>
        <v>276.85893098279996</v>
      </c>
      <c r="J57" s="14">
        <f t="shared" si="7"/>
        <v>1955.2737942513952</v>
      </c>
      <c r="K57" s="14">
        <f>IF(A57&lt;=$B$8,+J57*Quotation!$J$14,0)</f>
        <v>879.87320741312783</v>
      </c>
      <c r="L57" s="17">
        <f t="shared" si="8"/>
        <v>34493.053365755099</v>
      </c>
      <c r="M57" s="9"/>
      <c r="P57" s="2"/>
    </row>
    <row r="58" spans="1:16">
      <c r="A58" s="13">
        <f t="shared" si="0"/>
        <v>46</v>
      </c>
      <c r="B58" s="14">
        <f t="shared" si="1"/>
        <v>284966.33131714631</v>
      </c>
      <c r="C58" s="14">
        <f t="shared" si="2"/>
        <v>21833.038871786608</v>
      </c>
      <c r="D58" s="15">
        <f>IF(A58&lt;=$B$8,B58*(Quotation!$J$15/12),0)</f>
        <v>2374.7194276428859</v>
      </c>
      <c r="E58" s="16">
        <f t="shared" si="3"/>
        <v>19458.319444143723</v>
      </c>
      <c r="F58" s="14">
        <f t="shared" si="4"/>
        <v>287341.05074478925</v>
      </c>
      <c r="G58" s="14">
        <f>IF(A58&lt;=$B$8,+C58*Quotation!$J$14,0)</f>
        <v>9824.8674923039744</v>
      </c>
      <c r="H58" s="14">
        <f t="shared" si="5"/>
        <v>23398.20422563202</v>
      </c>
      <c r="I58" s="14">
        <f t="shared" si="6"/>
        <v>194.98503521360018</v>
      </c>
      <c r="J58" s="14">
        <f t="shared" si="7"/>
        <v>1955.2737942513952</v>
      </c>
      <c r="K58" s="14">
        <f>IF(A58&lt;=$B$8,+J58*Quotation!$J$14,0)</f>
        <v>879.87320741312783</v>
      </c>
      <c r="L58" s="17">
        <f t="shared" si="8"/>
        <v>34493.053365755099</v>
      </c>
      <c r="M58" s="9"/>
      <c r="P58" s="2"/>
    </row>
    <row r="59" spans="1:16">
      <c r="A59" s="13">
        <f t="shared" si="0"/>
        <v>47</v>
      </c>
      <c r="B59" s="14">
        <f t="shared" si="1"/>
        <v>265508.01187300257</v>
      </c>
      <c r="C59" s="14">
        <f t="shared" si="2"/>
        <v>21833.038871786608</v>
      </c>
      <c r="D59" s="15">
        <f>IF(A59&lt;=$B$8,B59*(Quotation!$J$15/12),0)</f>
        <v>2212.5667656083547</v>
      </c>
      <c r="E59" s="16">
        <f t="shared" si="3"/>
        <v>19620.472106178255</v>
      </c>
      <c r="F59" s="14">
        <f t="shared" si="4"/>
        <v>267720.57863861101</v>
      </c>
      <c r="G59" s="14">
        <f>IF(A59&lt;=$B$8,+C59*Quotation!$J$14,0)</f>
        <v>9824.8674923039744</v>
      </c>
      <c r="H59" s="14">
        <f t="shared" si="5"/>
        <v>13573.336733328046</v>
      </c>
      <c r="I59" s="14">
        <f t="shared" si="6"/>
        <v>113.11113944440039</v>
      </c>
      <c r="J59" s="14">
        <f t="shared" si="7"/>
        <v>1955.2737942513952</v>
      </c>
      <c r="K59" s="14">
        <f>IF(A59&lt;=$B$8,+J59*Quotation!$J$14,0)</f>
        <v>879.87320741312783</v>
      </c>
      <c r="L59" s="17">
        <f t="shared" si="8"/>
        <v>34493.053365755099</v>
      </c>
      <c r="M59" s="9"/>
      <c r="P59" s="2"/>
    </row>
    <row r="60" spans="1:16">
      <c r="A60" s="13">
        <f t="shared" si="0"/>
        <v>48</v>
      </c>
      <c r="B60" s="14">
        <f t="shared" si="1"/>
        <v>245887.53976682431</v>
      </c>
      <c r="C60" s="14">
        <f t="shared" si="2"/>
        <v>21833.038871786608</v>
      </c>
      <c r="D60" s="15">
        <f>IF(A60&lt;=$B$8,B60*(Quotation!$J$15/12),0)</f>
        <v>2049.0628313902025</v>
      </c>
      <c r="E60" s="16">
        <f t="shared" si="3"/>
        <v>19783.976040396406</v>
      </c>
      <c r="F60" s="14">
        <f t="shared" si="4"/>
        <v>247936.60259821461</v>
      </c>
      <c r="G60" s="14">
        <f>IF(A60&lt;=$B$8,+C60*Quotation!$J$14,0)</f>
        <v>9824.8674923039744</v>
      </c>
      <c r="H60" s="14">
        <f t="shared" si="5"/>
        <v>3748.4692410240714</v>
      </c>
      <c r="I60" s="14">
        <f t="shared" si="6"/>
        <v>31.237243675200599</v>
      </c>
      <c r="J60" s="14">
        <f t="shared" si="7"/>
        <v>1955.2737942513952</v>
      </c>
      <c r="K60" s="14">
        <f>IF(A60&lt;=$B$8,+J60*Quotation!$J$14,0)</f>
        <v>879.87320741312783</v>
      </c>
      <c r="L60" s="17">
        <f t="shared" si="8"/>
        <v>34493.053365755099</v>
      </c>
      <c r="M60" s="9"/>
      <c r="P60" s="2"/>
    </row>
    <row r="61" spans="1:16">
      <c r="A61" s="13">
        <f t="shared" si="0"/>
        <v>49</v>
      </c>
      <c r="B61" s="14">
        <f t="shared" si="1"/>
        <v>0</v>
      </c>
      <c r="C61" s="14">
        <f t="shared" si="2"/>
        <v>0</v>
      </c>
      <c r="D61" s="15">
        <f>IF(A61&lt;=$B$8,B61*(Quotation!$J$15/12),0)</f>
        <v>0</v>
      </c>
      <c r="E61" s="16">
        <f t="shared" si="3"/>
        <v>0</v>
      </c>
      <c r="F61" s="14">
        <f t="shared" si="4"/>
        <v>0</v>
      </c>
      <c r="G61" s="14">
        <f>IF(A61&lt;=$B$8,+C61*Quotation!$J$14,0)</f>
        <v>0</v>
      </c>
      <c r="H61" s="14">
        <f t="shared" si="5"/>
        <v>0</v>
      </c>
      <c r="I61" s="14">
        <f t="shared" si="6"/>
        <v>0</v>
      </c>
      <c r="J61" s="14">
        <f t="shared" si="7"/>
        <v>0</v>
      </c>
      <c r="K61" s="14">
        <f>IF(A61&lt;=$B$8,+J61*Quotation!$J$14,0)</f>
        <v>0</v>
      </c>
      <c r="L61" s="17">
        <f t="shared" si="8"/>
        <v>0</v>
      </c>
      <c r="M61" s="9"/>
      <c r="P61" s="2"/>
    </row>
    <row r="62" spans="1:16">
      <c r="A62" s="13">
        <f t="shared" si="0"/>
        <v>50</v>
      </c>
      <c r="B62" s="14">
        <f t="shared" si="1"/>
        <v>0</v>
      </c>
      <c r="C62" s="14">
        <f t="shared" si="2"/>
        <v>0</v>
      </c>
      <c r="D62" s="15">
        <f>IF(A62&lt;=$B$8,B62*(Quotation!$J$15/12),0)</f>
        <v>0</v>
      </c>
      <c r="E62" s="16">
        <f t="shared" si="3"/>
        <v>0</v>
      </c>
      <c r="F62" s="14">
        <f t="shared" si="4"/>
        <v>0</v>
      </c>
      <c r="G62" s="14">
        <f>IF(A62&lt;=$B$8,+C62*Quotation!$J$14,0)</f>
        <v>0</v>
      </c>
      <c r="H62" s="14">
        <f t="shared" si="5"/>
        <v>0</v>
      </c>
      <c r="I62" s="14">
        <f t="shared" si="6"/>
        <v>0</v>
      </c>
      <c r="J62" s="14">
        <f t="shared" si="7"/>
        <v>0</v>
      </c>
      <c r="K62" s="14">
        <f>IF(A62&lt;=$B$8,+J62*Quotation!$J$14,0)</f>
        <v>0</v>
      </c>
      <c r="L62" s="17">
        <f t="shared" si="8"/>
        <v>0</v>
      </c>
      <c r="M62" s="9"/>
      <c r="P62" s="2"/>
    </row>
    <row r="63" spans="1:16">
      <c r="A63" s="13">
        <f t="shared" si="0"/>
        <v>51</v>
      </c>
      <c r="B63" s="14">
        <f t="shared" si="1"/>
        <v>0</v>
      </c>
      <c r="C63" s="14">
        <f t="shared" si="2"/>
        <v>0</v>
      </c>
      <c r="D63" s="15">
        <f>IF(A63&lt;=$B$8,B63*(Quotation!$J$15/12),0)</f>
        <v>0</v>
      </c>
      <c r="E63" s="16">
        <f t="shared" si="3"/>
        <v>0</v>
      </c>
      <c r="F63" s="14">
        <f t="shared" si="4"/>
        <v>0</v>
      </c>
      <c r="G63" s="14">
        <f>IF(A63&lt;=$B$8,+C63*Quotation!$J$14,0)</f>
        <v>0</v>
      </c>
      <c r="H63" s="14">
        <f t="shared" si="5"/>
        <v>0</v>
      </c>
      <c r="I63" s="14">
        <f t="shared" si="6"/>
        <v>0</v>
      </c>
      <c r="J63" s="14">
        <f t="shared" si="7"/>
        <v>0</v>
      </c>
      <c r="K63" s="14">
        <f>IF(A63&lt;=$B$8,+J63*Quotation!$J$14,0)</f>
        <v>0</v>
      </c>
      <c r="L63" s="17">
        <f t="shared" si="8"/>
        <v>0</v>
      </c>
      <c r="M63" s="9"/>
      <c r="P63" s="2"/>
    </row>
    <row r="64" spans="1:16">
      <c r="A64" s="13">
        <f t="shared" si="0"/>
        <v>52</v>
      </c>
      <c r="B64" s="14">
        <f t="shared" si="1"/>
        <v>0</v>
      </c>
      <c r="C64" s="14">
        <f t="shared" si="2"/>
        <v>0</v>
      </c>
      <c r="D64" s="15">
        <f>IF(A64&lt;=$B$8,B64*(Quotation!$J$15/12),0)</f>
        <v>0</v>
      </c>
      <c r="E64" s="16">
        <f t="shared" si="3"/>
        <v>0</v>
      </c>
      <c r="F64" s="14">
        <f t="shared" si="4"/>
        <v>0</v>
      </c>
      <c r="G64" s="14">
        <f>IF(A64&lt;=$B$8,+C64*Quotation!$J$14,0)</f>
        <v>0</v>
      </c>
      <c r="H64" s="14">
        <f t="shared" si="5"/>
        <v>0</v>
      </c>
      <c r="I64" s="14">
        <f t="shared" si="6"/>
        <v>0</v>
      </c>
      <c r="J64" s="14">
        <f t="shared" si="7"/>
        <v>0</v>
      </c>
      <c r="K64" s="14">
        <f>IF(A64&lt;=$B$8,+J64*Quotation!$J$14,0)</f>
        <v>0</v>
      </c>
      <c r="L64" s="17">
        <f t="shared" si="8"/>
        <v>0</v>
      </c>
      <c r="M64" s="9"/>
      <c r="P64" s="2"/>
    </row>
    <row r="65" spans="1:16">
      <c r="A65" s="13">
        <f t="shared" si="0"/>
        <v>53</v>
      </c>
      <c r="B65" s="14">
        <f t="shared" si="1"/>
        <v>0</v>
      </c>
      <c r="C65" s="14">
        <f t="shared" si="2"/>
        <v>0</v>
      </c>
      <c r="D65" s="15">
        <f>IF(A65&lt;=$B$8,B65*(Quotation!$J$15/12),0)</f>
        <v>0</v>
      </c>
      <c r="E65" s="16">
        <f t="shared" si="3"/>
        <v>0</v>
      </c>
      <c r="F65" s="14">
        <f t="shared" si="4"/>
        <v>0</v>
      </c>
      <c r="G65" s="14">
        <f>IF(A65&lt;=$B$8,+C65*Quotation!$J$14,0)</f>
        <v>0</v>
      </c>
      <c r="H65" s="14">
        <f t="shared" si="5"/>
        <v>0</v>
      </c>
      <c r="I65" s="14">
        <f t="shared" si="6"/>
        <v>0</v>
      </c>
      <c r="J65" s="14">
        <f t="shared" si="7"/>
        <v>0</v>
      </c>
      <c r="K65" s="14">
        <f>IF(A65&lt;=$B$8,+J65*Quotation!$J$14,0)</f>
        <v>0</v>
      </c>
      <c r="L65" s="17">
        <f t="shared" si="8"/>
        <v>0</v>
      </c>
      <c r="M65" s="9"/>
      <c r="P65" s="2"/>
    </row>
    <row r="66" spans="1:16">
      <c r="A66" s="13">
        <f t="shared" si="0"/>
        <v>54</v>
      </c>
      <c r="B66" s="14">
        <f t="shared" si="1"/>
        <v>0</v>
      </c>
      <c r="C66" s="14">
        <f t="shared" si="2"/>
        <v>0</v>
      </c>
      <c r="D66" s="15">
        <f>IF(A66&lt;=$B$8,B66*(Quotation!$J$15/12),0)</f>
        <v>0</v>
      </c>
      <c r="E66" s="16">
        <f t="shared" si="3"/>
        <v>0</v>
      </c>
      <c r="F66" s="14">
        <f t="shared" si="4"/>
        <v>0</v>
      </c>
      <c r="G66" s="14">
        <f>IF(A66&lt;=$B$8,+C66*Quotation!$J$14,0)</f>
        <v>0</v>
      </c>
      <c r="H66" s="14">
        <f t="shared" si="5"/>
        <v>0</v>
      </c>
      <c r="I66" s="14">
        <f t="shared" si="6"/>
        <v>0</v>
      </c>
      <c r="J66" s="14">
        <f t="shared" si="7"/>
        <v>0</v>
      </c>
      <c r="K66" s="14">
        <f>IF(A66&lt;=$B$8,+J66*Quotation!$J$14,0)</f>
        <v>0</v>
      </c>
      <c r="L66" s="17">
        <f t="shared" si="8"/>
        <v>0</v>
      </c>
      <c r="M66" s="9"/>
      <c r="P66" s="2"/>
    </row>
    <row r="67" spans="1:16">
      <c r="A67" s="13">
        <f t="shared" si="0"/>
        <v>55</v>
      </c>
      <c r="B67" s="14">
        <f t="shared" si="1"/>
        <v>0</v>
      </c>
      <c r="C67" s="14">
        <f t="shared" si="2"/>
        <v>0</v>
      </c>
      <c r="D67" s="15">
        <f>IF(A67&lt;=$B$8,B67*(Quotation!$J$15/12),0)</f>
        <v>0</v>
      </c>
      <c r="E67" s="16">
        <f t="shared" si="3"/>
        <v>0</v>
      </c>
      <c r="F67" s="14">
        <f t="shared" si="4"/>
        <v>0</v>
      </c>
      <c r="G67" s="14">
        <f>IF(A67&lt;=$B$8,+C67*Quotation!$J$14,0)</f>
        <v>0</v>
      </c>
      <c r="H67" s="14">
        <f t="shared" si="5"/>
        <v>0</v>
      </c>
      <c r="I67" s="14">
        <f t="shared" si="6"/>
        <v>0</v>
      </c>
      <c r="J67" s="14">
        <f t="shared" si="7"/>
        <v>0</v>
      </c>
      <c r="K67" s="14">
        <f>IF(A67&lt;=$B$8,+J67*Quotation!$J$14,0)</f>
        <v>0</v>
      </c>
      <c r="L67" s="17">
        <f t="shared" si="8"/>
        <v>0</v>
      </c>
      <c r="M67" s="9"/>
      <c r="P67" s="2"/>
    </row>
    <row r="68" spans="1:16">
      <c r="A68" s="13">
        <f t="shared" si="0"/>
        <v>56</v>
      </c>
      <c r="B68" s="14">
        <f t="shared" si="1"/>
        <v>0</v>
      </c>
      <c r="C68" s="14">
        <f t="shared" si="2"/>
        <v>0</v>
      </c>
      <c r="D68" s="15">
        <f>IF(A68&lt;=$B$8,B68*(Quotation!$J$15/12),0)</f>
        <v>0</v>
      </c>
      <c r="E68" s="16">
        <f t="shared" si="3"/>
        <v>0</v>
      </c>
      <c r="F68" s="14">
        <f t="shared" si="4"/>
        <v>0</v>
      </c>
      <c r="G68" s="14">
        <f>IF(A68&lt;=$B$8,+C68*Quotation!$J$14,0)</f>
        <v>0</v>
      </c>
      <c r="H68" s="14">
        <f t="shared" si="5"/>
        <v>0</v>
      </c>
      <c r="I68" s="14">
        <f t="shared" si="6"/>
        <v>0</v>
      </c>
      <c r="J68" s="14">
        <f t="shared" si="7"/>
        <v>0</v>
      </c>
      <c r="K68" s="14">
        <f>IF(A68&lt;=$B$8,+J68*Quotation!$J$14,0)</f>
        <v>0</v>
      </c>
      <c r="L68" s="17">
        <f t="shared" si="8"/>
        <v>0</v>
      </c>
      <c r="M68" s="9"/>
      <c r="P68" s="2"/>
    </row>
    <row r="69" spans="1:16">
      <c r="A69" s="13">
        <f t="shared" si="0"/>
        <v>57</v>
      </c>
      <c r="B69" s="14">
        <f t="shared" si="1"/>
        <v>0</v>
      </c>
      <c r="C69" s="14">
        <f t="shared" si="2"/>
        <v>0</v>
      </c>
      <c r="D69" s="15">
        <f>IF(A69&lt;=$B$8,B69*(Quotation!$J$15/12),0)</f>
        <v>0</v>
      </c>
      <c r="E69" s="16">
        <f t="shared" si="3"/>
        <v>0</v>
      </c>
      <c r="F69" s="14">
        <f t="shared" si="4"/>
        <v>0</v>
      </c>
      <c r="G69" s="14">
        <f>IF(A69&lt;=$B$8,+C69*Quotation!$J$14,0)</f>
        <v>0</v>
      </c>
      <c r="H69" s="14">
        <f t="shared" si="5"/>
        <v>0</v>
      </c>
      <c r="I69" s="14">
        <f t="shared" si="6"/>
        <v>0</v>
      </c>
      <c r="J69" s="14">
        <f t="shared" si="7"/>
        <v>0</v>
      </c>
      <c r="K69" s="14">
        <f>IF(A69&lt;=$B$8,+J69*Quotation!$J$14,0)</f>
        <v>0</v>
      </c>
      <c r="L69" s="17">
        <f t="shared" si="8"/>
        <v>0</v>
      </c>
      <c r="M69" s="9"/>
      <c r="P69" s="2"/>
    </row>
    <row r="70" spans="1:16">
      <c r="A70" s="13">
        <f t="shared" si="0"/>
        <v>58</v>
      </c>
      <c r="B70" s="14">
        <f t="shared" si="1"/>
        <v>0</v>
      </c>
      <c r="C70" s="14">
        <f t="shared" si="2"/>
        <v>0</v>
      </c>
      <c r="D70" s="15">
        <f>IF(A70&lt;=$B$8,B70*(Quotation!$J$15/12),0)</f>
        <v>0</v>
      </c>
      <c r="E70" s="16">
        <f t="shared" si="3"/>
        <v>0</v>
      </c>
      <c r="F70" s="14">
        <f t="shared" si="4"/>
        <v>0</v>
      </c>
      <c r="G70" s="14">
        <f>IF(A70&lt;=$B$8,+C70*Quotation!$J$14,0)</f>
        <v>0</v>
      </c>
      <c r="H70" s="14">
        <f t="shared" si="5"/>
        <v>0</v>
      </c>
      <c r="I70" s="14">
        <f t="shared" si="6"/>
        <v>0</v>
      </c>
      <c r="J70" s="14">
        <f t="shared" si="7"/>
        <v>0</v>
      </c>
      <c r="K70" s="14">
        <f>IF(A70&lt;=$B$8,+J70*Quotation!$J$14,0)</f>
        <v>0</v>
      </c>
      <c r="L70" s="17">
        <f t="shared" si="8"/>
        <v>0</v>
      </c>
      <c r="M70" s="9"/>
      <c r="P70" s="2"/>
    </row>
    <row r="71" spans="1:16">
      <c r="A71" s="13">
        <f t="shared" si="0"/>
        <v>59</v>
      </c>
      <c r="B71" s="14">
        <f t="shared" si="1"/>
        <v>0</v>
      </c>
      <c r="C71" s="14">
        <f t="shared" si="2"/>
        <v>0</v>
      </c>
      <c r="D71" s="15">
        <f>IF(A71&lt;=$B$8,B71*(Quotation!$J$15/12),0)</f>
        <v>0</v>
      </c>
      <c r="E71" s="16">
        <f t="shared" si="3"/>
        <v>0</v>
      </c>
      <c r="F71" s="14">
        <f t="shared" si="4"/>
        <v>0</v>
      </c>
      <c r="G71" s="14">
        <f>IF(A71&lt;=$B$8,+C71*Quotation!$J$14,0)</f>
        <v>0</v>
      </c>
      <c r="H71" s="14">
        <f t="shared" si="5"/>
        <v>0</v>
      </c>
      <c r="I71" s="14">
        <f t="shared" si="6"/>
        <v>0</v>
      </c>
      <c r="J71" s="14">
        <f t="shared" si="7"/>
        <v>0</v>
      </c>
      <c r="K71" s="14">
        <f>IF(A71&lt;=$B$8,+J71*Quotation!$J$14,0)</f>
        <v>0</v>
      </c>
      <c r="L71" s="17">
        <f t="shared" si="8"/>
        <v>0</v>
      </c>
      <c r="M71" s="9"/>
      <c r="P71" s="2"/>
    </row>
    <row r="72" spans="1:16">
      <c r="A72" s="13">
        <f t="shared" si="0"/>
        <v>60</v>
      </c>
      <c r="B72" s="14">
        <f t="shared" si="1"/>
        <v>0</v>
      </c>
      <c r="C72" s="14">
        <f t="shared" si="2"/>
        <v>0</v>
      </c>
      <c r="D72" s="15">
        <f>IF(A72&lt;=$B$8,B72*(Quotation!$J$15/12),0)</f>
        <v>0</v>
      </c>
      <c r="E72" s="16">
        <f t="shared" si="3"/>
        <v>0</v>
      </c>
      <c r="F72" s="14">
        <f t="shared" si="4"/>
        <v>0</v>
      </c>
      <c r="G72" s="14">
        <f>IF(A72&lt;=$B$8,+C72*Quotation!$J$14,0)</f>
        <v>0</v>
      </c>
      <c r="H72" s="14">
        <f t="shared" si="5"/>
        <v>0</v>
      </c>
      <c r="I72" s="14">
        <f t="shared" si="6"/>
        <v>0</v>
      </c>
      <c r="J72" s="14">
        <f t="shared" si="7"/>
        <v>0</v>
      </c>
      <c r="K72" s="14">
        <f>IF(A72&lt;=$B$8,+J72*Quotation!$J$14,0)</f>
        <v>0</v>
      </c>
      <c r="L72" s="17">
        <f t="shared" si="8"/>
        <v>0</v>
      </c>
      <c r="M72" s="9"/>
      <c r="P72" s="2"/>
    </row>
    <row r="73" spans="1:16">
      <c r="D73" s="7">
        <f>SUM(D13:D72)</f>
        <v>261439.70982328206</v>
      </c>
      <c r="E73" s="7">
        <f>SUM(E13:E72)</f>
        <v>786546.15602247498</v>
      </c>
      <c r="F73" s="7">
        <f>SUM(F13:F72)</f>
        <v>31634204.888617132</v>
      </c>
      <c r="G73" s="7"/>
      <c r="H73" s="7"/>
      <c r="I73" s="7">
        <f>SUM(I13:I72)</f>
        <v>93853.142124066973</v>
      </c>
      <c r="J73" s="3"/>
      <c r="K73" s="3"/>
      <c r="L73" s="8"/>
    </row>
    <row r="74" spans="1:16">
      <c r="G74" s="6"/>
      <c r="H74" s="3"/>
      <c r="I74" s="3">
        <f>I73/B8</f>
        <v>1955.2737942513952</v>
      </c>
      <c r="J74" s="3"/>
      <c r="K74" s="3"/>
      <c r="L74" s="8"/>
    </row>
  </sheetData>
  <mergeCells count="2">
    <mergeCell ref="A2:L4"/>
    <mergeCell ref="J11:K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GODREJ</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vinodini satam</dc:creator>
  <cp:keywords/>
  <dc:description/>
  <cp:lastModifiedBy>Sinha, Kanishk</cp:lastModifiedBy>
  <cp:revision/>
  <dcterms:created xsi:type="dcterms:W3CDTF">2003-10-10T06:17:05Z</dcterms:created>
  <dcterms:modified xsi:type="dcterms:W3CDTF">2021-07-07T10:56:18Z</dcterms:modified>
  <cp:category/>
  <cp:contentStatus/>
</cp:coreProperties>
</file>