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bookViews>
    <workbookView xWindow="0" yWindow="0" windowWidth="20490" windowHeight="7650"/>
  </bookViews>
  <sheets>
    <sheet name="grade " sheetId="7" r:id="rId1"/>
    <sheet name="dashboard" sheetId="8" r:id="rId2"/>
    <sheet name="most sustainable corporations" sheetId="1" r:id="rId3"/>
    <sheet name="general " sheetId="3" r:id="rId4"/>
    <sheet name="revenue" sheetId="4" r:id="rId5"/>
    <sheet name="profit " sheetId="5" r:id="rId6"/>
  </sheets>
  <externalReferences>
    <externalReference r:id="rId7"/>
  </externalReferences>
  <calcPr calcId="162913"/>
  <pivotCaches>
    <pivotCache cacheId="0" r:id="rId8"/>
  </pivotCaches>
</workbook>
</file>

<file path=xl/calcChain.xml><?xml version="1.0" encoding="utf-8"?>
<calcChain xmlns="http://schemas.openxmlformats.org/spreadsheetml/2006/main">
  <c r="J6" i="5" l="1"/>
  <c r="J7" i="5"/>
  <c r="J8" i="5"/>
  <c r="J9" i="5"/>
  <c r="J10" i="5"/>
  <c r="J11" i="5"/>
  <c r="J12" i="5"/>
  <c r="J13" i="5"/>
  <c r="J14" i="5"/>
  <c r="J5" i="5"/>
  <c r="I6" i="5"/>
  <c r="I7" i="5"/>
  <c r="I8" i="5"/>
  <c r="I9" i="5"/>
  <c r="I10" i="5"/>
  <c r="I11" i="5"/>
  <c r="I12" i="5"/>
  <c r="I13" i="5"/>
  <c r="I14" i="5"/>
  <c r="I5" i="5"/>
  <c r="H6" i="5"/>
  <c r="H7" i="5"/>
  <c r="H8" i="5"/>
  <c r="H9" i="5"/>
  <c r="H10" i="5"/>
  <c r="H11" i="5"/>
  <c r="H12" i="5"/>
  <c r="H13" i="5"/>
  <c r="H14" i="5"/>
  <c r="H5" i="5"/>
  <c r="G6" i="5"/>
  <c r="G7" i="5"/>
  <c r="G8" i="5"/>
  <c r="G9" i="5"/>
  <c r="G10" i="5"/>
  <c r="G11" i="5"/>
  <c r="G12" i="5"/>
  <c r="G13" i="5"/>
  <c r="G14" i="5"/>
  <c r="G5" i="5"/>
  <c r="F6" i="5"/>
  <c r="F7" i="5"/>
  <c r="F8" i="5"/>
  <c r="F9" i="5"/>
  <c r="F10" i="5"/>
  <c r="F11" i="5"/>
  <c r="F12" i="5"/>
  <c r="F13" i="5"/>
  <c r="F14" i="5"/>
  <c r="F5" i="5"/>
  <c r="E6" i="5"/>
  <c r="E7" i="5"/>
  <c r="E8" i="5"/>
  <c r="E9" i="5"/>
  <c r="E10" i="5"/>
  <c r="E11" i="5"/>
  <c r="E12" i="5"/>
  <c r="E13" i="5"/>
  <c r="E14" i="5"/>
  <c r="E5" i="5"/>
  <c r="D6" i="5"/>
  <c r="D7" i="5"/>
  <c r="D8" i="5"/>
  <c r="D9" i="5"/>
  <c r="D10" i="5"/>
  <c r="D11" i="5"/>
  <c r="D12" i="5"/>
  <c r="D13" i="5"/>
  <c r="D14" i="5"/>
  <c r="D5" i="5"/>
  <c r="C5" i="5" a="1"/>
  <c r="C5" i="5" s="1"/>
  <c r="C12" i="5" l="1"/>
  <c r="C8" i="5"/>
  <c r="C11" i="5"/>
  <c r="C7" i="5"/>
  <c r="C14" i="5"/>
  <c r="C10" i="5"/>
  <c r="C6" i="5"/>
  <c r="C13" i="5"/>
  <c r="C9" i="5"/>
  <c r="D6" i="4" a="1"/>
  <c r="D6" i="4" s="1"/>
  <c r="J6" i="4" s="1"/>
  <c r="E6" i="4" l="1"/>
  <c r="G6" i="4"/>
  <c r="I6" i="4"/>
  <c r="F6" i="4"/>
  <c r="H6" i="4"/>
  <c r="D13" i="4"/>
  <c r="D12" i="4"/>
  <c r="D8" i="4"/>
  <c r="D15" i="4"/>
  <c r="D11" i="4"/>
  <c r="D7" i="4"/>
  <c r="D9" i="4"/>
  <c r="D14" i="4"/>
  <c r="D10" i="4"/>
  <c r="C34" i="3"/>
  <c r="C35" i="3"/>
  <c r="C36" i="3"/>
  <c r="C37" i="3"/>
  <c r="C38" i="3"/>
  <c r="C39" i="3"/>
  <c r="C40" i="3"/>
  <c r="C41" i="3"/>
  <c r="C42" i="3"/>
  <c r="C43" i="3"/>
  <c r="D7" i="3"/>
  <c r="H12" i="3"/>
  <c r="G12" i="3"/>
  <c r="F12" i="3"/>
  <c r="E12" i="3"/>
  <c r="D12" i="3"/>
  <c r="F11" i="3"/>
  <c r="E11" i="3"/>
  <c r="D11" i="3"/>
  <c r="F10" i="3"/>
  <c r="E10" i="3"/>
  <c r="D10" i="3"/>
  <c r="H9" i="3"/>
  <c r="G9" i="3"/>
  <c r="F9" i="3"/>
  <c r="E9" i="3"/>
  <c r="D9" i="3"/>
  <c r="H8" i="3"/>
  <c r="G8" i="3"/>
  <c r="F8" i="3"/>
  <c r="E8" i="3"/>
  <c r="D8" i="3"/>
  <c r="H7" i="3"/>
  <c r="G7" i="3"/>
  <c r="F7" i="3"/>
  <c r="E7" i="3"/>
  <c r="H6" i="3"/>
  <c r="G6" i="3"/>
  <c r="F6" i="3"/>
  <c r="E6" i="3"/>
  <c r="D6" i="3"/>
  <c r="H5" i="3"/>
  <c r="G5" i="3"/>
  <c r="F5" i="3"/>
  <c r="E5" i="3"/>
  <c r="D5" i="3"/>
  <c r="H4" i="3"/>
  <c r="G4" i="3"/>
  <c r="F4" i="3"/>
  <c r="E4" i="3"/>
  <c r="D4" i="3"/>
  <c r="F10" i="4" l="1"/>
  <c r="I10" i="4"/>
  <c r="G10" i="4"/>
  <c r="J10" i="4"/>
  <c r="H10" i="4"/>
  <c r="E10" i="4"/>
  <c r="J11" i="4"/>
  <c r="H11" i="4"/>
  <c r="E11" i="4"/>
  <c r="F11" i="4"/>
  <c r="I11" i="4"/>
  <c r="G11" i="4"/>
  <c r="I13" i="4"/>
  <c r="G13" i="4"/>
  <c r="J13" i="4"/>
  <c r="H13" i="4"/>
  <c r="E13" i="4"/>
  <c r="F13" i="4"/>
  <c r="F14" i="4"/>
  <c r="I14" i="4"/>
  <c r="G14" i="4"/>
  <c r="J14" i="4"/>
  <c r="H14" i="4"/>
  <c r="E14" i="4"/>
  <c r="J15" i="4"/>
  <c r="H15" i="4"/>
  <c r="E15" i="4"/>
  <c r="F15" i="4"/>
  <c r="I15" i="4"/>
  <c r="G15" i="4"/>
  <c r="I9" i="4"/>
  <c r="G9" i="4"/>
  <c r="J9" i="4"/>
  <c r="H9" i="4"/>
  <c r="E9" i="4"/>
  <c r="F9" i="4"/>
  <c r="J8" i="4"/>
  <c r="H8" i="4"/>
  <c r="E8" i="4"/>
  <c r="F8" i="4"/>
  <c r="I8" i="4"/>
  <c r="G8" i="4"/>
  <c r="J7" i="4"/>
  <c r="H7" i="4"/>
  <c r="E7" i="4"/>
  <c r="F7" i="4"/>
  <c r="I7" i="4"/>
  <c r="G7" i="4"/>
  <c r="J12" i="4"/>
  <c r="H12" i="4"/>
  <c r="E12" i="4"/>
  <c r="F12" i="4"/>
  <c r="I12" i="4"/>
  <c r="G12" i="4"/>
  <c r="B34" i="3" a="1"/>
  <c r="B35" i="3" s="1"/>
  <c r="E35" i="3" s="1"/>
  <c r="F35" i="3" l="1"/>
  <c r="H35" i="3"/>
  <c r="D35" i="3"/>
  <c r="G35" i="3"/>
  <c r="B44" i="3"/>
  <c r="C44" i="3" s="1"/>
  <c r="B40" i="3"/>
  <c r="B36" i="3"/>
  <c r="B42" i="3"/>
  <c r="B38" i="3"/>
  <c r="B34" i="3"/>
  <c r="B45" i="3"/>
  <c r="C45" i="3" s="1"/>
  <c r="B41" i="3"/>
  <c r="B37" i="3"/>
  <c r="B43" i="3"/>
  <c r="B39" i="3"/>
  <c r="C18" i="3" a="1"/>
  <c r="C18" i="3" s="1"/>
  <c r="D37" i="3" l="1"/>
  <c r="H37" i="3"/>
  <c r="F37" i="3"/>
  <c r="E37" i="3"/>
  <c r="G37" i="3"/>
  <c r="G38" i="3"/>
  <c r="D38" i="3"/>
  <c r="H38" i="3"/>
  <c r="F38" i="3"/>
  <c r="E38" i="3"/>
  <c r="E39" i="3"/>
  <c r="D39" i="3"/>
  <c r="G39" i="3"/>
  <c r="H39" i="3"/>
  <c r="F39" i="3"/>
  <c r="H36" i="3"/>
  <c r="F36" i="3"/>
  <c r="E36" i="3"/>
  <c r="G36" i="3"/>
  <c r="D36" i="3"/>
  <c r="E43" i="3"/>
  <c r="D43" i="3"/>
  <c r="G43" i="3"/>
  <c r="H43" i="3"/>
  <c r="F43" i="3"/>
  <c r="H34" i="3"/>
  <c r="F34" i="3"/>
  <c r="G34" i="3"/>
  <c r="E34" i="3"/>
  <c r="D34" i="3"/>
  <c r="H40" i="3"/>
  <c r="F40" i="3"/>
  <c r="E40" i="3"/>
  <c r="G40" i="3"/>
  <c r="D40" i="3"/>
  <c r="F18" i="3"/>
  <c r="D41" i="3"/>
  <c r="E41" i="3"/>
  <c r="H41" i="3"/>
  <c r="F41" i="3"/>
  <c r="G41" i="3"/>
  <c r="G42" i="3"/>
  <c r="H42" i="3"/>
  <c r="F42" i="3"/>
  <c r="D42" i="3"/>
  <c r="E42" i="3"/>
  <c r="E18" i="3"/>
  <c r="G18" i="3"/>
  <c r="H18" i="3"/>
  <c r="I18" i="3"/>
  <c r="C25" i="3"/>
  <c r="C21" i="3"/>
  <c r="C28" i="3"/>
  <c r="C24" i="3"/>
  <c r="C20" i="3"/>
  <c r="C27" i="3"/>
  <c r="C23" i="3"/>
  <c r="C19" i="3"/>
  <c r="C26" i="3"/>
  <c r="C22" i="3"/>
  <c r="B103" i="1"/>
  <c r="F19" i="3" l="1"/>
  <c r="E19" i="3"/>
  <c r="I19" i="3"/>
  <c r="D19" i="3"/>
  <c r="I24" i="3"/>
  <c r="D24" i="3"/>
  <c r="F24" i="3"/>
  <c r="E24" i="3"/>
  <c r="F23" i="3"/>
  <c r="E23" i="3"/>
  <c r="I23" i="3"/>
  <c r="D23" i="3"/>
  <c r="E22" i="3"/>
  <c r="I22" i="3"/>
  <c r="D22" i="3"/>
  <c r="F22" i="3"/>
  <c r="F27" i="3"/>
  <c r="E27" i="3"/>
  <c r="I27" i="3"/>
  <c r="D27" i="3"/>
  <c r="E21" i="3"/>
  <c r="I21" i="3"/>
  <c r="D21" i="3"/>
  <c r="F21" i="3"/>
  <c r="E26" i="3"/>
  <c r="I26" i="3"/>
  <c r="D26" i="3"/>
  <c r="F26" i="3"/>
  <c r="I20" i="3"/>
  <c r="D20" i="3"/>
  <c r="F20" i="3"/>
  <c r="E20" i="3"/>
  <c r="E25" i="3"/>
  <c r="D25" i="3"/>
  <c r="I25" i="3"/>
  <c r="F25" i="3"/>
  <c r="H26" i="3"/>
  <c r="G26" i="3"/>
  <c r="G20" i="3"/>
  <c r="H20" i="3"/>
  <c r="G25" i="3"/>
  <c r="H25" i="3"/>
  <c r="H19" i="3"/>
  <c r="G24" i="3"/>
  <c r="H24" i="3"/>
  <c r="H23" i="3"/>
  <c r="G23" i="3"/>
  <c r="H22" i="3"/>
  <c r="G22" i="3"/>
  <c r="H27" i="3"/>
  <c r="G27" i="3"/>
  <c r="G21" i="3"/>
  <c r="H21" i="3"/>
  <c r="E102" i="1" l="1"/>
  <c r="D102" i="1"/>
  <c r="C102" i="1"/>
  <c r="M102" i="1" l="1"/>
  <c r="L102" i="1"/>
  <c r="K102" i="1"/>
  <c r="I102" i="1"/>
  <c r="J102" i="1"/>
  <c r="H102" i="1"/>
  <c r="G102" i="1"/>
  <c r="F102" i="1"/>
</calcChain>
</file>

<file path=xl/sharedStrings.xml><?xml version="1.0" encoding="utf-8"?>
<sst xmlns="http://schemas.openxmlformats.org/spreadsheetml/2006/main" count="550" uniqueCount="289">
  <si>
    <t>Rank</t>
  </si>
  <si>
    <t>Previous Rank</t>
  </si>
  <si>
    <t>Company</t>
  </si>
  <si>
    <t>Location</t>
  </si>
  <si>
    <t>Industry</t>
  </si>
  <si>
    <t>Revenue</t>
  </si>
  <si>
    <t>Profit %</t>
  </si>
  <si>
    <t>CEO Pay Ratio</t>
  </si>
  <si>
    <t>Women on Board %</t>
  </si>
  <si>
    <t>Women in Leadership %</t>
  </si>
  <si>
    <t>Women in Workforce %</t>
  </si>
  <si>
    <t>Climate Grade</t>
  </si>
  <si>
    <t>Sustainability Initiatives</t>
  </si>
  <si>
    <t>Sims Ltd</t>
  </si>
  <si>
    <t>Mascot, Australia</t>
  </si>
  <si>
    <t>Waste management</t>
  </si>
  <si>
    <t>A+</t>
  </si>
  <si>
    <t>Brambles Ltd</t>
  </si>
  <si>
    <t>Sydney, Australia</t>
  </si>
  <si>
    <t>Furniture and general manufacturing</t>
  </si>
  <si>
    <t>A</t>
  </si>
  <si>
    <t>1.5°C, SBTi</t>
  </si>
  <si>
    <t>Vestas Wind Systems A/S</t>
  </si>
  <si>
    <t>Aarhus, Denmark</t>
  </si>
  <si>
    <t>Machinery manufacturing</t>
  </si>
  <si>
    <t>Taiwan High Speed Rail Corp</t>
  </si>
  <si>
    <t>Taipei, Taiwan</t>
  </si>
  <si>
    <t>Transit and ground transportation</t>
  </si>
  <si>
    <t>Nordex SE</t>
  </si>
  <si>
    <t>Hamburg, Germany</t>
  </si>
  <si>
    <t>Banco do Brasil SA</t>
  </si>
  <si>
    <t>Brasília, Brazil</t>
  </si>
  <si>
    <t>Banks</t>
  </si>
  <si>
    <t>A-</t>
  </si>
  <si>
    <t>7*</t>
  </si>
  <si>
    <t>Schneider Electric SE</t>
  </si>
  <si>
    <t>Rueil-Malmaison, France</t>
  </si>
  <si>
    <t>Electrical equipment manufacturing</t>
  </si>
  <si>
    <t>Chr Hansen Holding A/S</t>
  </si>
  <si>
    <t>Hørsholm, Denmark</t>
  </si>
  <si>
    <t>Food and beverage manufacturing</t>
  </si>
  <si>
    <t>Stantec Inc</t>
  </si>
  <si>
    <t>Edmonton, Canada</t>
  </si>
  <si>
    <t>Business, engineering and personal services</t>
  </si>
  <si>
    <t>SMA Solar Technology AG</t>
  </si>
  <si>
    <t>Niestetal, Germany</t>
  </si>
  <si>
    <t>Semiconductor and electronic components manufacturing</t>
  </si>
  <si>
    <t>SBTi</t>
  </si>
  <si>
    <t>Autodesk Inc</t>
  </si>
  <si>
    <t>San Francisco, U.S.</t>
  </si>
  <si>
    <t>IT services except telecom and hosting</t>
  </si>
  <si>
    <t>WSP Global Inc</t>
  </si>
  <si>
    <t>Montreal, Canada</t>
  </si>
  <si>
    <t>B+</t>
  </si>
  <si>
    <t>Clean Harbors Inc</t>
  </si>
  <si>
    <t>Norwell, U.S.</t>
  </si>
  <si>
    <t>Enphase Energy Inc</t>
  </si>
  <si>
    <t>Fremont, U.S.</t>
  </si>
  <si>
    <t>Telefonaktiebolaget LM Ericsson</t>
  </si>
  <si>
    <t>Stockholm, Sweden</t>
  </si>
  <si>
    <t>Telephones and telecom equipment manufacturing</t>
  </si>
  <si>
    <t>SunPower Corp</t>
  </si>
  <si>
    <t>Richmond, U.S.</t>
  </si>
  <si>
    <t>Ørsted A/S</t>
  </si>
  <si>
    <t>Fredericia, Denmark</t>
  </si>
  <si>
    <t>Power generation</t>
  </si>
  <si>
    <t>Alstom SA</t>
  </si>
  <si>
    <t>Saint-Ouen, France</t>
  </si>
  <si>
    <t>Non-road transport equipment manufacturing</t>
  </si>
  <si>
    <t>Neste Oyj</t>
  </si>
  <si>
    <t>Espoo, Finland</t>
  </si>
  <si>
    <t>Refining, petrochemicals and basic organic chemicals</t>
  </si>
  <si>
    <t>Dassault Systèmes SE</t>
  </si>
  <si>
    <t>Vélizy-Villacoublay, France</t>
  </si>
  <si>
    <t>Giant Manufacturing Co Ltd</t>
  </si>
  <si>
    <t>Taichung, Taiwan</t>
  </si>
  <si>
    <t>City Developments Ltd</t>
  </si>
  <si>
    <t>Singapore, Singapore</t>
  </si>
  <si>
    <t>Real estate</t>
  </si>
  <si>
    <t>Trane Technologies PLC</t>
  </si>
  <si>
    <t>Swords, Ireland</t>
  </si>
  <si>
    <t>HVAC equipment manufacturing</t>
  </si>
  <si>
    <t>United Utilities Group PLC</t>
  </si>
  <si>
    <t>Warrington, U.K.</t>
  </si>
  <si>
    <t>Water and sewage treatment</t>
  </si>
  <si>
    <t>XPeng Inc</t>
  </si>
  <si>
    <t>Guangzhou, China</t>
  </si>
  <si>
    <t>Cars and trucks manufacturing, including parts</t>
  </si>
  <si>
    <t>B</t>
  </si>
  <si>
    <t>Wheaton Precious Metals Corp</t>
  </si>
  <si>
    <t>Vancouver, Canada</t>
  </si>
  <si>
    <t>Asset management</t>
  </si>
  <si>
    <t>Brookfield Renewable Partners LP</t>
  </si>
  <si>
    <t>Hamilton, Bermuda</t>
  </si>
  <si>
    <t>ERG SpA</t>
  </si>
  <si>
    <t>Genoa, Italy</t>
  </si>
  <si>
    <t>Kesko Oyj</t>
  </si>
  <si>
    <t>Helsinki, Finland</t>
  </si>
  <si>
    <t>Grocery stores</t>
  </si>
  <si>
    <t>Risen Energy Co Ltd</t>
  </si>
  <si>
    <t>Ningbo, China</t>
  </si>
  <si>
    <t>Severn Trent PLC</t>
  </si>
  <si>
    <t>Coventry, U.K.</t>
  </si>
  <si>
    <t>Hydro One Ltd</t>
  </si>
  <si>
    <t>Toronto, Canada</t>
  </si>
  <si>
    <t>Power transmission and distribution</t>
  </si>
  <si>
    <t>Zhuzhou CRRC Times Electric Co Ltd</t>
  </si>
  <si>
    <t>Zhuzhou, China</t>
  </si>
  <si>
    <t>First Solar Inc</t>
  </si>
  <si>
    <t>Tempe, U.S.</t>
  </si>
  <si>
    <t>Eisai Co Ltd</t>
  </si>
  <si>
    <t>Tokyo, Japan</t>
  </si>
  <si>
    <t>Pharmaceutical and biotech manufacturing</t>
  </si>
  <si>
    <t>Radius Recycling</t>
  </si>
  <si>
    <t>Portland, U.S.</t>
  </si>
  <si>
    <t>Beazley PLC</t>
  </si>
  <si>
    <t>London, U.K.</t>
  </si>
  <si>
    <t>Insurance companies</t>
  </si>
  <si>
    <t>NZIA</t>
  </si>
  <si>
    <t>Cascades Inc</t>
  </si>
  <si>
    <t>Kingsey Falls, Canada</t>
  </si>
  <si>
    <t>Packaging</t>
  </si>
  <si>
    <t>EDP Renováveis SA</t>
  </si>
  <si>
    <t>Madrid, Spain</t>
  </si>
  <si>
    <t>Beijing Enterprises Water Group Ltd</t>
  </si>
  <si>
    <t>Hong Kong, China</t>
  </si>
  <si>
    <t>Atea ASA</t>
  </si>
  <si>
    <t>Oslo, Norway</t>
  </si>
  <si>
    <t>Computers and peripherals manufacturing</t>
  </si>
  <si>
    <t>Yadea Group Holdings Ltd</t>
  </si>
  <si>
    <t>Wuxi, China</t>
  </si>
  <si>
    <t>Li Auto Inc</t>
  </si>
  <si>
    <t>Beijing, China</t>
  </si>
  <si>
    <t>B-</t>
  </si>
  <si>
    <t>Maxeon Solar Technologies Ltd</t>
  </si>
  <si>
    <t>Kering SA</t>
  </si>
  <si>
    <t>Paris, France</t>
  </si>
  <si>
    <t>Retail, except grocery and auto</t>
  </si>
  <si>
    <t>1.5°C, SBTi, FCCA</t>
  </si>
  <si>
    <t>Tesla Inc</t>
  </si>
  <si>
    <t>Austin, U.S.</t>
  </si>
  <si>
    <t>Umicore SA</t>
  </si>
  <si>
    <t>Brussels, Belgium</t>
  </si>
  <si>
    <t>Basic inorganic chemicals and synthetics</t>
  </si>
  <si>
    <t>SAP SE</t>
  </si>
  <si>
    <t>Walldorf, Germany</t>
  </si>
  <si>
    <t>McCormick &amp; Company Inc</t>
  </si>
  <si>
    <t>Hunt Valley, U.S.</t>
  </si>
  <si>
    <t>NIO Inc</t>
  </si>
  <si>
    <t>Shanghai, China</t>
  </si>
  <si>
    <t>BCE Inc</t>
  </si>
  <si>
    <t>Verdun, Canada</t>
  </si>
  <si>
    <t>Telecom providers</t>
  </si>
  <si>
    <t>Investec Ltd</t>
  </si>
  <si>
    <t>Sandton, South Africa</t>
  </si>
  <si>
    <t>NZBA</t>
  </si>
  <si>
    <t>Novo Nordisk A/S</t>
  </si>
  <si>
    <t>Bagsvaerd, Denmark</t>
  </si>
  <si>
    <t>Puma SE</t>
  </si>
  <si>
    <t>Erlangen, Germany</t>
  </si>
  <si>
    <t>Textiles and clothing manufacturing</t>
  </si>
  <si>
    <t>SBTi, FCCA</t>
  </si>
  <si>
    <t>Samsung SDI Co Ltd</t>
  </si>
  <si>
    <t>Yongin-si, South Korea</t>
  </si>
  <si>
    <t>Rivian Automotive, Inc</t>
  </si>
  <si>
    <t>Irvine, U.S.</t>
  </si>
  <si>
    <t>Intesa Sanpaolo SpA</t>
  </si>
  <si>
    <t>Turin, Italy</t>
  </si>
  <si>
    <t>1.5°C, SBTi, NZBA</t>
  </si>
  <si>
    <t>Novozymes A/S</t>
  </si>
  <si>
    <t>C+</t>
  </si>
  <si>
    <t>Elisa Oyj</t>
  </si>
  <si>
    <t>Arçelik AS</t>
  </si>
  <si>
    <t>Istanbul, Turkey</t>
  </si>
  <si>
    <t>Appliances and lighting fixtures manufacturing</t>
  </si>
  <si>
    <t>Pirelli &amp; C SpA</t>
  </si>
  <si>
    <t>Milan, Italy</t>
  </si>
  <si>
    <t>Plastic and rubber product manufacturing</t>
  </si>
  <si>
    <t>Singapore Telecommunications Ltd</t>
  </si>
  <si>
    <t>Xinyi Solar Holdings Ltd</t>
  </si>
  <si>
    <t>Wuhu, China</t>
  </si>
  <si>
    <t>Glass and ceramics</t>
  </si>
  <si>
    <t>Cisco Systems Inc</t>
  </si>
  <si>
    <t>San Jose, U.S.</t>
  </si>
  <si>
    <t>KB Financial Group Inc</t>
  </si>
  <si>
    <t>Seoul, South Korea</t>
  </si>
  <si>
    <t>Sanofi SA</t>
  </si>
  <si>
    <t>HP Inc</t>
  </si>
  <si>
    <t>Palo Alto, U.S.</t>
  </si>
  <si>
    <t>Essity AB (publ)</t>
  </si>
  <si>
    <t>Equinix Inc</t>
  </si>
  <si>
    <t>Redwood City, U.S.</t>
  </si>
  <si>
    <t>Data processing, hosting services</t>
  </si>
  <si>
    <t>Unibail-Rodamco-Westfield SE</t>
  </si>
  <si>
    <t>Apple Inc</t>
  </si>
  <si>
    <t>Cupertino, U.S.</t>
  </si>
  <si>
    <t>Ricoh Co Ltd</t>
  </si>
  <si>
    <t>Cogeco Communications Inc</t>
  </si>
  <si>
    <t>Solaredge Technologies Inc</t>
  </si>
  <si>
    <t>Herzliya, Israel</t>
  </si>
  <si>
    <t>Telefônica Brasil SA</t>
  </si>
  <si>
    <t>São Paulo, Brazil</t>
  </si>
  <si>
    <t>Unilever PLC</t>
  </si>
  <si>
    <t>Personal products (retail chemical)</t>
  </si>
  <si>
    <t>Xerox Holdings Corp</t>
  </si>
  <si>
    <t>Norwalk, U.S.</t>
  </si>
  <si>
    <t>C</t>
  </si>
  <si>
    <t>Coloplast A/S</t>
  </si>
  <si>
    <t>Humlebæk, Denmark</t>
  </si>
  <si>
    <t>Medical equipment manufacturing</t>
  </si>
  <si>
    <t>Sun Life Financial Inc</t>
  </si>
  <si>
    <t>StarHub Ltd</t>
  </si>
  <si>
    <t>Hewlett Packard Enterprise Co</t>
  </si>
  <si>
    <t>Spring, U.S.</t>
  </si>
  <si>
    <t>Svenska Handelsbanken AB</t>
  </si>
  <si>
    <t>Nordea Bank Abp</t>
  </si>
  <si>
    <t>NZAM, NZAO, NZBA</t>
  </si>
  <si>
    <t>Orkla ASA</t>
  </si>
  <si>
    <t>Telus Corp</t>
  </si>
  <si>
    <t>Henkel AG &amp; Co KgaA</t>
  </si>
  <si>
    <t>Düsseldorf, Germany</t>
  </si>
  <si>
    <t>1.5°C, SBTi, NZAM</t>
  </si>
  <si>
    <t>Prologis Inc</t>
  </si>
  <si>
    <t>Real estate and leasing</t>
  </si>
  <si>
    <t>UniCredit SpA</t>
  </si>
  <si>
    <t>Commerzbank AG</t>
  </si>
  <si>
    <t>Frankfurt am Main, Germany</t>
  </si>
  <si>
    <t>SBTi, NZAM, NZBA</t>
  </si>
  <si>
    <t>BNP Paribas SA</t>
  </si>
  <si>
    <t>SBTi, NZAM, NZAO, NZBA</t>
  </si>
  <si>
    <t>Assicurazioni Generali SpA</t>
  </si>
  <si>
    <t>Trieste, Italy</t>
  </si>
  <si>
    <t>Teck Resources Ltd</t>
  </si>
  <si>
    <t>Metal and coal mining</t>
  </si>
  <si>
    <t>Vitasoy International Holdings Ltd</t>
  </si>
  <si>
    <t>Bank of China Ltd</t>
  </si>
  <si>
    <t>AstraZeneca PLC</t>
  </si>
  <si>
    <t>Cambridge, U.K.</t>
  </si>
  <si>
    <t>IGM Financial Inc</t>
  </si>
  <si>
    <t>Winnipeg, Canada</t>
  </si>
  <si>
    <t>C-</t>
  </si>
  <si>
    <t>NZAM</t>
  </si>
  <si>
    <t>Biomérieux SA</t>
  </si>
  <si>
    <t>Marcy l’Étoile, France</t>
  </si>
  <si>
    <t>Manulife Financial Corp</t>
  </si>
  <si>
    <t>Sino Land Co Ltd</t>
  </si>
  <si>
    <t>Sysmex Corp</t>
  </si>
  <si>
    <t>Kobe, Japan</t>
  </si>
  <si>
    <t>Instrumentation and other electronic manufacturing</t>
  </si>
  <si>
    <t xml:space="preserve">women on workforce </t>
  </si>
  <si>
    <t xml:space="preserve">women on borad </t>
  </si>
  <si>
    <t xml:space="preserve">Total revenue </t>
  </si>
  <si>
    <t>total profit</t>
  </si>
  <si>
    <t>pay ratio</t>
  </si>
  <si>
    <t>women in leadership</t>
  </si>
  <si>
    <t>cilmate grade</t>
  </si>
  <si>
    <t xml:space="preserve">sustanibilty inntative </t>
  </si>
  <si>
    <t xml:space="preserve">Operations </t>
  </si>
  <si>
    <t>Total</t>
  </si>
  <si>
    <t>Max</t>
  </si>
  <si>
    <t>Min</t>
  </si>
  <si>
    <t>Med</t>
  </si>
  <si>
    <t>Avg</t>
  </si>
  <si>
    <t>women on board</t>
  </si>
  <si>
    <t>top 10 rank</t>
  </si>
  <si>
    <t xml:space="preserve">Revenue </t>
  </si>
  <si>
    <t>Profet%</t>
  </si>
  <si>
    <t>Top pay</t>
  </si>
  <si>
    <t xml:space="preserve">location </t>
  </si>
  <si>
    <t>profet</t>
  </si>
  <si>
    <t>pay</t>
  </si>
  <si>
    <t>company</t>
  </si>
  <si>
    <t xml:space="preserve">women on board </t>
  </si>
  <si>
    <t>Previous top 10 rank</t>
  </si>
  <si>
    <r>
      <rPr>
        <b/>
        <sz val="16"/>
        <color rgb="FFFF0000"/>
        <rFont val="Calibri"/>
        <family val="2"/>
        <scheme val="minor"/>
      </rPr>
      <t>new top 10 rank</t>
    </r>
    <r>
      <rPr>
        <b/>
        <sz val="16"/>
        <color theme="0"/>
        <rFont val="Calibri"/>
        <family val="2"/>
        <scheme val="minor"/>
      </rPr>
      <t>k</t>
    </r>
  </si>
  <si>
    <t xml:space="preserve">Genral Data &amp; table </t>
  </si>
  <si>
    <t>To 10 Revenure</t>
  </si>
  <si>
    <t xml:space="preserve">Profit </t>
  </si>
  <si>
    <t xml:space="preserve">Grade </t>
  </si>
  <si>
    <t xml:space="preserve">Compny </t>
  </si>
  <si>
    <t>location</t>
  </si>
  <si>
    <t xml:space="preserve">Women on board </t>
  </si>
  <si>
    <t>Pay Ratio</t>
  </si>
  <si>
    <t xml:space="preserve">pay ratio </t>
  </si>
  <si>
    <t xml:space="preserve">Initative </t>
  </si>
  <si>
    <t>Profit</t>
  </si>
  <si>
    <t xml:space="preserve">Top 10 profit </t>
  </si>
  <si>
    <t>Count of Climate Grade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</si>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</sst>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8"/>
      <color theme="2" tint="-0.74999237037263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6" fontId="0" fillId="0" borderId="0" xfId="0" applyNumberFormat="1"/>
    <xf numFmtId="9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7" borderId="0" xfId="0" applyFill="1" applyAlignment="1">
      <alignment horizontal="center"/>
    </xf>
    <xf numFmtId="6" fontId="0" fillId="37" borderId="0" xfId="0" applyNumberFormat="1" applyFill="1"/>
    <xf numFmtId="9" fontId="0" fillId="37" borderId="0" xfId="0" applyNumberFormat="1" applyFill="1"/>
    <xf numFmtId="46" fontId="0" fillId="37" borderId="0" xfId="0" applyNumberFormat="1" applyFill="1"/>
    <xf numFmtId="0" fontId="0" fillId="37" borderId="0" xfId="0" applyNumberFormat="1" applyFill="1"/>
    <xf numFmtId="0" fontId="18" fillId="0" borderId="0" xfId="0" applyFont="1"/>
    <xf numFmtId="0" fontId="19" fillId="0" borderId="0" xfId="0" applyFont="1"/>
    <xf numFmtId="0" fontId="18" fillId="39" borderId="10" xfId="0" applyFont="1" applyFill="1" applyBorder="1"/>
    <xf numFmtId="0" fontId="18" fillId="0" borderId="10" xfId="0" applyFont="1" applyBorder="1"/>
    <xf numFmtId="0" fontId="20" fillId="40" borderId="0" xfId="0" applyFont="1" applyFill="1"/>
    <xf numFmtId="0" fontId="0" fillId="0" borderId="0" xfId="0" applyBorder="1"/>
    <xf numFmtId="0" fontId="18" fillId="0" borderId="0" xfId="0" applyFont="1" applyBorder="1"/>
    <xf numFmtId="0" fontId="21" fillId="0" borderId="0" xfId="0" applyFont="1"/>
    <xf numFmtId="0" fontId="22" fillId="0" borderId="0" xfId="0" applyFont="1"/>
    <xf numFmtId="44" fontId="0" fillId="0" borderId="0" xfId="0" applyNumberFormat="1"/>
    <xf numFmtId="44" fontId="0" fillId="0" borderId="0" xfId="42" applyNumberFormat="1" applyFont="1"/>
    <xf numFmtId="164" fontId="0" fillId="0" borderId="0" xfId="42" applyNumberFormat="1" applyFont="1"/>
    <xf numFmtId="9" fontId="0" fillId="0" borderId="0" xfId="43" applyFont="1"/>
    <xf numFmtId="0" fontId="23" fillId="0" borderId="0" xfId="0" applyFont="1"/>
    <xf numFmtId="0" fontId="24" fillId="0" borderId="0" xfId="0" applyFont="1"/>
    <xf numFmtId="0" fontId="18" fillId="39" borderId="11" xfId="0" applyFont="1" applyFill="1" applyBorder="1"/>
    <xf numFmtId="0" fontId="26" fillId="0" borderId="0" xfId="0" applyFont="1"/>
    <xf numFmtId="44" fontId="0" fillId="0" borderId="0" xfId="42" applyFont="1"/>
    <xf numFmtId="0" fontId="27" fillId="36" borderId="0" xfId="0" applyFont="1" applyFill="1"/>
    <xf numFmtId="164" fontId="18" fillId="0" borderId="0" xfId="42" applyNumberFormat="1" applyFont="1"/>
    <xf numFmtId="9" fontId="18" fillId="0" borderId="0" xfId="43" applyFont="1"/>
    <xf numFmtId="9" fontId="28" fillId="41" borderId="0" xfId="43" applyFont="1" applyFill="1"/>
    <xf numFmtId="0" fontId="28" fillId="41" borderId="0" xfId="0" applyFont="1" applyFill="1"/>
    <xf numFmtId="9" fontId="29" fillId="0" borderId="0" xfId="43" applyFont="1"/>
    <xf numFmtId="0" fontId="0" fillId="42" borderId="0" xfId="0" applyFill="1"/>
    <xf numFmtId="0" fontId="0" fillId="0" borderId="0" xfId="0" pivotButton="1"/>
    <xf numFmtId="0" fontId="0" fillId="0" borderId="0" xfId="0" applyNumberFormat="1"/>
    <xf numFmtId="0" fontId="0" fillId="42" borderId="0" xfId="0" applyFont="1" applyFill="1"/>
    <xf numFmtId="0" fontId="17" fillId="36" borderId="0" xfId="0" applyFont="1" applyFill="1" applyAlignment="1">
      <alignment horizontal="right"/>
    </xf>
    <xf numFmtId="0" fontId="17" fillId="36" borderId="0" xfId="0" applyFont="1" applyFill="1"/>
    <xf numFmtId="0" fontId="0" fillId="4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ill>
        <patternFill>
          <fgColor indexed="64"/>
          <bgColor theme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31" formatCode="[h]:mm:ss"/>
      <fill>
        <patternFill patternType="solid">
          <fgColor indexed="64"/>
          <bgColor theme="7" tint="0.39997558519241921"/>
        </patternFill>
      </fill>
    </dxf>
    <dxf>
      <numFmt numFmtId="13" formatCode="0%"/>
      <fill>
        <patternFill patternType="solid">
          <fgColor indexed="64"/>
          <bgColor theme="7" tint="0.39997558519241921"/>
        </patternFill>
      </fill>
    </dxf>
    <dxf>
      <numFmt numFmtId="10" formatCode="&quot;$&quot;#,##0_);[Red]\(&quot;$&quot;#,##0\)"/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</dxf>
    <dxf>
      <fill>
        <patternFill>
          <fgColor indexed="64"/>
          <bgColor theme="7" tint="0.39997558519241921"/>
        </patternFill>
      </fill>
    </dxf>
    <dxf>
      <fill>
        <patternFill patternType="solid">
          <fgColor indexed="64"/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[most sustainable ( my first analytic.xlsx]grade 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Climate Grade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'grade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'grade '!$A$4:$A$13</c:f>
              <c:strCache>
                <c:ptCount val="10"/>
                <c:pt idx="0">
                  <c:v>A</c:v>
                </c:pt>
                <c:pt idx="1">
                  <c:v>A-</c:v>
                </c:pt>
                <c:pt idx="2">
                  <c:v>A+</c:v>
                </c:pt>
                <c:pt idx="3">
                  <c:v>B</c:v>
                </c:pt>
                <c:pt idx="4">
                  <c:v>B-</c:v>
                </c:pt>
                <c:pt idx="5">
                  <c:v>B+</c:v>
                </c:pt>
                <c:pt idx="6">
                  <c:v>C</c:v>
                </c:pt>
                <c:pt idx="7">
                  <c:v>C-</c:v>
                </c:pt>
                <c:pt idx="8">
                  <c:v>C+</c:v>
                </c:pt>
                <c:pt idx="9">
                  <c:v>(blank)</c:v>
                </c:pt>
              </c:strCache>
            </c:strRef>
          </c:cat>
          <c:val>
            <c:numRef>
              <c:f>'grade '!$B$4:$B$13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1</c:v>
                </c:pt>
                <c:pt idx="3">
                  <c:v>18</c:v>
                </c:pt>
                <c:pt idx="4">
                  <c:v>15</c:v>
                </c:pt>
                <c:pt idx="5">
                  <c:v>13</c:v>
                </c:pt>
                <c:pt idx="6">
                  <c:v>18</c:v>
                </c:pt>
                <c:pt idx="7">
                  <c:v>5</c:v>
                </c:pt>
                <c:pt idx="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D-4B19-B9BB-91C20C835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025552"/>
        <c:axId val="1590025968"/>
      </c:barChart>
      <c:catAx>
        <c:axId val="159002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25968"/>
        <c:crosses val="autoZero"/>
        <c:auto val="1"/>
        <c:lblAlgn val="ctr"/>
        <c:lblOffset val="100"/>
        <c:noMultiLvlLbl val="0"/>
      </c:catAx>
      <c:valAx>
        <c:axId val="159002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2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General Table</a:t>
            </a:r>
          </a:p>
        </c:rich>
      </c:tx>
      <c:layout>
        <c:manualLayout>
          <c:xMode val="edge"/>
          <c:yMode val="edge"/>
          <c:x val="0.342826334208224"/>
          <c:y val="2.3148148148148147E-2"/>
        </c:manualLayout>
      </c:layout>
      <c:overlay val="0"/>
      <c:spPr>
        <a:noFill/>
        <a:ln>
          <a:gradFill>
            <a:gsLst>
              <a:gs pos="1800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[1]Sheet2!$C$4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[1]Sheet2!$C$5:$C$13</c:f>
              <c:numCache>
                <c:formatCode>General</c:formatCode>
                <c:ptCount val="9"/>
                <c:pt idx="0">
                  <c:v>59449548</c:v>
                </c:pt>
                <c:pt idx="1">
                  <c:v>13.28</c:v>
                </c:pt>
                <c:pt idx="2">
                  <c:v>290.68194444444447</c:v>
                </c:pt>
                <c:pt idx="3">
                  <c:v>34.349999999999987</c:v>
                </c:pt>
                <c:pt idx="4">
                  <c:v>50.659999999999982</c:v>
                </c:pt>
                <c:pt idx="5">
                  <c:v>46.169999999999987</c:v>
                </c:pt>
                <c:pt idx="6">
                  <c:v>99</c:v>
                </c:pt>
                <c:pt idx="7">
                  <c:v>73</c:v>
                </c:pt>
                <c:pt idx="8">
                  <c:v>5050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1-4558-B86E-5D90C9612638}"/>
            </c:ext>
          </c:extLst>
        </c:ser>
        <c:ser>
          <c:idx val="1"/>
          <c:order val="1"/>
          <c:tx>
            <c:strRef>
              <c:f>[1]Sheet2!$D$4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[1]Sheet2!$D$5:$D$13</c:f>
              <c:numCache>
                <c:formatCode>General</c:formatCode>
                <c:ptCount val="9"/>
                <c:pt idx="0">
                  <c:v>33251733</c:v>
                </c:pt>
                <c:pt idx="1">
                  <c:v>0.73</c:v>
                </c:pt>
                <c:pt idx="2">
                  <c:v>32.792361111111113</c:v>
                </c:pt>
                <c:pt idx="3">
                  <c:v>0.57999999999999996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A1-4558-B86E-5D90C9612638}"/>
            </c:ext>
          </c:extLst>
        </c:ser>
        <c:ser>
          <c:idx val="2"/>
          <c:order val="2"/>
          <c:tx>
            <c:strRef>
              <c:f>[1]Sheet2!$E$4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[1]Sheet2!$E$5:$E$13</c:f>
              <c:numCache>
                <c:formatCode>General</c:formatCode>
                <c:ptCount val="9"/>
                <c:pt idx="0">
                  <c:v>891</c:v>
                </c:pt>
                <c:pt idx="1">
                  <c:v>0</c:v>
                </c:pt>
                <c:pt idx="2">
                  <c:v>0.1673611111111111</c:v>
                </c:pt>
                <c:pt idx="3">
                  <c:v>0</c:v>
                </c:pt>
                <c:pt idx="4">
                  <c:v>0.02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A1-4558-B86E-5D90C9612638}"/>
            </c:ext>
          </c:extLst>
        </c:ser>
        <c:ser>
          <c:idx val="3"/>
          <c:order val="3"/>
          <c:tx>
            <c:strRef>
              <c:f>[1]Sheet2!$F$4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[1]Sheet2!$F$5:$F$13</c:f>
              <c:numCache>
                <c:formatCode>General</c:formatCode>
                <c:ptCount val="9"/>
                <c:pt idx="0">
                  <c:v>83528</c:v>
                </c:pt>
                <c:pt idx="1">
                  <c:v>0.13</c:v>
                </c:pt>
                <c:pt idx="2">
                  <c:v>2.2923611111111111</c:v>
                </c:pt>
                <c:pt idx="3">
                  <c:v>0.38</c:v>
                </c:pt>
                <c:pt idx="4">
                  <c:v>0.47</c:v>
                </c:pt>
                <c:pt idx="5">
                  <c:v>0.315</c:v>
                </c:pt>
                <c:pt idx="8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A1-4558-B86E-5D90C9612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072223"/>
        <c:axId val="1862064735"/>
      </c:barChart>
      <c:lineChart>
        <c:grouping val="standard"/>
        <c:varyColors val="0"/>
        <c:ser>
          <c:idx val="4"/>
          <c:order val="4"/>
          <c:tx>
            <c:strRef>
              <c:f>[1]Sheet2!$G$4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[1]Sheet2!$G$5:$G$13</c:f>
              <c:numCache>
                <c:formatCode>General</c:formatCode>
                <c:ptCount val="9"/>
                <c:pt idx="0">
                  <c:v>619266.125</c:v>
                </c:pt>
                <c:pt idx="1">
                  <c:v>0.1328</c:v>
                </c:pt>
                <c:pt idx="2">
                  <c:v>3.5449017615176155</c:v>
                </c:pt>
                <c:pt idx="3">
                  <c:v>0.34349999999999986</c:v>
                </c:pt>
                <c:pt idx="4">
                  <c:v>0.50659999999999983</c:v>
                </c:pt>
                <c:pt idx="5">
                  <c:v>619266.125</c:v>
                </c:pt>
                <c:pt idx="8">
                  <c:v>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A1-4558-B86E-5D90C9612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065567"/>
        <c:axId val="1862058495"/>
      </c:lineChart>
      <c:catAx>
        <c:axId val="186207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64735"/>
        <c:crosses val="autoZero"/>
        <c:auto val="1"/>
        <c:lblAlgn val="ctr"/>
        <c:lblOffset val="100"/>
        <c:noMultiLvlLbl val="0"/>
      </c:catAx>
      <c:valAx>
        <c:axId val="186206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72223"/>
        <c:crosses val="autoZero"/>
        <c:crossBetween val="between"/>
      </c:valAx>
      <c:valAx>
        <c:axId val="186205849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65567"/>
        <c:crosses val="max"/>
        <c:crossBetween val="between"/>
      </c:valAx>
      <c:catAx>
        <c:axId val="18620655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2058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previous</a:t>
            </a:r>
            <a:r>
              <a:rPr lang="en-US" baseline="0"/>
              <a:t> rank </a:t>
            </a:r>
            <a:endParaRPr lang="en-US"/>
          </a:p>
        </c:rich>
      </c:tx>
      <c:layout/>
      <c:overlay val="0"/>
      <c:spPr>
        <a:noFill/>
        <a:ln>
          <a:solidFill>
            <a:schemeClr val="accent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'general '!$D$16</c:f>
              <c:strCache>
                <c:ptCount val="1"/>
                <c:pt idx="0">
                  <c:v>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'!$D$17:$D$27</c:f>
              <c:numCache>
                <c:formatCode>_("$"* #,##0_);_("$"* \(#,##0\);_("$"* "-"??_);_(@_)</c:formatCode>
                <c:ptCount val="10"/>
                <c:pt idx="1">
                  <c:v>9681</c:v>
                </c:pt>
                <c:pt idx="2">
                  <c:v>9681</c:v>
                </c:pt>
                <c:pt idx="3">
                  <c:v>9681</c:v>
                </c:pt>
                <c:pt idx="4">
                  <c:v>9681</c:v>
                </c:pt>
                <c:pt idx="5">
                  <c:v>9681</c:v>
                </c:pt>
                <c:pt idx="6">
                  <c:v>423236</c:v>
                </c:pt>
                <c:pt idx="7">
                  <c:v>58936</c:v>
                </c:pt>
                <c:pt idx="8">
                  <c:v>64565</c:v>
                </c:pt>
                <c:pt idx="9">
                  <c:v>42750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5-4292-AAC3-6825604D7F72}"/>
            </c:ext>
          </c:extLst>
        </c:ser>
        <c:ser>
          <c:idx val="1"/>
          <c:order val="1"/>
          <c:tx>
            <c:strRef>
              <c:f>'general '!$E$16</c:f>
              <c:strCache>
                <c:ptCount val="1"/>
                <c:pt idx="0">
                  <c:v>Profet%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'!$E$17:$E$27</c:f>
              <c:numCache>
                <c:formatCode>0%</c:formatCode>
                <c:ptCount val="10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0.19</c:v>
                </c:pt>
                <c:pt idx="8">
                  <c:v>0.08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5-4292-AAC3-6825604D7F72}"/>
            </c:ext>
          </c:extLst>
        </c:ser>
        <c:ser>
          <c:idx val="2"/>
          <c:order val="2"/>
          <c:tx>
            <c:strRef>
              <c:f>'general '!$F$16</c:f>
              <c:strCache>
                <c:ptCount val="1"/>
                <c:pt idx="0">
                  <c:v>Top pay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'!$F$17:$F$27</c:f>
              <c:numCache>
                <c:formatCode>_("$"* #,##0.00_);_("$"* \(#,##0.00\);_("$"* "-"??_);_(@_)</c:formatCode>
                <c:ptCount val="10"/>
                <c:pt idx="0">
                  <c:v>4.6256944444444441</c:v>
                </c:pt>
                <c:pt idx="1">
                  <c:v>2.9173611111111111</c:v>
                </c:pt>
                <c:pt idx="2">
                  <c:v>2.9173611111111111</c:v>
                </c:pt>
                <c:pt idx="3">
                  <c:v>2.9173611111111111</c:v>
                </c:pt>
                <c:pt idx="4">
                  <c:v>2.9173611111111111</c:v>
                </c:pt>
                <c:pt idx="5">
                  <c:v>2.9173611111111111</c:v>
                </c:pt>
                <c:pt idx="6">
                  <c:v>1.5006944444444443</c:v>
                </c:pt>
                <c:pt idx="7">
                  <c:v>5.500694444444445</c:v>
                </c:pt>
                <c:pt idx="8">
                  <c:v>14.084027777777777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5-4292-AAC3-6825604D7F72}"/>
            </c:ext>
          </c:extLst>
        </c:ser>
        <c:ser>
          <c:idx val="3"/>
          <c:order val="3"/>
          <c:tx>
            <c:strRef>
              <c:f>'general '!$G$16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'!$G$17:$G$27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A5-4292-AAC3-6825604D7F72}"/>
            </c:ext>
          </c:extLst>
        </c:ser>
        <c:ser>
          <c:idx val="4"/>
          <c:order val="4"/>
          <c:tx>
            <c:strRef>
              <c:f>'general '!$H$16</c:f>
              <c:strCache>
                <c:ptCount val="1"/>
                <c:pt idx="0">
                  <c:v>location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'!$H$17:$H$27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A5-4292-AAC3-6825604D7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79664"/>
        <c:axId val="64180496"/>
      </c:barChart>
      <c:lineChart>
        <c:grouping val="standard"/>
        <c:varyColors val="0"/>
        <c:ser>
          <c:idx val="5"/>
          <c:order val="5"/>
          <c:tx>
            <c:strRef>
              <c:f>'general '!$I$16</c:f>
              <c:strCache>
                <c:ptCount val="1"/>
                <c:pt idx="0">
                  <c:v>women on board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'!$I$17:$I$27</c:f>
              <c:numCache>
                <c:formatCode>0%</c:formatCode>
                <c:ptCount val="10"/>
                <c:pt idx="0">
                  <c:v>0.38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0.45</c:v>
                </c:pt>
                <c:pt idx="7">
                  <c:v>0.44</c:v>
                </c:pt>
                <c:pt idx="8">
                  <c:v>0.43</c:v>
                </c:pt>
                <c:pt idx="9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A5-4292-AAC3-6825604D7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00880"/>
        <c:axId val="64204208"/>
      </c:lineChart>
      <c:catAx>
        <c:axId val="6417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0496"/>
        <c:crosses val="autoZero"/>
        <c:auto val="1"/>
        <c:lblAlgn val="ctr"/>
        <c:lblOffset val="100"/>
        <c:noMultiLvlLbl val="0"/>
      </c:catAx>
      <c:valAx>
        <c:axId val="6418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79664"/>
        <c:crosses val="autoZero"/>
        <c:crossBetween val="between"/>
      </c:valAx>
      <c:valAx>
        <c:axId val="642042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00880"/>
        <c:crosses val="max"/>
        <c:crossBetween val="between"/>
      </c:valAx>
      <c:catAx>
        <c:axId val="64200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204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rank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0803437600224"/>
          <c:y val="0.37324151554226453"/>
          <c:w val="0.69977235389217241"/>
          <c:h val="0.542213686703796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'!$C$33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'!$C$34:$C$43</c:f>
              <c:numCache>
                <c:formatCode>_("$"* #,##0_);_("$"* \(#,##0\);_("$"* "-"??_);_(@_)</c:formatCode>
                <c:ptCount val="10"/>
                <c:pt idx="0">
                  <c:v>154501</c:v>
                </c:pt>
                <c:pt idx="1">
                  <c:v>10127</c:v>
                </c:pt>
                <c:pt idx="2">
                  <c:v>206669</c:v>
                </c:pt>
                <c:pt idx="3">
                  <c:v>75374</c:v>
                </c:pt>
                <c:pt idx="4">
                  <c:v>4947231</c:v>
                </c:pt>
                <c:pt idx="5">
                  <c:v>100380</c:v>
                </c:pt>
                <c:pt idx="6">
                  <c:v>100123</c:v>
                </c:pt>
                <c:pt idx="7">
                  <c:v>9681</c:v>
                </c:pt>
                <c:pt idx="8">
                  <c:v>4846</c:v>
                </c:pt>
                <c:pt idx="9">
                  <c:v>1273258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9-4512-AC07-BB0B026537B2}"/>
            </c:ext>
          </c:extLst>
        </c:ser>
        <c:ser>
          <c:idx val="1"/>
          <c:order val="1"/>
          <c:tx>
            <c:strRef>
              <c:f>'general '!$D$33</c:f>
              <c:strCache>
                <c:ptCount val="1"/>
                <c:pt idx="0">
                  <c:v>profet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'!$D$34:$D$43</c:f>
              <c:numCache>
                <c:formatCode>0%</c:formatCode>
                <c:ptCount val="10"/>
                <c:pt idx="0">
                  <c:v>0.2</c:v>
                </c:pt>
                <c:pt idx="1">
                  <c:v>0.2</c:v>
                </c:pt>
                <c:pt idx="2">
                  <c:v>0.11</c:v>
                </c:pt>
                <c:pt idx="3">
                  <c:v>0.18</c:v>
                </c:pt>
                <c:pt idx="4">
                  <c:v>0.17</c:v>
                </c:pt>
                <c:pt idx="5">
                  <c:v>0.15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0.13</c:v>
                </c:pt>
                <c:pt idx="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9-4512-AC07-BB0B026537B2}"/>
            </c:ext>
          </c:extLst>
        </c:ser>
        <c:ser>
          <c:idx val="2"/>
          <c:order val="2"/>
          <c:tx>
            <c:strRef>
              <c:f>'general '!$E$33</c:f>
              <c:strCache>
                <c:ptCount val="1"/>
                <c:pt idx="0">
                  <c:v>pay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'!$E$34:$E$43</c:f>
              <c:numCache>
                <c:formatCode>_("$"* #,##0.00_);_("$"* \(#,##0.00\);_("$"* "-"??_);_(@_)</c:formatCode>
                <c:ptCount val="10"/>
                <c:pt idx="0">
                  <c:v>0.91736111111111107</c:v>
                </c:pt>
                <c:pt idx="1">
                  <c:v>2.0840277777777776</c:v>
                </c:pt>
                <c:pt idx="2">
                  <c:v>6.459027777777778</c:v>
                </c:pt>
                <c:pt idx="3">
                  <c:v>0.75069444444444444</c:v>
                </c:pt>
                <c:pt idx="4">
                  <c:v>2.0423611111111111</c:v>
                </c:pt>
                <c:pt idx="5">
                  <c:v>4.6256944444444441</c:v>
                </c:pt>
                <c:pt idx="6">
                  <c:v>0.1673611111111111</c:v>
                </c:pt>
                <c:pt idx="7">
                  <c:v>2.9173611111111111</c:v>
                </c:pt>
                <c:pt idx="8">
                  <c:v>3.2923611111111111</c:v>
                </c:pt>
                <c:pt idx="9">
                  <c:v>3.0006944444444446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9-4512-AC07-BB0B026537B2}"/>
            </c:ext>
          </c:extLst>
        </c:ser>
        <c:ser>
          <c:idx val="3"/>
          <c:order val="3"/>
          <c:tx>
            <c:strRef>
              <c:f>'general '!$F$33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'!$F$34:$F$43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19-4512-AC07-BB0B026537B2}"/>
            </c:ext>
          </c:extLst>
        </c:ser>
        <c:ser>
          <c:idx val="4"/>
          <c:order val="4"/>
          <c:tx>
            <c:strRef>
              <c:f>'general '!$G$33</c:f>
              <c:strCache>
                <c:ptCount val="1"/>
                <c:pt idx="0">
                  <c:v>location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'!$G$34:$G$43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19-4512-AC07-BB0B02653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89120"/>
        <c:axId val="10979552"/>
      </c:barChart>
      <c:lineChart>
        <c:grouping val="standard"/>
        <c:varyColors val="0"/>
        <c:ser>
          <c:idx val="5"/>
          <c:order val="5"/>
          <c:tx>
            <c:strRef>
              <c:f>'general '!$H$33</c:f>
              <c:strCache>
                <c:ptCount val="1"/>
                <c:pt idx="0">
                  <c:v>women on board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'!$H$34:$H$43</c:f>
              <c:numCache>
                <c:formatCode>0%</c:formatCode>
                <c:ptCount val="10"/>
                <c:pt idx="0">
                  <c:v>0.08</c:v>
                </c:pt>
                <c:pt idx="1">
                  <c:v>0.08</c:v>
                </c:pt>
                <c:pt idx="2">
                  <c:v>0.57999999999999996</c:v>
                </c:pt>
                <c:pt idx="3">
                  <c:v>0.44</c:v>
                </c:pt>
                <c:pt idx="4">
                  <c:v>0.33</c:v>
                </c:pt>
                <c:pt idx="5">
                  <c:v>0.38</c:v>
                </c:pt>
                <c:pt idx="6">
                  <c:v>0.15</c:v>
                </c:pt>
                <c:pt idx="7">
                  <c:v>0.18</c:v>
                </c:pt>
                <c:pt idx="8">
                  <c:v>0.28999999999999998</c:v>
                </c:pt>
                <c:pt idx="9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512-AC07-BB0B02653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5808"/>
        <c:axId val="10996192"/>
      </c:lineChart>
      <c:catAx>
        <c:axId val="1098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552"/>
        <c:crosses val="autoZero"/>
        <c:auto val="1"/>
        <c:lblAlgn val="ctr"/>
        <c:lblOffset val="100"/>
        <c:noMultiLvlLbl val="0"/>
      </c:catAx>
      <c:valAx>
        <c:axId val="109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120"/>
        <c:crosses val="autoZero"/>
        <c:crossBetween val="between"/>
      </c:valAx>
      <c:valAx>
        <c:axId val="1099619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5808"/>
        <c:crosses val="max"/>
        <c:crossBetween val="between"/>
      </c:valAx>
      <c:catAx>
        <c:axId val="10975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96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Profit 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A- Brasília, Brazil</c:v>
              </c:pt>
              <c:pt idx="1">
                <c:v>A- San Francisco, U.S.</c:v>
              </c:pt>
              <c:pt idx="2">
                <c:v>B London, U.K.</c:v>
              </c:pt>
              <c:pt idx="3">
                <c:v>B Vancouver, Canada</c:v>
              </c:pt>
              <c:pt idx="4">
                <c:v>C Helsinki, Finland</c:v>
              </c:pt>
              <c:pt idx="5">
                <c:v>C San Francisco, U.S.</c:v>
              </c:pt>
              <c:pt idx="6">
                <c:v>C Stockholm, Sweden</c:v>
              </c:pt>
              <c:pt idx="7">
                <c:v>C Toronto, Canada</c:v>
              </c:pt>
              <c:pt idx="8">
                <c:v>C Trieste, Italy</c:v>
              </c:pt>
              <c:pt idx="9">
                <c:v>C- Winnipeg, Canada</c:v>
              </c:pt>
            </c:strLit>
          </c:cat>
          <c:val>
            <c:numLit>
              <c:formatCode>General</c:formatCode>
              <c:ptCount val="10"/>
              <c:pt idx="0">
                <c:v>0.17</c:v>
              </c:pt>
              <c:pt idx="1">
                <c:v>0.19</c:v>
              </c:pt>
              <c:pt idx="2">
                <c:v>0.1</c:v>
              </c:pt>
              <c:pt idx="3">
                <c:v>0</c:v>
              </c:pt>
              <c:pt idx="4">
                <c:v>0.1</c:v>
              </c:pt>
              <c:pt idx="5">
                <c:v>0.03</c:v>
              </c:pt>
              <c:pt idx="6">
                <c:v>0.26</c:v>
              </c:pt>
              <c:pt idx="7">
                <c:v>0.15</c:v>
              </c:pt>
              <c:pt idx="8">
                <c:v>0.25</c:v>
              </c:pt>
              <c:pt idx="9">
                <c:v>0.17</c:v>
              </c:pt>
            </c:numLit>
          </c:val>
          <c:extLst>
            <c:ext xmlns:c16="http://schemas.microsoft.com/office/drawing/2014/chart" uri="{C3380CC4-5D6E-409C-BE32-E72D297353CC}">
              <c16:uniqueId val="{00000000-D284-42F5-87FE-AF25E3ED2489}"/>
            </c:ext>
          </c:extLst>
        </c:ser>
        <c:ser>
          <c:idx val="1"/>
          <c:order val="1"/>
          <c:tx>
            <c:v>Sum of Pay Ratio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A- Brasília, Brazil</c:v>
              </c:pt>
              <c:pt idx="1">
                <c:v>A- San Francisco, U.S.</c:v>
              </c:pt>
              <c:pt idx="2">
                <c:v>B London, U.K.</c:v>
              </c:pt>
              <c:pt idx="3">
                <c:v>B Vancouver, Canada</c:v>
              </c:pt>
              <c:pt idx="4">
                <c:v>C Helsinki, Finland</c:v>
              </c:pt>
              <c:pt idx="5">
                <c:v>C San Francisco, U.S.</c:v>
              </c:pt>
              <c:pt idx="6">
                <c:v>C Stockholm, Sweden</c:v>
              </c:pt>
              <c:pt idx="7">
                <c:v>C Toronto, Canada</c:v>
              </c:pt>
              <c:pt idx="8">
                <c:v>C Trieste, Italy</c:v>
              </c:pt>
              <c:pt idx="9">
                <c:v>C- Winnipeg, Canada</c:v>
              </c:pt>
            </c:strLit>
          </c:cat>
          <c:val>
            <c:numLit>
              <c:formatCode>General</c:formatCode>
              <c:ptCount val="10"/>
              <c:pt idx="0">
                <c:v>0.3756944444444445</c:v>
              </c:pt>
              <c:pt idx="1">
                <c:v>0</c:v>
              </c:pt>
              <c:pt idx="2">
                <c:v>0.45902777777777781</c:v>
              </c:pt>
              <c:pt idx="3">
                <c:v>0.20902777777777778</c:v>
              </c:pt>
              <c:pt idx="4">
                <c:v>1.4590277777777778</c:v>
              </c:pt>
              <c:pt idx="5">
                <c:v>7.084027777777778</c:v>
              </c:pt>
              <c:pt idx="6">
                <c:v>0.7090277777777777</c:v>
              </c:pt>
              <c:pt idx="7">
                <c:v>5.1673611111111111</c:v>
              </c:pt>
              <c:pt idx="8">
                <c:v>3.0006944444444446</c:v>
              </c:pt>
              <c:pt idx="9">
                <c:v>2.0423611111111111</c:v>
              </c:pt>
            </c:numLit>
          </c:val>
          <c:extLst>
            <c:ext xmlns:c16="http://schemas.microsoft.com/office/drawing/2014/chart" uri="{C3380CC4-5D6E-409C-BE32-E72D297353CC}">
              <c16:uniqueId val="{00000001-D284-42F5-87FE-AF25E3ED2489}"/>
            </c:ext>
          </c:extLst>
        </c:ser>
        <c:ser>
          <c:idx val="2"/>
          <c:order val="2"/>
          <c:tx>
            <c:v>Sum of Women on board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A- Brasília, Brazil</c:v>
              </c:pt>
              <c:pt idx="1">
                <c:v>A- San Francisco, U.S.</c:v>
              </c:pt>
              <c:pt idx="2">
                <c:v>B London, U.K.</c:v>
              </c:pt>
              <c:pt idx="3">
                <c:v>B Vancouver, Canada</c:v>
              </c:pt>
              <c:pt idx="4">
                <c:v>C Helsinki, Finland</c:v>
              </c:pt>
              <c:pt idx="5">
                <c:v>C San Francisco, U.S.</c:v>
              </c:pt>
              <c:pt idx="6">
                <c:v>C Stockholm, Sweden</c:v>
              </c:pt>
              <c:pt idx="7">
                <c:v>C Toronto, Canada</c:v>
              </c:pt>
              <c:pt idx="8">
                <c:v>C Trieste, Italy</c:v>
              </c:pt>
              <c:pt idx="9">
                <c:v>C- Winnipeg, Canada</c:v>
              </c:pt>
            </c:strLit>
          </c:cat>
          <c:val>
            <c:numLit>
              <c:formatCode>General</c:formatCode>
              <c:ptCount val="10"/>
              <c:pt idx="0">
                <c:v>0.5</c:v>
              </c:pt>
              <c:pt idx="1">
                <c:v>0.5</c:v>
              </c:pt>
              <c:pt idx="2">
                <c:v>0.45</c:v>
              </c:pt>
              <c:pt idx="3">
                <c:v>0.3</c:v>
              </c:pt>
              <c:pt idx="4">
                <c:v>0.5</c:v>
              </c:pt>
              <c:pt idx="5">
                <c:v>0.27</c:v>
              </c:pt>
              <c:pt idx="6">
                <c:v>0.56999999999999995</c:v>
              </c:pt>
              <c:pt idx="7">
                <c:v>0.5</c:v>
              </c:pt>
              <c:pt idx="8">
                <c:v>0.46</c:v>
              </c:pt>
              <c:pt idx="9">
                <c:v>0.33</c:v>
              </c:pt>
            </c:numLit>
          </c:val>
          <c:extLst>
            <c:ext xmlns:c16="http://schemas.microsoft.com/office/drawing/2014/chart" uri="{C3380CC4-5D6E-409C-BE32-E72D297353CC}">
              <c16:uniqueId val="{00000002-D284-42F5-87FE-AF25E3ED2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799744"/>
        <c:axId val="282783520"/>
      </c:barChart>
      <c:catAx>
        <c:axId val="2827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83520"/>
        <c:crosses val="autoZero"/>
        <c:auto val="1"/>
        <c:lblAlgn val="ctr"/>
        <c:lblOffset val="100"/>
        <c:noMultiLvlLbl val="0"/>
      </c:catAx>
      <c:valAx>
        <c:axId val="2827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To 10 Revenure by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Brasília, Brazil</c:v>
              </c:pt>
              <c:pt idx="1">
                <c:v>Helsinki, Finland</c:v>
              </c:pt>
              <c:pt idx="2">
                <c:v>London, U.K.</c:v>
              </c:pt>
              <c:pt idx="3">
                <c:v>San Francisco, U.S.</c:v>
              </c:pt>
              <c:pt idx="4">
                <c:v>Stockholm, Sweden</c:v>
              </c:pt>
              <c:pt idx="5">
                <c:v>Toronto, Canada</c:v>
              </c:pt>
              <c:pt idx="6">
                <c:v>Trieste, Italy</c:v>
              </c:pt>
              <c:pt idx="7">
                <c:v>Vancouver, Canada</c:v>
              </c:pt>
              <c:pt idx="8">
                <c:v>Winnipeg, Canada</c:v>
              </c:pt>
            </c:strLit>
          </c:cat>
          <c:val>
            <c:numLit>
              <c:formatCode>General</c:formatCode>
              <c:ptCount val="9"/>
              <c:pt idx="0">
                <c:v>1106800</c:v>
              </c:pt>
              <c:pt idx="1">
                <c:v>3242058</c:v>
              </c:pt>
              <c:pt idx="2">
                <c:v>2864982</c:v>
              </c:pt>
              <c:pt idx="3">
                <c:v>2132168</c:v>
              </c:pt>
              <c:pt idx="4">
                <c:v>1052698</c:v>
              </c:pt>
              <c:pt idx="5">
                <c:v>549255</c:v>
              </c:pt>
              <c:pt idx="6">
                <c:v>1273258</c:v>
              </c:pt>
              <c:pt idx="7">
                <c:v>33251733</c:v>
              </c:pt>
              <c:pt idx="8">
                <c:v>4947231</c:v>
              </c:pt>
            </c:numLit>
          </c:val>
          <c:extLst>
            <c:ext xmlns:c16="http://schemas.microsoft.com/office/drawing/2014/chart" uri="{C3380CC4-5D6E-409C-BE32-E72D297353CC}">
              <c16:uniqueId val="{00000000-997F-44FC-9194-69F6C7316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23196816"/>
        <c:axId val="1523193904"/>
      </c:barChart>
      <c:catAx>
        <c:axId val="152319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193904"/>
        <c:crosses val="autoZero"/>
        <c:auto val="1"/>
        <c:lblAlgn val="ctr"/>
        <c:lblOffset val="100"/>
        <c:noMultiLvlLbl val="0"/>
      </c:catAx>
      <c:valAx>
        <c:axId val="152319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1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Profit by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Hamburg, Germany</c:v>
              </c:pt>
              <c:pt idx="1">
                <c:v>Ningbo, China</c:v>
              </c:pt>
              <c:pt idx="2">
                <c:v>Swords, Ireland</c:v>
              </c:pt>
              <c:pt idx="3">
                <c:v>Turin, Italy</c:v>
              </c:pt>
              <c:pt idx="4">
                <c:v>Zhuzhou, China</c:v>
              </c:pt>
            </c:strLit>
          </c:cat>
          <c:val>
            <c:numLit>
              <c:formatCode>General</c:formatCode>
              <c:ptCount val="5"/>
              <c:pt idx="0">
                <c:v>0.73</c:v>
              </c:pt>
              <c:pt idx="1">
                <c:v>0.23</c:v>
              </c:pt>
              <c:pt idx="2">
                <c:v>0.25</c:v>
              </c:pt>
              <c:pt idx="3">
                <c:v>0.26</c:v>
              </c:pt>
              <c:pt idx="4">
                <c:v>0.28000000000000003</c:v>
              </c:pt>
            </c:numLit>
          </c:val>
          <c:extLst>
            <c:ext xmlns:c16="http://schemas.microsoft.com/office/drawing/2014/chart" uri="{C3380CC4-5D6E-409C-BE32-E72D297353CC}">
              <c16:uniqueId val="{00000000-BA1B-4422-8600-ACD0654DB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7237024"/>
        <c:axId val="2047228288"/>
      </c:barChart>
      <c:catAx>
        <c:axId val="204723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28288"/>
        <c:crosses val="autoZero"/>
        <c:auto val="1"/>
        <c:lblAlgn val="ctr"/>
        <c:lblOffset val="100"/>
        <c:noMultiLvlLbl val="0"/>
      </c:catAx>
      <c:valAx>
        <c:axId val="2047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3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Profit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 B Ningbo, China</c:v>
              </c:pt>
              <c:pt idx="1">
                <c:v>0 B Zhuzhou, China</c:v>
              </c:pt>
              <c:pt idx="2">
                <c:v>1.5°C, SBTi A Hamburg, Germany</c:v>
              </c:pt>
              <c:pt idx="3">
                <c:v>1.5°C, SBTi B+ Swords, Ireland</c:v>
              </c:pt>
              <c:pt idx="4">
                <c:v>1.5°C, SBTi, NZBA B- Turin, Italy</c:v>
              </c:pt>
            </c:strLit>
          </c:cat>
          <c:val>
            <c:numLit>
              <c:formatCode>General</c:formatCode>
              <c:ptCount val="5"/>
              <c:pt idx="0">
                <c:v>0.23</c:v>
              </c:pt>
              <c:pt idx="1">
                <c:v>0.84000000000000008</c:v>
              </c:pt>
              <c:pt idx="2">
                <c:v>0.73</c:v>
              </c:pt>
              <c:pt idx="3">
                <c:v>0.75</c:v>
              </c:pt>
              <c:pt idx="4">
                <c:v>0.52</c:v>
              </c:pt>
            </c:numLit>
          </c:val>
          <c:extLst>
            <c:ext xmlns:c16="http://schemas.microsoft.com/office/drawing/2014/chart" uri="{C3380CC4-5D6E-409C-BE32-E72D297353CC}">
              <c16:uniqueId val="{00000000-F4E9-4977-8616-9B9FB7DCEDAB}"/>
            </c:ext>
          </c:extLst>
        </c:ser>
        <c:ser>
          <c:idx val="1"/>
          <c:order val="1"/>
          <c:tx>
            <c:v>Sum of Revenue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 B Ningbo, China</c:v>
              </c:pt>
              <c:pt idx="1">
                <c:v>0 B Zhuzhou, China</c:v>
              </c:pt>
              <c:pt idx="2">
                <c:v>1.5°C, SBTi A Hamburg, Germany</c:v>
              </c:pt>
              <c:pt idx="3">
                <c:v>1.5°C, SBTi B+ Swords, Ireland</c:v>
              </c:pt>
              <c:pt idx="4">
                <c:v>1.5°C, SBTi, NZBA B- Turin, Italy</c:v>
              </c:pt>
            </c:strLit>
          </c:cat>
          <c:val>
            <c:numLit>
              <c:formatCode>General</c:formatCode>
              <c:ptCount val="5"/>
              <c:pt idx="0">
                <c:v>14582</c:v>
              </c:pt>
              <c:pt idx="1">
                <c:v>0</c:v>
              </c:pt>
              <c:pt idx="2">
                <c:v>160887</c:v>
              </c:pt>
              <c:pt idx="3">
                <c:v>132639</c:v>
              </c:pt>
              <c:pt idx="4">
                <c:v>391556</c:v>
              </c:pt>
            </c:numLit>
          </c:val>
          <c:extLst>
            <c:ext xmlns:c16="http://schemas.microsoft.com/office/drawing/2014/chart" uri="{C3380CC4-5D6E-409C-BE32-E72D297353CC}">
              <c16:uniqueId val="{00000001-F4E9-4977-8616-9B9FB7DCEDAB}"/>
            </c:ext>
          </c:extLst>
        </c:ser>
        <c:ser>
          <c:idx val="2"/>
          <c:order val="2"/>
          <c:tx>
            <c:v>Sum of pay ratio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 B Ningbo, China</c:v>
              </c:pt>
              <c:pt idx="1">
                <c:v>0 B Zhuzhou, China</c:v>
              </c:pt>
              <c:pt idx="2">
                <c:v>1.5°C, SBTi A Hamburg, Germany</c:v>
              </c:pt>
              <c:pt idx="3">
                <c:v>1.5°C, SBTi B+ Swords, Ireland</c:v>
              </c:pt>
              <c:pt idx="4">
                <c:v>1.5°C, SBTi, NZBA B- Turin, Italy</c:v>
              </c:pt>
            </c:strLit>
          </c:cat>
          <c:val>
            <c:numLit>
              <c:formatCode>General</c:formatCode>
              <c:ptCount val="5"/>
              <c:pt idx="0">
                <c:v>0.87569444444444444</c:v>
              </c:pt>
              <c:pt idx="1">
                <c:v>0</c:v>
              </c:pt>
              <c:pt idx="2">
                <c:v>3.4173611111111111</c:v>
              </c:pt>
              <c:pt idx="3">
                <c:v>15.752083333333331</c:v>
              </c:pt>
              <c:pt idx="4">
                <c:v>8.5013888888888882</c:v>
              </c:pt>
            </c:numLit>
          </c:val>
          <c:extLst>
            <c:ext xmlns:c16="http://schemas.microsoft.com/office/drawing/2014/chart" uri="{C3380CC4-5D6E-409C-BE32-E72D297353CC}">
              <c16:uniqueId val="{00000002-F4E9-4977-8616-9B9FB7DCE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15552"/>
        <c:axId val="282811808"/>
      </c:barChart>
      <c:catAx>
        <c:axId val="28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11808"/>
        <c:crosses val="autoZero"/>
        <c:auto val="1"/>
        <c:lblAlgn val="ctr"/>
        <c:lblOffset val="100"/>
        <c:noMultiLvlLbl val="0"/>
      </c:catAx>
      <c:valAx>
        <c:axId val="28281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1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[most sustainable ( my first analytic.xlsx]grade !PivotTable20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Climate Grade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'grade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'grade '!$A$4:$A$13</c:f>
              <c:strCache>
                <c:ptCount val="10"/>
                <c:pt idx="0">
                  <c:v>A</c:v>
                </c:pt>
                <c:pt idx="1">
                  <c:v>A-</c:v>
                </c:pt>
                <c:pt idx="2">
                  <c:v>A+</c:v>
                </c:pt>
                <c:pt idx="3">
                  <c:v>B</c:v>
                </c:pt>
                <c:pt idx="4">
                  <c:v>B-</c:v>
                </c:pt>
                <c:pt idx="5">
                  <c:v>B+</c:v>
                </c:pt>
                <c:pt idx="6">
                  <c:v>C</c:v>
                </c:pt>
                <c:pt idx="7">
                  <c:v>C-</c:v>
                </c:pt>
                <c:pt idx="8">
                  <c:v>C+</c:v>
                </c:pt>
                <c:pt idx="9">
                  <c:v>(blank)</c:v>
                </c:pt>
              </c:strCache>
            </c:strRef>
          </c:cat>
          <c:val>
            <c:numRef>
              <c:f>'grade '!$B$4:$B$13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1</c:v>
                </c:pt>
                <c:pt idx="3">
                  <c:v>18</c:v>
                </c:pt>
                <c:pt idx="4">
                  <c:v>15</c:v>
                </c:pt>
                <c:pt idx="5">
                  <c:v>13</c:v>
                </c:pt>
                <c:pt idx="6">
                  <c:v>18</c:v>
                </c:pt>
                <c:pt idx="7">
                  <c:v>5</c:v>
                </c:pt>
                <c:pt idx="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C-44A8-8908-8EC375591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025552"/>
        <c:axId val="1590025968"/>
      </c:barChart>
      <c:catAx>
        <c:axId val="159002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25968"/>
        <c:crosses val="autoZero"/>
        <c:auto val="1"/>
        <c:lblAlgn val="ctr"/>
        <c:lblOffset val="100"/>
        <c:noMultiLvlLbl val="0"/>
      </c:catAx>
      <c:valAx>
        <c:axId val="159002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2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previous</a:t>
            </a:r>
            <a:r>
              <a:rPr lang="en-US" baseline="0"/>
              <a:t> rank </a:t>
            </a:r>
            <a:endParaRPr lang="en-US"/>
          </a:p>
        </c:rich>
      </c:tx>
      <c:layout/>
      <c:overlay val="0"/>
      <c:spPr>
        <a:noFill/>
        <a:ln>
          <a:solidFill>
            <a:schemeClr val="accent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'general '!$D$16</c:f>
              <c:strCache>
                <c:ptCount val="1"/>
                <c:pt idx="0">
                  <c:v>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'!$D$17:$D$27</c:f>
              <c:numCache>
                <c:formatCode>_("$"* #,##0_);_("$"* \(#,##0\);_("$"* "-"??_);_(@_)</c:formatCode>
                <c:ptCount val="10"/>
                <c:pt idx="1">
                  <c:v>9681</c:v>
                </c:pt>
                <c:pt idx="2">
                  <c:v>9681</c:v>
                </c:pt>
                <c:pt idx="3">
                  <c:v>9681</c:v>
                </c:pt>
                <c:pt idx="4">
                  <c:v>9681</c:v>
                </c:pt>
                <c:pt idx="5">
                  <c:v>9681</c:v>
                </c:pt>
                <c:pt idx="6">
                  <c:v>423236</c:v>
                </c:pt>
                <c:pt idx="7">
                  <c:v>58936</c:v>
                </c:pt>
                <c:pt idx="8">
                  <c:v>64565</c:v>
                </c:pt>
                <c:pt idx="9">
                  <c:v>42750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1-417F-9512-F3CACF8115B0}"/>
            </c:ext>
          </c:extLst>
        </c:ser>
        <c:ser>
          <c:idx val="1"/>
          <c:order val="1"/>
          <c:tx>
            <c:strRef>
              <c:f>'general '!$E$16</c:f>
              <c:strCache>
                <c:ptCount val="1"/>
                <c:pt idx="0">
                  <c:v>Profet%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'!$E$17:$E$27</c:f>
              <c:numCache>
                <c:formatCode>0%</c:formatCode>
                <c:ptCount val="10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0.19</c:v>
                </c:pt>
                <c:pt idx="8">
                  <c:v>0.08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1-417F-9512-F3CACF8115B0}"/>
            </c:ext>
          </c:extLst>
        </c:ser>
        <c:ser>
          <c:idx val="2"/>
          <c:order val="2"/>
          <c:tx>
            <c:strRef>
              <c:f>'general '!$F$16</c:f>
              <c:strCache>
                <c:ptCount val="1"/>
                <c:pt idx="0">
                  <c:v>Top pay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'!$F$17:$F$27</c:f>
              <c:numCache>
                <c:formatCode>_("$"* #,##0.00_);_("$"* \(#,##0.00\);_("$"* "-"??_);_(@_)</c:formatCode>
                <c:ptCount val="10"/>
                <c:pt idx="0">
                  <c:v>4.6256944444444441</c:v>
                </c:pt>
                <c:pt idx="1">
                  <c:v>2.9173611111111111</c:v>
                </c:pt>
                <c:pt idx="2">
                  <c:v>2.9173611111111111</c:v>
                </c:pt>
                <c:pt idx="3">
                  <c:v>2.9173611111111111</c:v>
                </c:pt>
                <c:pt idx="4">
                  <c:v>2.9173611111111111</c:v>
                </c:pt>
                <c:pt idx="5">
                  <c:v>2.9173611111111111</c:v>
                </c:pt>
                <c:pt idx="6">
                  <c:v>1.5006944444444443</c:v>
                </c:pt>
                <c:pt idx="7">
                  <c:v>5.500694444444445</c:v>
                </c:pt>
                <c:pt idx="8">
                  <c:v>14.084027777777777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A1-417F-9512-F3CACF8115B0}"/>
            </c:ext>
          </c:extLst>
        </c:ser>
        <c:ser>
          <c:idx val="3"/>
          <c:order val="3"/>
          <c:tx>
            <c:strRef>
              <c:f>'general '!$G$16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'!$G$17:$G$27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A1-417F-9512-F3CACF8115B0}"/>
            </c:ext>
          </c:extLst>
        </c:ser>
        <c:ser>
          <c:idx val="4"/>
          <c:order val="4"/>
          <c:tx>
            <c:strRef>
              <c:f>'general '!$H$16</c:f>
              <c:strCache>
                <c:ptCount val="1"/>
                <c:pt idx="0">
                  <c:v>location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'!$H$17:$H$27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A1-417F-9512-F3CACF81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79664"/>
        <c:axId val="64180496"/>
      </c:barChart>
      <c:lineChart>
        <c:grouping val="standard"/>
        <c:varyColors val="0"/>
        <c:ser>
          <c:idx val="5"/>
          <c:order val="5"/>
          <c:tx>
            <c:strRef>
              <c:f>'general '!$I$16</c:f>
              <c:strCache>
                <c:ptCount val="1"/>
                <c:pt idx="0">
                  <c:v>women on board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'general '!$B$17:$C$27</c:f>
              <c:strCache>
                <c:ptCount val="10"/>
                <c:pt idx="0">
                  <c:v>97</c:v>
                </c:pt>
                <c:pt idx="1">
                  <c:v>94</c:v>
                </c:pt>
                <c:pt idx="2">
                  <c:v>92</c:v>
                </c:pt>
                <c:pt idx="3">
                  <c:v>89</c:v>
                </c:pt>
                <c:pt idx="4">
                  <c:v>87</c:v>
                </c:pt>
                <c:pt idx="5">
                  <c:v>86</c:v>
                </c:pt>
                <c:pt idx="6">
                  <c:v>85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</c:strCache>
            </c:strRef>
          </c:cat>
          <c:val>
            <c:numRef>
              <c:f>'general '!$I$17:$I$27</c:f>
              <c:numCache>
                <c:formatCode>0%</c:formatCode>
                <c:ptCount val="10"/>
                <c:pt idx="0">
                  <c:v>0.38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0.45</c:v>
                </c:pt>
                <c:pt idx="7">
                  <c:v>0.44</c:v>
                </c:pt>
                <c:pt idx="8">
                  <c:v>0.43</c:v>
                </c:pt>
                <c:pt idx="9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1-417F-9512-F3CACF81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00880"/>
        <c:axId val="64204208"/>
      </c:lineChart>
      <c:catAx>
        <c:axId val="6417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0496"/>
        <c:crosses val="autoZero"/>
        <c:auto val="1"/>
        <c:lblAlgn val="ctr"/>
        <c:lblOffset val="100"/>
        <c:noMultiLvlLbl val="0"/>
      </c:catAx>
      <c:valAx>
        <c:axId val="6418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79664"/>
        <c:crosses val="autoZero"/>
        <c:crossBetween val="between"/>
      </c:valAx>
      <c:valAx>
        <c:axId val="642042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00880"/>
        <c:crosses val="max"/>
        <c:crossBetween val="between"/>
      </c:valAx>
      <c:catAx>
        <c:axId val="64200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204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rank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0803437600224"/>
          <c:y val="0.37324151554226453"/>
          <c:w val="0.69977235389217241"/>
          <c:h val="0.542213686703796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'!$C$33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'!$C$34:$C$43</c:f>
              <c:numCache>
                <c:formatCode>_("$"* #,##0_);_("$"* \(#,##0\);_("$"* "-"??_);_(@_)</c:formatCode>
                <c:ptCount val="10"/>
                <c:pt idx="0">
                  <c:v>154501</c:v>
                </c:pt>
                <c:pt idx="1">
                  <c:v>10127</c:v>
                </c:pt>
                <c:pt idx="2">
                  <c:v>206669</c:v>
                </c:pt>
                <c:pt idx="3">
                  <c:v>75374</c:v>
                </c:pt>
                <c:pt idx="4">
                  <c:v>4947231</c:v>
                </c:pt>
                <c:pt idx="5">
                  <c:v>100380</c:v>
                </c:pt>
                <c:pt idx="6">
                  <c:v>100123</c:v>
                </c:pt>
                <c:pt idx="7">
                  <c:v>9681</c:v>
                </c:pt>
                <c:pt idx="8">
                  <c:v>4846</c:v>
                </c:pt>
                <c:pt idx="9">
                  <c:v>1273258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E-4E56-92F3-359FCCA2411A}"/>
            </c:ext>
          </c:extLst>
        </c:ser>
        <c:ser>
          <c:idx val="1"/>
          <c:order val="1"/>
          <c:tx>
            <c:strRef>
              <c:f>'general '!$D$33</c:f>
              <c:strCache>
                <c:ptCount val="1"/>
                <c:pt idx="0">
                  <c:v>profet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'!$D$34:$D$43</c:f>
              <c:numCache>
                <c:formatCode>0%</c:formatCode>
                <c:ptCount val="10"/>
                <c:pt idx="0">
                  <c:v>0.2</c:v>
                </c:pt>
                <c:pt idx="1">
                  <c:v>0.2</c:v>
                </c:pt>
                <c:pt idx="2">
                  <c:v>0.11</c:v>
                </c:pt>
                <c:pt idx="3">
                  <c:v>0.18</c:v>
                </c:pt>
                <c:pt idx="4">
                  <c:v>0.17</c:v>
                </c:pt>
                <c:pt idx="5">
                  <c:v>0.15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0.13</c:v>
                </c:pt>
                <c:pt idx="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E-4E56-92F3-359FCCA2411A}"/>
            </c:ext>
          </c:extLst>
        </c:ser>
        <c:ser>
          <c:idx val="2"/>
          <c:order val="2"/>
          <c:tx>
            <c:strRef>
              <c:f>'general '!$E$33</c:f>
              <c:strCache>
                <c:ptCount val="1"/>
                <c:pt idx="0">
                  <c:v>pay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'!$E$34:$E$43</c:f>
              <c:numCache>
                <c:formatCode>_("$"* #,##0.00_);_("$"* \(#,##0.00\);_("$"* "-"??_);_(@_)</c:formatCode>
                <c:ptCount val="10"/>
                <c:pt idx="0">
                  <c:v>0.91736111111111107</c:v>
                </c:pt>
                <c:pt idx="1">
                  <c:v>2.0840277777777776</c:v>
                </c:pt>
                <c:pt idx="2">
                  <c:v>6.459027777777778</c:v>
                </c:pt>
                <c:pt idx="3">
                  <c:v>0.75069444444444444</c:v>
                </c:pt>
                <c:pt idx="4">
                  <c:v>2.0423611111111111</c:v>
                </c:pt>
                <c:pt idx="5">
                  <c:v>4.6256944444444441</c:v>
                </c:pt>
                <c:pt idx="6">
                  <c:v>0.1673611111111111</c:v>
                </c:pt>
                <c:pt idx="7">
                  <c:v>2.9173611111111111</c:v>
                </c:pt>
                <c:pt idx="8">
                  <c:v>3.2923611111111111</c:v>
                </c:pt>
                <c:pt idx="9">
                  <c:v>3.0006944444444446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E-4E56-92F3-359FCCA2411A}"/>
            </c:ext>
          </c:extLst>
        </c:ser>
        <c:ser>
          <c:idx val="3"/>
          <c:order val="3"/>
          <c:tx>
            <c:strRef>
              <c:f>'general '!$F$33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'!$F$34:$F$43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3E-4E56-92F3-359FCCA2411A}"/>
            </c:ext>
          </c:extLst>
        </c:ser>
        <c:ser>
          <c:idx val="4"/>
          <c:order val="4"/>
          <c:tx>
            <c:strRef>
              <c:f>'general '!$G$33</c:f>
              <c:strCache>
                <c:ptCount val="1"/>
                <c:pt idx="0">
                  <c:v>location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'!$G$34:$G$43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3E-4E56-92F3-359FCCA24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89120"/>
        <c:axId val="10979552"/>
      </c:barChart>
      <c:lineChart>
        <c:grouping val="standard"/>
        <c:varyColors val="0"/>
        <c:ser>
          <c:idx val="5"/>
          <c:order val="5"/>
          <c:tx>
            <c:strRef>
              <c:f>'general '!$H$33</c:f>
              <c:strCache>
                <c:ptCount val="1"/>
                <c:pt idx="0">
                  <c:v>women on board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'general '!$A$34:$B$43</c:f>
              <c:strCache>
                <c:ptCount val="1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</c:strCache>
            </c:strRef>
          </c:cat>
          <c:val>
            <c:numRef>
              <c:f>'general '!$H$34:$H$43</c:f>
              <c:numCache>
                <c:formatCode>0%</c:formatCode>
                <c:ptCount val="10"/>
                <c:pt idx="0">
                  <c:v>0.08</c:v>
                </c:pt>
                <c:pt idx="1">
                  <c:v>0.08</c:v>
                </c:pt>
                <c:pt idx="2">
                  <c:v>0.57999999999999996</c:v>
                </c:pt>
                <c:pt idx="3">
                  <c:v>0.44</c:v>
                </c:pt>
                <c:pt idx="4">
                  <c:v>0.33</c:v>
                </c:pt>
                <c:pt idx="5">
                  <c:v>0.38</c:v>
                </c:pt>
                <c:pt idx="6">
                  <c:v>0.15</c:v>
                </c:pt>
                <c:pt idx="7">
                  <c:v>0.18</c:v>
                </c:pt>
                <c:pt idx="8">
                  <c:v>0.28999999999999998</c:v>
                </c:pt>
                <c:pt idx="9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3E-4E56-92F3-359FCCA24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5808"/>
        <c:axId val="10996192"/>
      </c:lineChart>
      <c:catAx>
        <c:axId val="1098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552"/>
        <c:crosses val="autoZero"/>
        <c:auto val="1"/>
        <c:lblAlgn val="ctr"/>
        <c:lblOffset val="100"/>
        <c:noMultiLvlLbl val="0"/>
      </c:catAx>
      <c:valAx>
        <c:axId val="109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120"/>
        <c:crosses val="autoZero"/>
        <c:crossBetween val="between"/>
      </c:valAx>
      <c:valAx>
        <c:axId val="1099619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5808"/>
        <c:crosses val="max"/>
        <c:crossBetween val="between"/>
      </c:valAx>
      <c:catAx>
        <c:axId val="10975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96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General Table</a:t>
            </a:r>
          </a:p>
        </c:rich>
      </c:tx>
      <c:layout>
        <c:manualLayout>
          <c:xMode val="edge"/>
          <c:yMode val="edge"/>
          <c:x val="0.342826334208224"/>
          <c:y val="2.3148148148148147E-2"/>
        </c:manualLayout>
      </c:layout>
      <c:overlay val="0"/>
      <c:spPr>
        <a:noFill/>
        <a:ln>
          <a:gradFill>
            <a:gsLst>
              <a:gs pos="1800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[1]Sheet2!$C$4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[1]Sheet2!$C$5:$C$13</c:f>
              <c:numCache>
                <c:formatCode>General</c:formatCode>
                <c:ptCount val="9"/>
                <c:pt idx="0">
                  <c:v>59449548</c:v>
                </c:pt>
                <c:pt idx="1">
                  <c:v>13.28</c:v>
                </c:pt>
                <c:pt idx="2">
                  <c:v>290.68194444444447</c:v>
                </c:pt>
                <c:pt idx="3">
                  <c:v>34.349999999999987</c:v>
                </c:pt>
                <c:pt idx="4">
                  <c:v>50.659999999999982</c:v>
                </c:pt>
                <c:pt idx="5">
                  <c:v>46.169999999999987</c:v>
                </c:pt>
                <c:pt idx="6">
                  <c:v>99</c:v>
                </c:pt>
                <c:pt idx="7">
                  <c:v>73</c:v>
                </c:pt>
                <c:pt idx="8">
                  <c:v>5050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F-41E5-9188-1E02537BE052}"/>
            </c:ext>
          </c:extLst>
        </c:ser>
        <c:ser>
          <c:idx val="1"/>
          <c:order val="1"/>
          <c:tx>
            <c:strRef>
              <c:f>[1]Sheet2!$D$4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[1]Sheet2!$D$5:$D$13</c:f>
              <c:numCache>
                <c:formatCode>General</c:formatCode>
                <c:ptCount val="9"/>
                <c:pt idx="0">
                  <c:v>33251733</c:v>
                </c:pt>
                <c:pt idx="1">
                  <c:v>0.73</c:v>
                </c:pt>
                <c:pt idx="2">
                  <c:v>32.792361111111113</c:v>
                </c:pt>
                <c:pt idx="3">
                  <c:v>0.57999999999999996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EF-41E5-9188-1E02537BE052}"/>
            </c:ext>
          </c:extLst>
        </c:ser>
        <c:ser>
          <c:idx val="2"/>
          <c:order val="2"/>
          <c:tx>
            <c:strRef>
              <c:f>[1]Sheet2!$E$4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[1]Sheet2!$E$5:$E$13</c:f>
              <c:numCache>
                <c:formatCode>General</c:formatCode>
                <c:ptCount val="9"/>
                <c:pt idx="0">
                  <c:v>891</c:v>
                </c:pt>
                <c:pt idx="1">
                  <c:v>0</c:v>
                </c:pt>
                <c:pt idx="2">
                  <c:v>0.1673611111111111</c:v>
                </c:pt>
                <c:pt idx="3">
                  <c:v>0</c:v>
                </c:pt>
                <c:pt idx="4">
                  <c:v>0.02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EF-41E5-9188-1E02537BE052}"/>
            </c:ext>
          </c:extLst>
        </c:ser>
        <c:ser>
          <c:idx val="3"/>
          <c:order val="3"/>
          <c:tx>
            <c:strRef>
              <c:f>[1]Sheet2!$F$4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[1]Sheet2!$F$5:$F$13</c:f>
              <c:numCache>
                <c:formatCode>General</c:formatCode>
                <c:ptCount val="9"/>
                <c:pt idx="0">
                  <c:v>83528</c:v>
                </c:pt>
                <c:pt idx="1">
                  <c:v>0.13</c:v>
                </c:pt>
                <c:pt idx="2">
                  <c:v>2.2923611111111111</c:v>
                </c:pt>
                <c:pt idx="3">
                  <c:v>0.38</c:v>
                </c:pt>
                <c:pt idx="4">
                  <c:v>0.47</c:v>
                </c:pt>
                <c:pt idx="5">
                  <c:v>0.315</c:v>
                </c:pt>
                <c:pt idx="8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EF-41E5-9188-1E02537BE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072223"/>
        <c:axId val="1862064735"/>
      </c:barChart>
      <c:lineChart>
        <c:grouping val="standard"/>
        <c:varyColors val="0"/>
        <c:ser>
          <c:idx val="4"/>
          <c:order val="4"/>
          <c:tx>
            <c:strRef>
              <c:f>[1]Sheet2!$G$4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[1]Sheet2!$A$5:$B$13</c:f>
              <c:strCache>
                <c:ptCount val="9"/>
                <c:pt idx="0">
                  <c:v>Total revenue </c:v>
                </c:pt>
                <c:pt idx="1">
                  <c:v>total profit</c:v>
                </c:pt>
                <c:pt idx="2">
                  <c:v>pay ratio</c:v>
                </c:pt>
                <c:pt idx="3">
                  <c:v>women on borad </c:v>
                </c:pt>
                <c:pt idx="4">
                  <c:v>women in leadership</c:v>
                </c:pt>
                <c:pt idx="5">
                  <c:v>women on workforce </c:v>
                </c:pt>
                <c:pt idx="6">
                  <c:v>cilmate grade</c:v>
                </c:pt>
                <c:pt idx="7">
                  <c:v>sustanibilty inntative </c:v>
                </c:pt>
                <c:pt idx="8">
                  <c:v>Rank</c:v>
                </c:pt>
              </c:strCache>
            </c:strRef>
          </c:cat>
          <c:val>
            <c:numRef>
              <c:f>[1]Sheet2!$G$5:$G$13</c:f>
              <c:numCache>
                <c:formatCode>General</c:formatCode>
                <c:ptCount val="9"/>
                <c:pt idx="0">
                  <c:v>619266.125</c:v>
                </c:pt>
                <c:pt idx="1">
                  <c:v>0.1328</c:v>
                </c:pt>
                <c:pt idx="2">
                  <c:v>3.5449017615176155</c:v>
                </c:pt>
                <c:pt idx="3">
                  <c:v>0.34349999999999986</c:v>
                </c:pt>
                <c:pt idx="4">
                  <c:v>0.50659999999999983</c:v>
                </c:pt>
                <c:pt idx="5">
                  <c:v>619266.125</c:v>
                </c:pt>
                <c:pt idx="8">
                  <c:v>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EF-41E5-9188-1E02537BE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065567"/>
        <c:axId val="1862058495"/>
      </c:lineChart>
      <c:catAx>
        <c:axId val="186207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64735"/>
        <c:crosses val="autoZero"/>
        <c:auto val="1"/>
        <c:lblAlgn val="ctr"/>
        <c:lblOffset val="100"/>
        <c:noMultiLvlLbl val="0"/>
      </c:catAx>
      <c:valAx>
        <c:axId val="186206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72223"/>
        <c:crosses val="autoZero"/>
        <c:crossBetween val="between"/>
      </c:valAx>
      <c:valAx>
        <c:axId val="186205849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65567"/>
        <c:crosses val="max"/>
        <c:crossBetween val="between"/>
      </c:valAx>
      <c:catAx>
        <c:axId val="18620655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2058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Profit 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A- Brasília, Brazil</c:v>
              </c:pt>
              <c:pt idx="1">
                <c:v>A- San Francisco, U.S.</c:v>
              </c:pt>
              <c:pt idx="2">
                <c:v>B London, U.K.</c:v>
              </c:pt>
              <c:pt idx="3">
                <c:v>B Vancouver, Canada</c:v>
              </c:pt>
              <c:pt idx="4">
                <c:v>C Helsinki, Finland</c:v>
              </c:pt>
              <c:pt idx="5">
                <c:v>C San Francisco, U.S.</c:v>
              </c:pt>
              <c:pt idx="6">
                <c:v>C Stockholm, Sweden</c:v>
              </c:pt>
              <c:pt idx="7">
                <c:v>C Toronto, Canada</c:v>
              </c:pt>
              <c:pt idx="8">
                <c:v>C Trieste, Italy</c:v>
              </c:pt>
              <c:pt idx="9">
                <c:v>C- Winnipeg, Canada</c:v>
              </c:pt>
            </c:strLit>
          </c:cat>
          <c:val>
            <c:numLit>
              <c:formatCode>General</c:formatCode>
              <c:ptCount val="10"/>
              <c:pt idx="0">
                <c:v>0.17</c:v>
              </c:pt>
              <c:pt idx="1">
                <c:v>0.19</c:v>
              </c:pt>
              <c:pt idx="2">
                <c:v>0.1</c:v>
              </c:pt>
              <c:pt idx="3">
                <c:v>0</c:v>
              </c:pt>
              <c:pt idx="4">
                <c:v>0.1</c:v>
              </c:pt>
              <c:pt idx="5">
                <c:v>0.03</c:v>
              </c:pt>
              <c:pt idx="6">
                <c:v>0.26</c:v>
              </c:pt>
              <c:pt idx="7">
                <c:v>0.15</c:v>
              </c:pt>
              <c:pt idx="8">
                <c:v>0.25</c:v>
              </c:pt>
              <c:pt idx="9">
                <c:v>0.17</c:v>
              </c:pt>
            </c:numLit>
          </c:val>
          <c:extLst>
            <c:ext xmlns:c16="http://schemas.microsoft.com/office/drawing/2014/chart" uri="{C3380CC4-5D6E-409C-BE32-E72D297353CC}">
              <c16:uniqueId val="{00000000-B7AB-4048-A1A5-DF4BB97897AA}"/>
            </c:ext>
          </c:extLst>
        </c:ser>
        <c:ser>
          <c:idx val="1"/>
          <c:order val="1"/>
          <c:tx>
            <c:v>Sum of Pay Ratio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A- Brasília, Brazil</c:v>
              </c:pt>
              <c:pt idx="1">
                <c:v>A- San Francisco, U.S.</c:v>
              </c:pt>
              <c:pt idx="2">
                <c:v>B London, U.K.</c:v>
              </c:pt>
              <c:pt idx="3">
                <c:v>B Vancouver, Canada</c:v>
              </c:pt>
              <c:pt idx="4">
                <c:v>C Helsinki, Finland</c:v>
              </c:pt>
              <c:pt idx="5">
                <c:v>C San Francisco, U.S.</c:v>
              </c:pt>
              <c:pt idx="6">
                <c:v>C Stockholm, Sweden</c:v>
              </c:pt>
              <c:pt idx="7">
                <c:v>C Toronto, Canada</c:v>
              </c:pt>
              <c:pt idx="8">
                <c:v>C Trieste, Italy</c:v>
              </c:pt>
              <c:pt idx="9">
                <c:v>C- Winnipeg, Canada</c:v>
              </c:pt>
            </c:strLit>
          </c:cat>
          <c:val>
            <c:numLit>
              <c:formatCode>General</c:formatCode>
              <c:ptCount val="10"/>
              <c:pt idx="0">
                <c:v>0.3756944444444445</c:v>
              </c:pt>
              <c:pt idx="1">
                <c:v>0</c:v>
              </c:pt>
              <c:pt idx="2">
                <c:v>0.45902777777777781</c:v>
              </c:pt>
              <c:pt idx="3">
                <c:v>0.20902777777777778</c:v>
              </c:pt>
              <c:pt idx="4">
                <c:v>1.4590277777777778</c:v>
              </c:pt>
              <c:pt idx="5">
                <c:v>7.084027777777778</c:v>
              </c:pt>
              <c:pt idx="6">
                <c:v>0.7090277777777777</c:v>
              </c:pt>
              <c:pt idx="7">
                <c:v>5.1673611111111111</c:v>
              </c:pt>
              <c:pt idx="8">
                <c:v>3.0006944444444446</c:v>
              </c:pt>
              <c:pt idx="9">
                <c:v>2.0423611111111111</c:v>
              </c:pt>
            </c:numLit>
          </c:val>
          <c:extLst>
            <c:ext xmlns:c16="http://schemas.microsoft.com/office/drawing/2014/chart" uri="{C3380CC4-5D6E-409C-BE32-E72D297353CC}">
              <c16:uniqueId val="{00000001-B7AB-4048-A1A5-DF4BB97897AA}"/>
            </c:ext>
          </c:extLst>
        </c:ser>
        <c:ser>
          <c:idx val="2"/>
          <c:order val="2"/>
          <c:tx>
            <c:v>Sum of Women on board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A- Brasília, Brazil</c:v>
              </c:pt>
              <c:pt idx="1">
                <c:v>A- San Francisco, U.S.</c:v>
              </c:pt>
              <c:pt idx="2">
                <c:v>B London, U.K.</c:v>
              </c:pt>
              <c:pt idx="3">
                <c:v>B Vancouver, Canada</c:v>
              </c:pt>
              <c:pt idx="4">
                <c:v>C Helsinki, Finland</c:v>
              </c:pt>
              <c:pt idx="5">
                <c:v>C San Francisco, U.S.</c:v>
              </c:pt>
              <c:pt idx="6">
                <c:v>C Stockholm, Sweden</c:v>
              </c:pt>
              <c:pt idx="7">
                <c:v>C Toronto, Canada</c:v>
              </c:pt>
              <c:pt idx="8">
                <c:v>C Trieste, Italy</c:v>
              </c:pt>
              <c:pt idx="9">
                <c:v>C- Winnipeg, Canada</c:v>
              </c:pt>
            </c:strLit>
          </c:cat>
          <c:val>
            <c:numLit>
              <c:formatCode>General</c:formatCode>
              <c:ptCount val="10"/>
              <c:pt idx="0">
                <c:v>0.5</c:v>
              </c:pt>
              <c:pt idx="1">
                <c:v>0.5</c:v>
              </c:pt>
              <c:pt idx="2">
                <c:v>0.45</c:v>
              </c:pt>
              <c:pt idx="3">
                <c:v>0.3</c:v>
              </c:pt>
              <c:pt idx="4">
                <c:v>0.5</c:v>
              </c:pt>
              <c:pt idx="5">
                <c:v>0.27</c:v>
              </c:pt>
              <c:pt idx="6">
                <c:v>0.56999999999999995</c:v>
              </c:pt>
              <c:pt idx="7">
                <c:v>0.5</c:v>
              </c:pt>
              <c:pt idx="8">
                <c:v>0.46</c:v>
              </c:pt>
              <c:pt idx="9">
                <c:v>0.33</c:v>
              </c:pt>
            </c:numLit>
          </c:val>
          <c:extLst>
            <c:ext xmlns:c16="http://schemas.microsoft.com/office/drawing/2014/chart" uri="{C3380CC4-5D6E-409C-BE32-E72D297353CC}">
              <c16:uniqueId val="{00000002-B7AB-4048-A1A5-DF4BB9789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799744"/>
        <c:axId val="282783520"/>
      </c:barChart>
      <c:catAx>
        <c:axId val="2827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83520"/>
        <c:crosses val="autoZero"/>
        <c:auto val="1"/>
        <c:lblAlgn val="ctr"/>
        <c:lblOffset val="100"/>
        <c:noMultiLvlLbl val="0"/>
      </c:catAx>
      <c:valAx>
        <c:axId val="2827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To 10 Revenure by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Brasília, Brazil</c:v>
              </c:pt>
              <c:pt idx="1">
                <c:v>Helsinki, Finland</c:v>
              </c:pt>
              <c:pt idx="2">
                <c:v>London, U.K.</c:v>
              </c:pt>
              <c:pt idx="3">
                <c:v>San Francisco, U.S.</c:v>
              </c:pt>
              <c:pt idx="4">
                <c:v>Stockholm, Sweden</c:v>
              </c:pt>
              <c:pt idx="5">
                <c:v>Toronto, Canada</c:v>
              </c:pt>
              <c:pt idx="6">
                <c:v>Trieste, Italy</c:v>
              </c:pt>
              <c:pt idx="7">
                <c:v>Vancouver, Canada</c:v>
              </c:pt>
              <c:pt idx="8">
                <c:v>Winnipeg, Canada</c:v>
              </c:pt>
            </c:strLit>
          </c:cat>
          <c:val>
            <c:numLit>
              <c:formatCode>General</c:formatCode>
              <c:ptCount val="9"/>
              <c:pt idx="0">
                <c:v>1106800</c:v>
              </c:pt>
              <c:pt idx="1">
                <c:v>3242058</c:v>
              </c:pt>
              <c:pt idx="2">
                <c:v>2864982</c:v>
              </c:pt>
              <c:pt idx="3">
                <c:v>2132168</c:v>
              </c:pt>
              <c:pt idx="4">
                <c:v>1052698</c:v>
              </c:pt>
              <c:pt idx="5">
                <c:v>549255</c:v>
              </c:pt>
              <c:pt idx="6">
                <c:v>1273258</c:v>
              </c:pt>
              <c:pt idx="7">
                <c:v>33251733</c:v>
              </c:pt>
              <c:pt idx="8">
                <c:v>4947231</c:v>
              </c:pt>
            </c:numLit>
          </c:val>
          <c:extLst>
            <c:ext xmlns:c16="http://schemas.microsoft.com/office/drawing/2014/chart" uri="{C3380CC4-5D6E-409C-BE32-E72D297353CC}">
              <c16:uniqueId val="{00000000-9D62-4BA5-A16E-1BAC6FCCA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23196816"/>
        <c:axId val="1523193904"/>
      </c:barChart>
      <c:catAx>
        <c:axId val="152319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193904"/>
        <c:crosses val="autoZero"/>
        <c:auto val="1"/>
        <c:lblAlgn val="ctr"/>
        <c:lblOffset val="100"/>
        <c:noMultiLvlLbl val="0"/>
      </c:catAx>
      <c:valAx>
        <c:axId val="152319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1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Profit by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Hamburg, Germany</c:v>
              </c:pt>
              <c:pt idx="1">
                <c:v>Ningbo, China</c:v>
              </c:pt>
              <c:pt idx="2">
                <c:v>Swords, Ireland</c:v>
              </c:pt>
              <c:pt idx="3">
                <c:v>Turin, Italy</c:v>
              </c:pt>
              <c:pt idx="4">
                <c:v>Zhuzhou, China</c:v>
              </c:pt>
            </c:strLit>
          </c:cat>
          <c:val>
            <c:numLit>
              <c:formatCode>General</c:formatCode>
              <c:ptCount val="5"/>
              <c:pt idx="0">
                <c:v>0.73</c:v>
              </c:pt>
              <c:pt idx="1">
                <c:v>0.23</c:v>
              </c:pt>
              <c:pt idx="2">
                <c:v>0.25</c:v>
              </c:pt>
              <c:pt idx="3">
                <c:v>0.26</c:v>
              </c:pt>
              <c:pt idx="4">
                <c:v>0.28000000000000003</c:v>
              </c:pt>
            </c:numLit>
          </c:val>
          <c:extLst>
            <c:ext xmlns:c16="http://schemas.microsoft.com/office/drawing/2014/chart" uri="{C3380CC4-5D6E-409C-BE32-E72D297353CC}">
              <c16:uniqueId val="{00000000-2AC6-42CD-A0C5-87F831A87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7237024"/>
        <c:axId val="2047228288"/>
      </c:barChart>
      <c:catAx>
        <c:axId val="204723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28288"/>
        <c:crosses val="autoZero"/>
        <c:auto val="1"/>
        <c:lblAlgn val="ctr"/>
        <c:lblOffset val="100"/>
        <c:noMultiLvlLbl val="0"/>
      </c:catAx>
      <c:valAx>
        <c:axId val="2047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3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Profit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 B Ningbo, China</c:v>
              </c:pt>
              <c:pt idx="1">
                <c:v>0 B Zhuzhou, China</c:v>
              </c:pt>
              <c:pt idx="2">
                <c:v>1.5°C, SBTi A Hamburg, Germany</c:v>
              </c:pt>
              <c:pt idx="3">
                <c:v>1.5°C, SBTi B+ Swords, Ireland</c:v>
              </c:pt>
              <c:pt idx="4">
                <c:v>1.5°C, SBTi, NZBA B- Turin, Italy</c:v>
              </c:pt>
            </c:strLit>
          </c:cat>
          <c:val>
            <c:numLit>
              <c:formatCode>General</c:formatCode>
              <c:ptCount val="5"/>
              <c:pt idx="0">
                <c:v>0.23</c:v>
              </c:pt>
              <c:pt idx="1">
                <c:v>0.84000000000000008</c:v>
              </c:pt>
              <c:pt idx="2">
                <c:v>0.73</c:v>
              </c:pt>
              <c:pt idx="3">
                <c:v>0.75</c:v>
              </c:pt>
              <c:pt idx="4">
                <c:v>0.52</c:v>
              </c:pt>
            </c:numLit>
          </c:val>
          <c:extLst>
            <c:ext xmlns:c16="http://schemas.microsoft.com/office/drawing/2014/chart" uri="{C3380CC4-5D6E-409C-BE32-E72D297353CC}">
              <c16:uniqueId val="{00000000-5A52-4538-8E9B-D01EBD067DC1}"/>
            </c:ext>
          </c:extLst>
        </c:ser>
        <c:ser>
          <c:idx val="1"/>
          <c:order val="1"/>
          <c:tx>
            <c:v>Sum of Revenue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 B Ningbo, China</c:v>
              </c:pt>
              <c:pt idx="1">
                <c:v>0 B Zhuzhou, China</c:v>
              </c:pt>
              <c:pt idx="2">
                <c:v>1.5°C, SBTi A Hamburg, Germany</c:v>
              </c:pt>
              <c:pt idx="3">
                <c:v>1.5°C, SBTi B+ Swords, Ireland</c:v>
              </c:pt>
              <c:pt idx="4">
                <c:v>1.5°C, SBTi, NZBA B- Turin, Italy</c:v>
              </c:pt>
            </c:strLit>
          </c:cat>
          <c:val>
            <c:numLit>
              <c:formatCode>General</c:formatCode>
              <c:ptCount val="5"/>
              <c:pt idx="0">
                <c:v>14582</c:v>
              </c:pt>
              <c:pt idx="1">
                <c:v>0</c:v>
              </c:pt>
              <c:pt idx="2">
                <c:v>160887</c:v>
              </c:pt>
              <c:pt idx="3">
                <c:v>132639</c:v>
              </c:pt>
              <c:pt idx="4">
                <c:v>391556</c:v>
              </c:pt>
            </c:numLit>
          </c:val>
          <c:extLst>
            <c:ext xmlns:c16="http://schemas.microsoft.com/office/drawing/2014/chart" uri="{C3380CC4-5D6E-409C-BE32-E72D297353CC}">
              <c16:uniqueId val="{00000001-5A52-4538-8E9B-D01EBD067DC1}"/>
            </c:ext>
          </c:extLst>
        </c:ser>
        <c:ser>
          <c:idx val="2"/>
          <c:order val="2"/>
          <c:tx>
            <c:v>Sum of pay ratio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 B Ningbo, China</c:v>
              </c:pt>
              <c:pt idx="1">
                <c:v>0 B Zhuzhou, China</c:v>
              </c:pt>
              <c:pt idx="2">
                <c:v>1.5°C, SBTi A Hamburg, Germany</c:v>
              </c:pt>
              <c:pt idx="3">
                <c:v>1.5°C, SBTi B+ Swords, Ireland</c:v>
              </c:pt>
              <c:pt idx="4">
                <c:v>1.5°C, SBTi, NZBA B- Turin, Italy</c:v>
              </c:pt>
            </c:strLit>
          </c:cat>
          <c:val>
            <c:numLit>
              <c:formatCode>General</c:formatCode>
              <c:ptCount val="5"/>
              <c:pt idx="0">
                <c:v>0.87569444444444444</c:v>
              </c:pt>
              <c:pt idx="1">
                <c:v>0</c:v>
              </c:pt>
              <c:pt idx="2">
                <c:v>3.4173611111111111</c:v>
              </c:pt>
              <c:pt idx="3">
                <c:v>15.752083333333331</c:v>
              </c:pt>
              <c:pt idx="4">
                <c:v>8.5013888888888882</c:v>
              </c:pt>
            </c:numLit>
          </c:val>
          <c:extLst>
            <c:ext xmlns:c16="http://schemas.microsoft.com/office/drawing/2014/chart" uri="{C3380CC4-5D6E-409C-BE32-E72D297353CC}">
              <c16:uniqueId val="{00000002-5A52-4538-8E9B-D01EBD06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15552"/>
        <c:axId val="282811808"/>
      </c:barChart>
      <c:catAx>
        <c:axId val="28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11808"/>
        <c:crosses val="autoZero"/>
        <c:auto val="1"/>
        <c:lblAlgn val="ctr"/>
        <c:lblOffset val="100"/>
        <c:noMultiLvlLbl val="0"/>
      </c:catAx>
      <c:valAx>
        <c:axId val="28281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1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4</xdr:row>
      <xdr:rowOff>161925</xdr:rowOff>
    </xdr:from>
    <xdr:to>
      <xdr:col>10</xdr:col>
      <xdr:colOff>14287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57150</xdr:rowOff>
    </xdr:from>
    <xdr:to>
      <xdr:col>6</xdr:col>
      <xdr:colOff>447676</xdr:colOff>
      <xdr:row>12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</xdr:row>
      <xdr:rowOff>38101</xdr:rowOff>
    </xdr:from>
    <xdr:to>
      <xdr:col>12</xdr:col>
      <xdr:colOff>361950</xdr:colOff>
      <xdr:row>12</xdr:row>
      <xdr:rowOff>133351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571500</xdr:colOff>
      <xdr:row>1</xdr:row>
      <xdr:rowOff>19049</xdr:rowOff>
    </xdr:from>
    <xdr:to>
      <xdr:col>20</xdr:col>
      <xdr:colOff>19050</xdr:colOff>
      <xdr:row>13</xdr:row>
      <xdr:rowOff>85724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171451</xdr:colOff>
      <xdr:row>14</xdr:row>
      <xdr:rowOff>152400</xdr:rowOff>
    </xdr:from>
    <xdr:to>
      <xdr:col>7</xdr:col>
      <xdr:colOff>571501</xdr:colOff>
      <xdr:row>28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590549</xdr:colOff>
      <xdr:row>14</xdr:row>
      <xdr:rowOff>133349</xdr:rowOff>
    </xdr:from>
    <xdr:to>
      <xdr:col>14</xdr:col>
      <xdr:colOff>409574</xdr:colOff>
      <xdr:row>28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447675</xdr:colOff>
      <xdr:row>14</xdr:row>
      <xdr:rowOff>133350</xdr:rowOff>
    </xdr:from>
    <xdr:to>
      <xdr:col>20</xdr:col>
      <xdr:colOff>85725</xdr:colOff>
      <xdr:row>28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152400</xdr:colOff>
      <xdr:row>30</xdr:row>
      <xdr:rowOff>66675</xdr:rowOff>
    </xdr:from>
    <xdr:to>
      <xdr:col>9</xdr:col>
      <xdr:colOff>190500</xdr:colOff>
      <xdr:row>44</xdr:row>
      <xdr:rowOff>142875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247650</xdr:colOff>
      <xdr:row>30</xdr:row>
      <xdr:rowOff>85725</xdr:rowOff>
    </xdr:from>
    <xdr:to>
      <xdr:col>16</xdr:col>
      <xdr:colOff>552450</xdr:colOff>
      <xdr:row>44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14</xdr:row>
      <xdr:rowOff>47625</xdr:rowOff>
    </xdr:from>
    <xdr:to>
      <xdr:col>14</xdr:col>
      <xdr:colOff>542925</xdr:colOff>
      <xdr:row>27</xdr:row>
      <xdr:rowOff>47625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30</xdr:row>
      <xdr:rowOff>257174</xdr:rowOff>
    </xdr:from>
    <xdr:to>
      <xdr:col>15</xdr:col>
      <xdr:colOff>66675</xdr:colOff>
      <xdr:row>45</xdr:row>
      <xdr:rowOff>57149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1057274</xdr:colOff>
      <xdr:row>1</xdr:row>
      <xdr:rowOff>123825</xdr:rowOff>
    </xdr:from>
    <xdr:to>
      <xdr:col>15</xdr:col>
      <xdr:colOff>161925</xdr:colOff>
      <xdr:row>12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15</xdr:row>
      <xdr:rowOff>171450</xdr:rowOff>
    </xdr:from>
    <xdr:to>
      <xdr:col>6</xdr:col>
      <xdr:colOff>323850</xdr:colOff>
      <xdr:row>30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952500</xdr:colOff>
      <xdr:row>15</xdr:row>
      <xdr:rowOff>180975</xdr:rowOff>
    </xdr:from>
    <xdr:to>
      <xdr:col>9</xdr:col>
      <xdr:colOff>304800</xdr:colOff>
      <xdr:row>30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1504950</xdr:colOff>
      <xdr:row>14</xdr:row>
      <xdr:rowOff>180975</xdr:rowOff>
    </xdr:from>
    <xdr:to>
      <xdr:col>11</xdr:col>
      <xdr:colOff>495300</xdr:colOff>
      <xdr:row>29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14</xdr:row>
      <xdr:rowOff>180975</xdr:rowOff>
    </xdr:from>
    <xdr:to>
      <xdr:col>6</xdr:col>
      <xdr:colOff>1000125</xdr:colOff>
      <xdr:row>29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st%20sustain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st sustainable corporations"/>
      <sheetName val="Sheet2"/>
      <sheetName val="most sustainable"/>
    </sheetNames>
    <sheetDataSet>
      <sheetData sheetId="0"/>
      <sheetData sheetId="1">
        <row r="4">
          <cell r="C4" t="str">
            <v>Total</v>
          </cell>
          <cell r="D4" t="str">
            <v>Max</v>
          </cell>
          <cell r="E4" t="str">
            <v>Min</v>
          </cell>
          <cell r="F4" t="str">
            <v>Med</v>
          </cell>
          <cell r="G4" t="str">
            <v>Avg</v>
          </cell>
        </row>
        <row r="5">
          <cell r="B5" t="str">
            <v xml:space="preserve">Total revenue </v>
          </cell>
          <cell r="C5">
            <v>59449548</v>
          </cell>
          <cell r="D5">
            <v>33251733</v>
          </cell>
          <cell r="E5">
            <v>891</v>
          </cell>
          <cell r="F5">
            <v>83528</v>
          </cell>
          <cell r="G5">
            <v>619266.125</v>
          </cell>
        </row>
        <row r="6">
          <cell r="B6" t="str">
            <v>total profit</v>
          </cell>
          <cell r="C6">
            <v>13.28</v>
          </cell>
          <cell r="D6">
            <v>0.73</v>
          </cell>
          <cell r="E6">
            <v>0</v>
          </cell>
          <cell r="F6">
            <v>0.13</v>
          </cell>
          <cell r="G6">
            <v>0.1328</v>
          </cell>
        </row>
        <row r="7">
          <cell r="B7" t="str">
            <v>pay ratio</v>
          </cell>
          <cell r="C7">
            <v>290.68194444444447</v>
          </cell>
          <cell r="D7">
            <v>32.792361111111113</v>
          </cell>
          <cell r="E7">
            <v>0.1673611111111111</v>
          </cell>
          <cell r="F7">
            <v>2.2923611111111111</v>
          </cell>
          <cell r="G7">
            <v>3.5449017615176155</v>
          </cell>
        </row>
        <row r="8">
          <cell r="B8" t="str">
            <v xml:space="preserve">women on borad </v>
          </cell>
          <cell r="C8">
            <v>34.349999999999987</v>
          </cell>
          <cell r="D8">
            <v>0.57999999999999996</v>
          </cell>
          <cell r="E8">
            <v>0</v>
          </cell>
          <cell r="F8">
            <v>0.38</v>
          </cell>
          <cell r="G8">
            <v>0.34349999999999986</v>
          </cell>
        </row>
        <row r="9">
          <cell r="B9" t="str">
            <v>women in leadership</v>
          </cell>
          <cell r="C9">
            <v>50.659999999999982</v>
          </cell>
          <cell r="D9">
            <v>1</v>
          </cell>
          <cell r="E9">
            <v>0.02</v>
          </cell>
          <cell r="F9">
            <v>0.47</v>
          </cell>
          <cell r="G9">
            <v>0.50659999999999983</v>
          </cell>
        </row>
        <row r="10">
          <cell r="B10" t="str">
            <v xml:space="preserve">women on workforce </v>
          </cell>
          <cell r="C10">
            <v>46.169999999999987</v>
          </cell>
          <cell r="D10">
            <v>1</v>
          </cell>
          <cell r="E10">
            <v>0</v>
          </cell>
          <cell r="F10">
            <v>0.315</v>
          </cell>
          <cell r="G10">
            <v>619266.125</v>
          </cell>
        </row>
        <row r="11">
          <cell r="B11" t="str">
            <v>cilmate grade</v>
          </cell>
          <cell r="C11">
            <v>99</v>
          </cell>
          <cell r="D11">
            <v>0</v>
          </cell>
          <cell r="E11">
            <v>0</v>
          </cell>
        </row>
        <row r="12">
          <cell r="B12" t="str">
            <v xml:space="preserve">sustanibilty inntative </v>
          </cell>
          <cell r="C12">
            <v>73</v>
          </cell>
          <cell r="D12">
            <v>0</v>
          </cell>
          <cell r="E12">
            <v>0</v>
          </cell>
        </row>
        <row r="13">
          <cell r="B13" t="str">
            <v>Rank</v>
          </cell>
          <cell r="C13">
            <v>5050</v>
          </cell>
          <cell r="D13">
            <v>100</v>
          </cell>
          <cell r="E13">
            <v>1</v>
          </cell>
          <cell r="F13">
            <v>50.5</v>
          </cell>
          <cell r="G13">
            <v>50.5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jid khan" refreshedDate="45585.384130902778" createdVersion="6" refreshedVersion="6" minRefreshableVersion="3" recordCount="100">
  <cacheSource type="worksheet">
    <worksheetSource name="Table1"/>
  </cacheSource>
  <cacheFields count="13">
    <cacheField name="Rank" numFmtId="0">
      <sharedItems containsSemiMixedTypes="0" containsString="0" containsNumber="1" containsInteger="1" minValue="1" maxValue="100"/>
    </cacheField>
    <cacheField name="Previous Rank" numFmtId="0">
      <sharedItems containsBlank="1" containsMixedTypes="1" containsNumber="1" containsInteger="1" minValue="1" maxValue="97"/>
    </cacheField>
    <cacheField name="Company" numFmtId="0">
      <sharedItems/>
    </cacheField>
    <cacheField name="Location" numFmtId="0">
      <sharedItems/>
    </cacheField>
    <cacheField name="Industry" numFmtId="0">
      <sharedItems/>
    </cacheField>
    <cacheField name="Revenue" numFmtId="0">
      <sharedItems containsString="0" containsBlank="1" containsNumber="1" containsInteger="1" minValue="891" maxValue="33251733"/>
    </cacheField>
    <cacheField name="Profit %" numFmtId="9">
      <sharedItems containsSemiMixedTypes="0" containsString="0" containsNumber="1" minValue="0" maxValue="0.73"/>
    </cacheField>
    <cacheField name="CEO Pay Ratio" numFmtId="0">
      <sharedItems containsNonDate="0" containsDate="1" containsString="0" containsBlank="1" minDate="1899-12-30T04:01:00" maxDate="1900-01-31T19:01:00"/>
    </cacheField>
    <cacheField name="Women on Board %" numFmtId="9">
      <sharedItems containsSemiMixedTypes="0" containsString="0" containsNumber="1" minValue="0" maxValue="0.57999999999999996"/>
    </cacheField>
    <cacheField name="Women in Leadership %" numFmtId="9">
      <sharedItems containsSemiMixedTypes="0" containsString="0" containsNumber="1" minValue="0.02" maxValue="1"/>
    </cacheField>
    <cacheField name="Women in Workforce %" numFmtId="0">
      <sharedItems containsSemiMixedTypes="0" containsString="0" containsNumber="1" minValue="0" maxValue="1"/>
    </cacheField>
    <cacheField name="Climate Grade" numFmtId="0">
      <sharedItems containsBlank="1" count="10">
        <s v="A+"/>
        <s v="A"/>
        <s v="A-"/>
        <s v="B+"/>
        <s v="B"/>
        <s v="B-"/>
        <s v="C+"/>
        <s v="C"/>
        <m/>
        <s v="C-"/>
      </sharedItems>
    </cacheField>
    <cacheField name="Sustainability Initiativ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n v="14"/>
    <s v="Sims Ltd"/>
    <s v="Mascot, Australia"/>
    <s v="Waste management"/>
    <n v="38525"/>
    <n v="0.16"/>
    <d v="1899-12-31T12:01:00"/>
    <n v="0.38"/>
    <n v="1"/>
    <n v="1"/>
    <x v="0"/>
    <m/>
  </r>
  <r>
    <n v="2"/>
    <n v="3"/>
    <s v="Brambles Ltd"/>
    <s v="Sydney, Australia"/>
    <s v="Furniture and general manufacturing"/>
    <n v="123791"/>
    <n v="0.12"/>
    <d v="1900-01-01T13:01:00"/>
    <n v="0.36"/>
    <n v="1"/>
    <n v="1"/>
    <x v="1"/>
    <s v="1.5°C, SBTi"/>
  </r>
  <r>
    <n v="3"/>
    <n v="2"/>
    <s v="Vestas Wind Systems A/S"/>
    <s v="Aarhus, Denmark"/>
    <s v="Machinery manufacturing"/>
    <n v="141969"/>
    <n v="0.19"/>
    <d v="1900-01-01T22:01:00"/>
    <n v="0.42"/>
    <n v="1"/>
    <n v="1"/>
    <x v="1"/>
    <s v="1.5°C, SBTi"/>
  </r>
  <r>
    <n v="4"/>
    <n v="9"/>
    <s v="Taiwan High Speed Rail Corp"/>
    <s v="Taipei, Taiwan"/>
    <s v="Transit and ground transportation"/>
    <n v="7698"/>
    <n v="0"/>
    <d v="1899-12-30T11:01:00"/>
    <n v="0.15"/>
    <n v="1"/>
    <n v="1"/>
    <x v="1"/>
    <m/>
  </r>
  <r>
    <n v="5"/>
    <m/>
    <s v="Nordex SE"/>
    <s v="Hamburg, Germany"/>
    <s v="Machinery manufacturing"/>
    <n v="160887"/>
    <n v="0.73"/>
    <d v="1900-01-02T10:01:00"/>
    <n v="0.33"/>
    <n v="1"/>
    <n v="1"/>
    <x v="1"/>
    <s v="1.5°C, SBTi"/>
  </r>
  <r>
    <n v="6"/>
    <n v="15"/>
    <s v="Banco do Brasil SA"/>
    <s v="Brasília, Brazil"/>
    <s v="Banks"/>
    <n v="1106800"/>
    <n v="0.17"/>
    <d v="1899-12-30T09:01:00"/>
    <n v="0.5"/>
    <n v="0.28999999999999998"/>
    <n v="0"/>
    <x v="2"/>
    <s v="1.5°C, SBTi"/>
  </r>
  <r>
    <n v="7"/>
    <s v="7*"/>
    <s v="Schneider Electric SE"/>
    <s v="Rueil-Malmaison, France"/>
    <s v="Electrical equipment manufacturing"/>
    <n v="102400"/>
    <n v="0.16"/>
    <d v="1900-01-03T01:01:00"/>
    <n v="0.5"/>
    <n v="0.72"/>
    <n v="0.8"/>
    <x v="2"/>
    <s v="1.5°C, SBTi"/>
  </r>
  <r>
    <n v="8"/>
    <n v="18"/>
    <s v="Chr Hansen Holding A/S"/>
    <s v="Hørsholm, Denmark"/>
    <s v="Food and beverage manufacturing"/>
    <n v="38696"/>
    <n v="0.14000000000000001"/>
    <d v="1899-12-31T10:01:00"/>
    <n v="0.5"/>
    <n v="0.47"/>
    <n v="0.71"/>
    <x v="2"/>
    <s v="1.5°C, SBTi"/>
  </r>
  <r>
    <n v="9"/>
    <n v="7"/>
    <s v="Stantec Inc"/>
    <s v="Edmonton, Canada"/>
    <s v="Business, engineering and personal services"/>
    <n v="118360"/>
    <n v="0.12"/>
    <d v="1900-01-01T12:01:00"/>
    <n v="0.5"/>
    <n v="0.59"/>
    <n v="0.6"/>
    <x v="2"/>
    <s v="1.5°C, SBTi"/>
  </r>
  <r>
    <n v="10"/>
    <m/>
    <s v="SMA Solar Technology AG"/>
    <s v="Niestetal, Germany"/>
    <s v="Semiconductor and electronic components manufacturing"/>
    <n v="135701"/>
    <n v="0.22"/>
    <d v="1899-12-30T15:01:00"/>
    <n v="0.33"/>
    <n v="1"/>
    <n v="1"/>
    <x v="2"/>
    <s v="SBTi"/>
  </r>
  <r>
    <n v="11"/>
    <n v="5"/>
    <s v="Autodesk Inc"/>
    <s v="San Francisco, U.S."/>
    <s v="IT services except telecom and hosting"/>
    <n v="517478"/>
    <n v="0.19"/>
    <m/>
    <n v="0.5"/>
    <n v="0.93"/>
    <n v="0"/>
    <x v="2"/>
    <s v="1.5°C, SBTi"/>
  </r>
  <r>
    <n v="12"/>
    <m/>
    <s v="WSP Global Inc"/>
    <s v="Montreal, Canada"/>
    <s v="Business, engineering and personal services"/>
    <n v="152031"/>
    <n v="0.16"/>
    <d v="1900-01-03T13:01:00"/>
    <n v="0.33"/>
    <n v="0.56999999999999995"/>
    <n v="0.92"/>
    <x v="3"/>
    <s v="1.5°C, SBTi"/>
  </r>
  <r>
    <n v="13"/>
    <m/>
    <s v="Clean Harbors Inc"/>
    <s v="Norwell, U.S."/>
    <s v="Waste management"/>
    <n v="3048"/>
    <n v="0.08"/>
    <m/>
    <n v="0.45"/>
    <n v="1"/>
    <n v="1"/>
    <x v="3"/>
    <m/>
  </r>
  <r>
    <n v="14"/>
    <m/>
    <s v="Enphase Energy Inc"/>
    <s v="Fremont, U.S."/>
    <s v="Semiconductor and electronic components manufacturing"/>
    <n v="209362"/>
    <n v="0.04"/>
    <m/>
    <n v="0.14000000000000001"/>
    <n v="1"/>
    <n v="1"/>
    <x v="3"/>
    <m/>
  </r>
  <r>
    <n v="15"/>
    <n v="65"/>
    <s v="Telefonaktiebolaget LM Ericsson"/>
    <s v="Stockholm, Sweden"/>
    <s v="Telephones and telecom equipment manufacturing"/>
    <n v="174040"/>
    <n v="0.18"/>
    <d v="1900-01-02T11:01:00"/>
    <n v="0.28999999999999998"/>
    <n v="0.47"/>
    <n v="0.71"/>
    <x v="3"/>
    <s v="1.5°C, SBTi"/>
  </r>
  <r>
    <n v="16"/>
    <n v="35"/>
    <s v="SunPower Corp"/>
    <s v="Richmond, U.S."/>
    <s v="Semiconductor and electronic components manufacturing"/>
    <m/>
    <n v="0"/>
    <m/>
    <n v="0.22"/>
    <n v="1"/>
    <n v="1"/>
    <x v="3"/>
    <s v="SBTi"/>
  </r>
  <r>
    <n v="17"/>
    <n v="13"/>
    <s v="Ørsted A/S"/>
    <s v="Fredericia, Denmark"/>
    <s v="Power generation"/>
    <n v="8192"/>
    <n v="0.1"/>
    <d v="1899-12-31T11:01:00"/>
    <n v="0.5"/>
    <n v="0.65"/>
    <n v="0.99"/>
    <x v="3"/>
    <s v="1.5°C, SBTi"/>
  </r>
  <r>
    <n v="18"/>
    <m/>
    <s v="Alstom SA"/>
    <s v="Saint-Ouen, France"/>
    <s v="Non-road transport equipment manufacturing"/>
    <n v="111827"/>
    <n v="0.11"/>
    <d v="1899-12-31T07:01:00"/>
    <n v="0.38"/>
    <n v="0.84"/>
    <n v="0.92"/>
    <x v="3"/>
    <s v="SBTi"/>
  </r>
  <r>
    <n v="19"/>
    <n v="29"/>
    <s v="Neste Oyj"/>
    <s v="Espoo, Finland"/>
    <s v="Refining, petrochemicals and basic organic chemicals"/>
    <n v="15844"/>
    <n v="0.1"/>
    <d v="1899-12-30T14:01:00"/>
    <n v="0.25"/>
    <n v="0.39"/>
    <n v="0.92"/>
    <x v="3"/>
    <m/>
  </r>
  <r>
    <n v="20"/>
    <n v="10"/>
    <s v="Dassault Systèmes SE"/>
    <s v="Vélizy-Villacoublay, France"/>
    <s v="IT services except telecom and hosting"/>
    <n v="318772"/>
    <n v="0.14000000000000001"/>
    <d v="1899-12-31T03:01:00"/>
    <n v="0.5"/>
    <n v="0.66"/>
    <n v="0.06"/>
    <x v="3"/>
    <s v="1.5°C, SBTi"/>
  </r>
  <r>
    <n v="21"/>
    <n v="51"/>
    <s v="Giant Manufacturing Co Ltd"/>
    <s v="Taichung, Taiwan"/>
    <s v="Non-road transport equipment manufacturing"/>
    <n v="56418"/>
    <n v="0.18"/>
    <d v="1900-01-08T11:01:00"/>
    <n v="0.09"/>
    <n v="1"/>
    <n v="1"/>
    <x v="3"/>
    <m/>
  </r>
  <r>
    <n v="22"/>
    <n v="28"/>
    <s v="City Developments Ltd"/>
    <s v="Singapore, Singapore"/>
    <s v="Real estate"/>
    <n v="25789"/>
    <n v="0.17"/>
    <d v="1899-12-31T14:01:00"/>
    <n v="0.2"/>
    <n v="0.54"/>
    <n v="0.64"/>
    <x v="3"/>
    <s v="1.5°C, SBTi"/>
  </r>
  <r>
    <n v="23"/>
    <m/>
    <s v="Trane Technologies PLC"/>
    <s v="Swords, Ireland"/>
    <s v="HVAC equipment manufacturing"/>
    <n v="44213"/>
    <n v="0.25"/>
    <d v="1900-01-04T06:01:00"/>
    <n v="0.45"/>
    <n v="0.38"/>
    <n v="0.28999999999999998"/>
    <x v="3"/>
    <s v="1.5°C, SBTi"/>
  </r>
  <r>
    <n v="24"/>
    <m/>
    <s v="United Utilities Group PLC"/>
    <s v="Warrington, U.K."/>
    <s v="Water and sewage treatment"/>
    <n v="10544"/>
    <n v="0.03"/>
    <d v="1900-01-01T23:01:00"/>
    <n v="0.4"/>
    <n v="0.42"/>
    <n v="1"/>
    <x v="3"/>
    <s v="1.5°C, SBTi"/>
  </r>
  <r>
    <n v="25"/>
    <m/>
    <s v="XPeng Inc"/>
    <s v="Guangzhou, China"/>
    <s v="Cars and trucks manufacturing, including parts"/>
    <n v="264119"/>
    <n v="0"/>
    <m/>
    <n v="0.14000000000000001"/>
    <n v="1"/>
    <n v="1"/>
    <x v="4"/>
    <m/>
  </r>
  <r>
    <n v="26"/>
    <m/>
    <s v="Wheaton Precious Metals Corp"/>
    <s v="Vancouver, Canada"/>
    <s v="Asset management"/>
    <n v="33251733"/>
    <n v="0"/>
    <d v="1899-12-30T05:01:00"/>
    <n v="0.3"/>
    <n v="0.21"/>
    <n v="0"/>
    <x v="4"/>
    <s v="SBTi"/>
  </r>
  <r>
    <n v="27"/>
    <n v="4"/>
    <s v="Brookfield Renewable Partners LP"/>
    <s v="Hamilton, Bermuda"/>
    <s v="Power generation"/>
    <n v="25165"/>
    <n v="0.04"/>
    <d v="1900-01-01T10:01:00"/>
    <n v="0.33"/>
    <n v="0.97"/>
    <n v="1"/>
    <x v="4"/>
    <m/>
  </r>
  <r>
    <n v="28"/>
    <n v="54"/>
    <s v="ERG SpA"/>
    <s v="Genoa, Italy"/>
    <s v="Power generation"/>
    <n v="2342"/>
    <n v="0.09"/>
    <d v="1899-12-30T22:01:00"/>
    <n v="0.42"/>
    <n v="0.52"/>
    <n v="1"/>
    <x v="4"/>
    <s v="1.5°C, SBTi"/>
  </r>
  <r>
    <n v="29"/>
    <n v="74"/>
    <s v="Kesko Oyj"/>
    <s v="Helsinki, Finland"/>
    <s v="Grocery stores"/>
    <n v="124317"/>
    <n v="0.09"/>
    <d v="1900-01-03T14:01:00"/>
    <n v="0.28999999999999998"/>
    <n v="0.03"/>
    <n v="0.1"/>
    <x v="4"/>
    <s v="1.5°C, SBTi"/>
  </r>
  <r>
    <n v="30"/>
    <m/>
    <s v="Risen Energy Co Ltd"/>
    <s v="Ningbo, China"/>
    <s v="Semiconductor and electronic components manufacturing"/>
    <n v="14582"/>
    <n v="0.23"/>
    <d v="1899-12-30T21:01:00"/>
    <n v="0"/>
    <n v="1"/>
    <n v="1"/>
    <x v="4"/>
    <m/>
  </r>
  <r>
    <n v="31"/>
    <n v="58"/>
    <s v="Severn Trent PLC"/>
    <s v="Coventry, U.K."/>
    <s v="Water and sewage treatment"/>
    <n v="5751"/>
    <n v="0.02"/>
    <d v="1900-01-01T16:01:00"/>
    <n v="0.56000000000000005"/>
    <n v="0.5"/>
    <n v="1"/>
    <x v="4"/>
    <s v="1.5°C, SBTi"/>
  </r>
  <r>
    <n v="32"/>
    <m/>
    <s v="Hydro One Ltd"/>
    <s v="Toronto, Canada"/>
    <s v="Power transmission and distribution"/>
    <n v="19867"/>
    <n v="0.01"/>
    <d v="1899-12-30T09:01:00"/>
    <n v="0.4"/>
    <n v="0.36"/>
    <n v="0.98"/>
    <x v="4"/>
    <m/>
  </r>
  <r>
    <n v="33"/>
    <m/>
    <s v="Zhuzhou CRRC Times Electric Co Ltd"/>
    <s v="Zhuzhou, China"/>
    <s v="Electrical equipment manufacturing"/>
    <m/>
    <n v="0.28000000000000003"/>
    <m/>
    <n v="0.09"/>
    <n v="1"/>
    <n v="1"/>
    <x v="4"/>
    <m/>
  </r>
  <r>
    <n v="34"/>
    <n v="46"/>
    <s v="First Solar Inc"/>
    <s v="Tempe, U.S."/>
    <s v="Semiconductor and electronic components manufacturing"/>
    <n v="4270"/>
    <n v="0.15"/>
    <m/>
    <n v="0.25"/>
    <n v="1"/>
    <n v="1"/>
    <x v="4"/>
    <s v="1.5°C, SBTi"/>
  </r>
  <r>
    <n v="35"/>
    <n v="53"/>
    <s v="Eisai Co Ltd"/>
    <s v="Tokyo, Japan"/>
    <s v="Pharmaceutical and biotech manufacturing"/>
    <n v="188590"/>
    <n v="0.16"/>
    <d v="1899-12-30T10:01:00"/>
    <n v="0.18"/>
    <n v="0.49"/>
    <n v="0.22"/>
    <x v="4"/>
    <s v="1.5°C, SBTi"/>
  </r>
  <r>
    <n v="36"/>
    <n v="1"/>
    <s v="Radius Recycling"/>
    <s v="Portland, U.S."/>
    <s v="Waste management"/>
    <n v="19067"/>
    <n v="0.05"/>
    <d v="1900-01-03T07:01:00"/>
    <n v="0.5"/>
    <n v="0.95"/>
    <n v="1"/>
    <x v="4"/>
    <m/>
  </r>
  <r>
    <n v="37"/>
    <n v="87"/>
    <s v="Beazley PLC"/>
    <s v="London, U.K."/>
    <s v="Insurance companies"/>
    <n v="2864982"/>
    <n v="0.1"/>
    <d v="1899-12-30T11:01:00"/>
    <n v="0.45"/>
    <n v="0.15"/>
    <n v="0"/>
    <x v="4"/>
    <s v="NZIA"/>
  </r>
  <r>
    <n v="38"/>
    <n v="20"/>
    <s v="Cascades Inc"/>
    <s v="Kingsey Falls, Canada"/>
    <s v="Packaging"/>
    <n v="4763"/>
    <n v="0.03"/>
    <d v="1900-01-01T18:01:00"/>
    <n v="0.38"/>
    <n v="0.88"/>
    <n v="0.86"/>
    <x v="4"/>
    <s v="SBTi"/>
  </r>
  <r>
    <n v="39"/>
    <m/>
    <s v="EDP Renováveis SA"/>
    <s v="Madrid, Spain"/>
    <s v="Power generation"/>
    <m/>
    <n v="0.02"/>
    <d v="1899-12-30T07:01:00"/>
    <n v="0.33"/>
    <n v="1"/>
    <n v="1"/>
    <x v="4"/>
    <s v="SBTi"/>
  </r>
  <r>
    <n v="40"/>
    <n v="32"/>
    <s v="Beijing Enterprises Water Group Ltd"/>
    <s v="Hong Kong, China"/>
    <s v="Water and sewage treatment"/>
    <n v="3828"/>
    <n v="0.08"/>
    <m/>
    <n v="0.2"/>
    <n v="0.94"/>
    <n v="1"/>
    <x v="4"/>
    <m/>
  </r>
  <r>
    <n v="41"/>
    <n v="49"/>
    <s v="Atea ASA"/>
    <s v="Oslo, Norway"/>
    <s v="Computers and peripherals manufacturing"/>
    <n v="483930"/>
    <n v="0.12"/>
    <d v="1899-12-30T23:01:00"/>
    <n v="0.38"/>
    <n v="0.56999999999999995"/>
    <n v="0.38"/>
    <x v="4"/>
    <s v="SBTi"/>
  </r>
  <r>
    <n v="42"/>
    <n v="64"/>
    <s v="Yadea Group Holdings Ltd"/>
    <s v="Wuxi, China"/>
    <s v="Non-road transport equipment manufacturing"/>
    <n v="49209"/>
    <n v="0.08"/>
    <d v="1899-12-30T07:01:00"/>
    <n v="0.13"/>
    <n v="1"/>
    <n v="1"/>
    <x v="4"/>
    <m/>
  </r>
  <r>
    <n v="43"/>
    <m/>
    <s v="Li Auto Inc"/>
    <s v="Beijing, China"/>
    <s v="Cars and trucks manufacturing, including parts"/>
    <n v="107512"/>
    <n v="0.03"/>
    <d v="1900-01-02T23:01:00"/>
    <n v="0.13"/>
    <n v="1"/>
    <n v="1"/>
    <x v="5"/>
    <m/>
  </r>
  <r>
    <n v="44"/>
    <n v="69"/>
    <s v="Maxeon Solar Technologies Ltd"/>
    <s v="Singapore, Singapore"/>
    <s v="Semiconductor and electronic components manufacturing"/>
    <n v="4422"/>
    <n v="0.08"/>
    <m/>
    <n v="0"/>
    <n v="1"/>
    <n v="1"/>
    <x v="5"/>
    <m/>
  </r>
  <r>
    <n v="45"/>
    <n v="31"/>
    <s v="Kering SA"/>
    <s v="Paris, France"/>
    <s v="Retail, except grocery and auto"/>
    <n v="261469"/>
    <n v="0.28000000000000003"/>
    <d v="1900-01-05T07:01:00"/>
    <n v="0.46"/>
    <n v="0.26"/>
    <n v="0.05"/>
    <x v="5"/>
    <s v="1.5°C, SBTi, FCCA"/>
  </r>
  <r>
    <n v="46"/>
    <n v="86"/>
    <s v="Tesla Inc"/>
    <s v="Austin, U.S."/>
    <s v="Cars and trucks manufacturing, including parts"/>
    <n v="133544"/>
    <n v="0.06"/>
    <m/>
    <n v="0.25"/>
    <n v="1"/>
    <n v="1"/>
    <x v="5"/>
    <s v="1.5°C, SBTi"/>
  </r>
  <r>
    <n v="47"/>
    <m/>
    <s v="Umicore SA"/>
    <s v="Brussels, Belgium"/>
    <s v="Basic inorganic chemicals and synthetics"/>
    <n v="57259"/>
    <n v="0.17"/>
    <d v="1899-12-31T08:01:00"/>
    <n v="0.4"/>
    <n v="0.12"/>
    <n v="0.63"/>
    <x v="5"/>
    <s v="SBTi"/>
  </r>
  <r>
    <n v="48"/>
    <n v="41"/>
    <s v="SAP SE"/>
    <s v="Walldorf, Germany"/>
    <s v="IT services except telecom and hosting"/>
    <n v="168329"/>
    <n v="0.28000000000000003"/>
    <d v="1899-12-31T06:01:00"/>
    <n v="0.44"/>
    <n v="0.3"/>
    <n v="0.03"/>
    <x v="5"/>
    <s v="1.5°C, SBTi"/>
  </r>
  <r>
    <n v="49"/>
    <n v="22"/>
    <s v="McCormick &amp; Company Inc"/>
    <s v="Hunt Valley, U.S."/>
    <s v="Food and beverage manufacturing"/>
    <n v="80976"/>
    <n v="0.14000000000000001"/>
    <m/>
    <n v="0.36"/>
    <n v="0.46"/>
    <n v="0.22"/>
    <x v="5"/>
    <s v="1.5°C, SBTi"/>
  </r>
  <r>
    <n v="50"/>
    <n v="79"/>
    <s v="NIO Inc"/>
    <s v="Shanghai, China"/>
    <s v="Cars and trucks manufacturing, including parts"/>
    <n v="42750"/>
    <n v="0.01"/>
    <m/>
    <n v="0.17"/>
    <n v="1"/>
    <n v="1"/>
    <x v="5"/>
    <m/>
  </r>
  <r>
    <n v="51"/>
    <n v="42"/>
    <s v="BCE Inc"/>
    <s v="Verdun, Canada"/>
    <s v="Telecom providers"/>
    <n v="75217"/>
    <n v="0.08"/>
    <d v="1900-01-04T17:01:00"/>
    <n v="0.36"/>
    <n v="0.24"/>
    <n v="0.78"/>
    <x v="5"/>
    <s v="1.5°C, SBTi"/>
  </r>
  <r>
    <n v="52"/>
    <n v="76"/>
    <s v="Investec Ltd"/>
    <s v="Sandton, South Africa"/>
    <s v="Banks"/>
    <n v="130634"/>
    <n v="0.2"/>
    <d v="1899-12-31T19:01:00"/>
    <n v="0.43"/>
    <n v="0.14000000000000001"/>
    <n v="0"/>
    <x v="5"/>
    <s v="NZBA"/>
  </r>
  <r>
    <n v="53"/>
    <m/>
    <s v="Novo Nordisk A/S"/>
    <s v="Bagsvaerd, Denmark"/>
    <s v="Pharmaceutical and biotech manufacturing"/>
    <n v="336603"/>
    <n v="0.19"/>
    <d v="1900-01-02T04:01:00"/>
    <n v="0.46"/>
    <n v="0.04"/>
    <n v="0"/>
    <x v="5"/>
    <s v="1.5°C, SBTi"/>
  </r>
  <r>
    <n v="54"/>
    <n v="47"/>
    <s v="Puma SE"/>
    <s v="Erlangen, Germany"/>
    <s v="Textiles and clothing manufacturing"/>
    <n v="312773"/>
    <n v="0.17"/>
    <d v="1900-01-08T10:01:00"/>
    <n v="0.33"/>
    <n v="0.54"/>
    <n v="0"/>
    <x v="5"/>
    <s v="SBTi, FCCA"/>
  </r>
  <r>
    <n v="55"/>
    <n v="63"/>
    <s v="Samsung SDI Co Ltd"/>
    <s v="Yongin-si, South Korea"/>
    <s v="Semiconductor and electronic components manufacturing"/>
    <n v="14103"/>
    <n v="0.09"/>
    <d v="1900-01-04T15:01:00"/>
    <n v="0.28999999999999998"/>
    <n v="0.87"/>
    <n v="0.94"/>
    <x v="5"/>
    <m/>
  </r>
  <r>
    <n v="56"/>
    <m/>
    <s v="Rivian Automotive, Inc"/>
    <s v="Irvine, U.S."/>
    <s v="Cars and trucks manufacturing, including parts"/>
    <m/>
    <n v="0"/>
    <d v="1900-01-01T07:01:00"/>
    <n v="0.43"/>
    <n v="1"/>
    <n v="1"/>
    <x v="5"/>
    <m/>
  </r>
  <r>
    <n v="57"/>
    <n v="59"/>
    <s v="Intesa Sanpaolo SpA"/>
    <s v="Turin, Italy"/>
    <s v="Banks"/>
    <n v="195778"/>
    <n v="0.26"/>
    <d v="1900-01-03T06:01:00"/>
    <n v="0.42"/>
    <n v="0.16"/>
    <n v="0"/>
    <x v="5"/>
    <s v="1.5°C, SBTi, NZBA"/>
  </r>
  <r>
    <n v="58"/>
    <n v="23"/>
    <s v="Novozymes A/S"/>
    <s v="Bagsvaerd, Denmark"/>
    <s v="Pharmaceutical and biotech manufacturing"/>
    <n v="7348"/>
    <n v="0.16"/>
    <d v="1899-12-31T11:01:00"/>
    <n v="0.27"/>
    <n v="0.67"/>
    <n v="0.14000000000000001"/>
    <x v="6"/>
    <s v="1.5°C, SBTi"/>
  </r>
  <r>
    <n v="59"/>
    <m/>
    <s v="Elisa Oyj"/>
    <s v="Helsinki, Finland"/>
    <s v="Telecom providers"/>
    <n v="57863"/>
    <n v="0.11"/>
    <d v="1899-12-31T07:01:00"/>
    <n v="0.38"/>
    <n v="0.16"/>
    <n v="0.63"/>
    <x v="6"/>
    <s v="1.5°C, SBTi"/>
  </r>
  <r>
    <n v="60"/>
    <n v="89"/>
    <s v="Arçelik AS"/>
    <s v="Istanbul, Turkey"/>
    <s v="Appliances and lighting fixtures manufacturing"/>
    <n v="224900"/>
    <n v="0.06"/>
    <m/>
    <n v="0.17"/>
    <n v="0.1"/>
    <n v="0.15"/>
    <x v="6"/>
    <s v="1.5°C, SBTi"/>
  </r>
  <r>
    <n v="61"/>
    <m/>
    <s v="Pirelli &amp; C SpA"/>
    <s v="Milan, Italy"/>
    <s v="Plastic and rubber product manufacturing"/>
    <n v="14318"/>
    <n v="0.12"/>
    <d v="1900-01-21T20:01:00"/>
    <n v="0.2"/>
    <n v="0.23"/>
    <n v="0.16"/>
    <x v="6"/>
    <s v="1.5°C, SBTi"/>
  </r>
  <r>
    <n v="62"/>
    <m/>
    <s v="Singapore Telecommunications Ltd"/>
    <s v="Singapore, Singapore"/>
    <s v="Telecom providers"/>
    <n v="37135"/>
    <n v="7.0000000000000007E-2"/>
    <d v="1899-12-31T04:01:00"/>
    <n v="0.43"/>
    <n v="0.12"/>
    <n v="0.6"/>
    <x v="6"/>
    <s v="1.5°C, SBTi"/>
  </r>
  <r>
    <n v="63"/>
    <n v="12"/>
    <s v="Xinyi Solar Holdings Ltd"/>
    <s v="Wuhu, China"/>
    <s v="Glass and ceramics"/>
    <n v="891"/>
    <n v="0.1"/>
    <d v="1900-01-07T21:01:00"/>
    <n v="0.11"/>
    <n v="1"/>
    <n v="1"/>
    <x v="6"/>
    <m/>
  </r>
  <r>
    <n v="64"/>
    <n v="48"/>
    <s v="Cisco Systems Inc"/>
    <s v="San Jose, U.S."/>
    <s v="Telephones and telecom equipment manufacturing"/>
    <n v="86080"/>
    <n v="0.22"/>
    <d v="1900-01-14T06:01:00"/>
    <n v="0.42"/>
    <n v="0.42"/>
    <n v="0"/>
    <x v="6"/>
    <s v="1.5°C, SBTi"/>
  </r>
  <r>
    <n v="65"/>
    <n v="68"/>
    <s v="KB Financial Group Inc"/>
    <s v="Seoul, South Korea"/>
    <s v="Banks"/>
    <n v="142713"/>
    <n v="0.25"/>
    <d v="1899-12-30T11:01:00"/>
    <n v="0.33"/>
    <n v="0.06"/>
    <n v="0"/>
    <x v="6"/>
    <s v="1.5°C, SBTi, NZBA"/>
  </r>
  <r>
    <n v="66"/>
    <n v="61"/>
    <s v="Sanofi SA"/>
    <s v="Paris, France"/>
    <s v="Pharmaceutical and biotech manufacturing"/>
    <n v="93914"/>
    <n v="0.17"/>
    <d v="1900-01-03T02:01:00"/>
    <n v="0.38"/>
    <n v="0.27"/>
    <n v="0.1"/>
    <x v="6"/>
    <s v="1.5°C, SBTi"/>
  </r>
  <r>
    <n v="67"/>
    <n v="39"/>
    <s v="HP Inc"/>
    <s v="Palo Alto, U.S."/>
    <s v="Computers and peripherals manufacturing"/>
    <n v="259083"/>
    <n v="0.15"/>
    <d v="1900-01-31T19:01:00"/>
    <n v="0.46"/>
    <n v="0.78"/>
    <n v="0"/>
    <x v="6"/>
    <s v="1.5°C, SBTi"/>
  </r>
  <r>
    <n v="68"/>
    <n v="52"/>
    <s v="Essity AB (publ)"/>
    <s v="Stockholm, Sweden"/>
    <s v="Packaging"/>
    <n v="6803"/>
    <n v="0.13"/>
    <d v="1900-01-01T17:01:00"/>
    <n v="0.38"/>
    <n v="0.33"/>
    <n v="0.1"/>
    <x v="6"/>
    <s v="1.5°C, SBTi"/>
  </r>
  <r>
    <n v="69"/>
    <m/>
    <s v="Equinix Inc"/>
    <s v="Redwood City, U.S."/>
    <s v="Data processing, hosting services"/>
    <n v="2970"/>
    <n v="0.04"/>
    <m/>
    <n v="0.4"/>
    <n v="0.48"/>
    <n v="0.01"/>
    <x v="6"/>
    <s v="SBTi"/>
  </r>
  <r>
    <n v="70"/>
    <m/>
    <s v="Unibail-Rodamco-Westfield SE"/>
    <s v="Paris, France"/>
    <s v="Real estate"/>
    <n v="29790"/>
    <n v="0.04"/>
    <d v="1899-12-31T02:01:00"/>
    <n v="0.5"/>
    <n v="0.5"/>
    <n v="0.08"/>
    <x v="6"/>
    <s v="1.5°C, SBTi"/>
  </r>
  <r>
    <n v="71"/>
    <n v="73"/>
    <s v="Apple Inc"/>
    <s v="Cupertino, U.S."/>
    <s v="Telephones and telecom equipment manufacturing"/>
    <n v="351888"/>
    <n v="0.16"/>
    <m/>
    <n v="0.33"/>
    <n v="0.7"/>
    <n v="0.01"/>
    <x v="6"/>
    <s v="1.5°C, SBTi"/>
  </r>
  <r>
    <n v="72"/>
    <n v="80"/>
    <s v="Ricoh Co Ltd"/>
    <s v="Tokyo, Japan"/>
    <s v="Computers and peripherals manufacturing"/>
    <n v="70161"/>
    <n v="0.19"/>
    <d v="1899-12-30T17:01:00"/>
    <n v="0.13"/>
    <n v="0.51"/>
    <n v="0.34"/>
    <x v="6"/>
    <s v="1.5°C, SBTi"/>
  </r>
  <r>
    <n v="73"/>
    <n v="45"/>
    <s v="Cogeco Communications Inc"/>
    <s v="Montreal, Canada"/>
    <s v="Telecom providers"/>
    <n v="77783"/>
    <n v="0.06"/>
    <d v="1900-01-01T06:01:00"/>
    <n v="0.5"/>
    <n v="0.26"/>
    <n v="0.28000000000000003"/>
    <x v="6"/>
    <s v="1.5°C, SBTi"/>
  </r>
  <r>
    <n v="74"/>
    <m/>
    <s v="Solaredge Technologies Inc"/>
    <s v="Herzliya, Israel"/>
    <s v="Semiconductor and electronic components manufacturing"/>
    <n v="73903"/>
    <n v="0.19"/>
    <m/>
    <n v="0.5"/>
    <n v="0.94"/>
    <n v="0.43"/>
    <x v="6"/>
    <m/>
  </r>
  <r>
    <n v="75"/>
    <m/>
    <s v="Telefônica Brasil SA"/>
    <s v="São Paulo, Brazil"/>
    <s v="Telecom providers"/>
    <n v="250602"/>
    <n v="0.02"/>
    <d v="1900-01-02T18:01:00"/>
    <n v="0.33"/>
    <n v="0.12"/>
    <n v="0.53"/>
    <x v="6"/>
    <m/>
  </r>
  <r>
    <n v="76"/>
    <n v="38"/>
    <s v="Unilever PLC"/>
    <s v="London, U.K."/>
    <s v="Personal products (retail chemical)"/>
    <n v="53579"/>
    <n v="0.23"/>
    <d v="1900-01-03T02:01:00"/>
    <n v="0.38"/>
    <n v="0.02"/>
    <n v="0.04"/>
    <x v="6"/>
    <s v="1.5°C, SBTi"/>
  </r>
  <r>
    <n v="77"/>
    <n v="36"/>
    <s v="Xerox Holdings Corp"/>
    <s v="Norwalk, U.S."/>
    <s v="Computers and peripherals manufacturing"/>
    <n v="56147"/>
    <n v="0.06"/>
    <m/>
    <n v="0.25"/>
    <n v="0.75"/>
    <n v="0.11"/>
    <x v="7"/>
    <s v="1.5°C, SBTi"/>
  </r>
  <r>
    <n v="78"/>
    <n v="43"/>
    <s v="Coloplast A/S"/>
    <s v="Humlebæk, Denmark"/>
    <s v="Medical equipment manufacturing"/>
    <n v="71029"/>
    <n v="0.19"/>
    <d v="1899-12-31T19:01:00"/>
    <n v="0.33"/>
    <n v="0.09"/>
    <n v="0"/>
    <x v="7"/>
    <s v="1.5°C, SBTi"/>
  </r>
  <r>
    <n v="79"/>
    <n v="77"/>
    <s v="Sun Life Financial Inc"/>
    <s v="Toronto, Canada"/>
    <s v="Insurance companies"/>
    <n v="549255"/>
    <n v="0.15"/>
    <d v="1900-01-04T04:01:00"/>
    <n v="0.5"/>
    <n v="0.06"/>
    <n v="0"/>
    <x v="7"/>
    <m/>
  </r>
  <r>
    <n v="80"/>
    <n v="34"/>
    <s v="StarHub Ltd"/>
    <s v="Singapore, Singapore"/>
    <s v="Telecom providers"/>
    <n v="50109"/>
    <n v="0.13"/>
    <d v="1899-12-30T17:01:00"/>
    <n v="0.25"/>
    <n v="0.08"/>
    <n v="0.56999999999999995"/>
    <x v="7"/>
    <s v="1.5°C, SBTi"/>
  </r>
  <r>
    <n v="81"/>
    <n v="67"/>
    <s v="Hewlett Packard Enterprise Co"/>
    <s v="Spring, U.S."/>
    <s v="Computers and peripherals manufacturing"/>
    <n v="93302"/>
    <n v="7.0000000000000007E-2"/>
    <m/>
    <n v="0.46"/>
    <n v="0.33"/>
    <n v="0.39"/>
    <x v="7"/>
    <s v="1.5°C, SBTi"/>
  </r>
  <r>
    <n v="82"/>
    <n v="72"/>
    <s v="Svenska Handelsbanken AB"/>
    <s v="Stockholm, Sweden"/>
    <s v="Banks"/>
    <n v="1052698"/>
    <n v="0.26"/>
    <d v="1899-12-30T17:01:00"/>
    <n v="0.56999999999999995"/>
    <n v="7.0000000000000007E-2"/>
    <n v="0"/>
    <x v="7"/>
    <s v="1.5°C, SBTi, NZBA"/>
  </r>
  <r>
    <n v="83"/>
    <n v="94"/>
    <s v="Nordea Bank Abp"/>
    <s v="Helsinki, Finland"/>
    <s v="Banks"/>
    <n v="3242058"/>
    <n v="0.1"/>
    <d v="1899-12-31T11:01:00"/>
    <n v="0.5"/>
    <n v="0.04"/>
    <n v="0"/>
    <x v="7"/>
    <s v="NZAM, NZAO, NZBA"/>
  </r>
  <r>
    <n v="84"/>
    <n v="70"/>
    <s v="Orkla ASA"/>
    <s v="Oslo, Norway"/>
    <s v="Food and beverage manufacturing"/>
    <n v="33788"/>
    <n v="0.17"/>
    <d v="1899-12-30T17:01:00"/>
    <n v="0.45"/>
    <n v="0.23"/>
    <n v="0.03"/>
    <x v="7"/>
    <s v="1.5°C, SBTi"/>
  </r>
  <r>
    <n v="85"/>
    <n v="37"/>
    <s v="Telus Corp"/>
    <s v="Vancouver, Canada"/>
    <s v="Telecom providers"/>
    <n v="64565"/>
    <n v="0.08"/>
    <d v="1900-01-13T02:01:00"/>
    <n v="0.43"/>
    <n v="0.26"/>
    <n v="0.23"/>
    <x v="7"/>
    <s v="1.5°C, SBTi"/>
  </r>
  <r>
    <n v="86"/>
    <n v="81"/>
    <s v="Henkel AG &amp; Co KgaA"/>
    <s v="Düsseldorf, Germany"/>
    <s v="Personal products (retail chemical)"/>
    <n v="58936"/>
    <n v="0.19"/>
    <d v="1900-01-04T12:01:00"/>
    <n v="0.44"/>
    <n v="0.21"/>
    <n v="0.01"/>
    <x v="7"/>
    <s v="1.5°C, SBTi, NZAM"/>
  </r>
  <r>
    <n v="87"/>
    <m/>
    <s v="Prologis Inc"/>
    <s v="San Francisco, U.S."/>
    <s v="Real estate and leasing"/>
    <n v="1614690"/>
    <n v="0.03"/>
    <d v="1900-01-06T02:01:00"/>
    <n v="0.27"/>
    <n v="0.02"/>
    <n v="0.04"/>
    <x v="7"/>
    <s v="1.5°C, SBTi"/>
  </r>
  <r>
    <n v="88"/>
    <m/>
    <s v="UniCredit SpA"/>
    <s v="Milan, Italy"/>
    <s v="Banks"/>
    <n v="225131"/>
    <n v="0.1"/>
    <d v="1900-01-01T12:01:00"/>
    <n v="0.42"/>
    <n v="0.1"/>
    <n v="0"/>
    <x v="7"/>
    <s v="NZBA"/>
  </r>
  <r>
    <n v="89"/>
    <n v="85"/>
    <s v="Commerzbank AG"/>
    <s v="Frankfurt am Main, Germany"/>
    <s v="Banks"/>
    <n v="423236"/>
    <n v="0.16"/>
    <d v="1899-12-31T12:01:00"/>
    <n v="0.45"/>
    <n v="0.05"/>
    <n v="0"/>
    <x v="7"/>
    <s v="SBTi, NZAM, NZBA"/>
  </r>
  <r>
    <n v="90"/>
    <n v="71"/>
    <s v="BNP Paribas SA"/>
    <s v="Paris, France"/>
    <s v="Banks"/>
    <n v="320421"/>
    <n v="0.13"/>
    <d v="1900-01-01T07:01:00"/>
    <n v="0.53"/>
    <n v="0.08"/>
    <n v="0"/>
    <x v="7"/>
    <s v="SBTi, NZAM, NZAO, NZBA"/>
  </r>
  <r>
    <n v="91"/>
    <m/>
    <s v="Assicurazioni Generali SpA"/>
    <s v="Trieste, Italy"/>
    <s v="Insurance companies"/>
    <n v="1273258"/>
    <n v="0.25"/>
    <d v="1900-01-02T00:01:00"/>
    <n v="0.46"/>
    <n v="0.03"/>
    <n v="0"/>
    <x v="7"/>
    <s v="NZIA"/>
  </r>
  <r>
    <n v="92"/>
    <n v="78"/>
    <s v="Teck Resources Ltd"/>
    <s v="Vancouver, Canada"/>
    <s v="Metal and coal mining"/>
    <n v="4846"/>
    <n v="0.13"/>
    <d v="1900-01-02T07:01:00"/>
    <n v="0.28999999999999998"/>
    <n v="0.19"/>
    <n v="0.28000000000000003"/>
    <x v="7"/>
    <m/>
  </r>
  <r>
    <n v="93"/>
    <n v="27"/>
    <s v="Vitasoy International Holdings Ltd"/>
    <s v="Hong Kong, China"/>
    <s v="Food and beverage manufacturing"/>
    <n v="9681"/>
    <n v="0.14000000000000001"/>
    <d v="1900-01-01T22:01:00"/>
    <n v="0.18"/>
    <n v="0.46"/>
    <n v="0.04"/>
    <x v="7"/>
    <m/>
  </r>
  <r>
    <n v="94"/>
    <m/>
    <s v="Bank of China Ltd"/>
    <s v="Beijing, China"/>
    <s v="Banks"/>
    <n v="100123"/>
    <n v="0.13"/>
    <d v="1899-12-30T04:01:00"/>
    <n v="0.15"/>
    <n v="0.17"/>
    <n v="0"/>
    <x v="7"/>
    <m/>
  </r>
  <r>
    <n v="95"/>
    <n v="97"/>
    <s v="AstraZeneca PLC"/>
    <s v="Cambridge, U.K."/>
    <s v="Pharmaceutical and biotech manufacturing"/>
    <n v="100380"/>
    <n v="0.15"/>
    <d v="1900-01-03T15:01:00"/>
    <n v="0.38"/>
    <n v="0.13"/>
    <n v="0"/>
    <x v="8"/>
    <m/>
  </r>
  <r>
    <n v="96"/>
    <n v="92"/>
    <s v="IGM Financial Inc"/>
    <s v="Winnipeg, Canada"/>
    <s v="Asset management"/>
    <n v="4947231"/>
    <n v="0.17"/>
    <d v="1900-01-01T01:01:00"/>
    <n v="0.33"/>
    <n v="0.03"/>
    <n v="0"/>
    <x v="9"/>
    <s v="NZAM"/>
  </r>
  <r>
    <n v="97"/>
    <m/>
    <s v="Biomérieux SA"/>
    <s v="Marcy l’Étoile, France"/>
    <s v="Medical equipment manufacturing"/>
    <n v="75374"/>
    <n v="0.18"/>
    <d v="1899-12-30T18:01:00"/>
    <n v="0.44"/>
    <n v="0.06"/>
    <n v="0"/>
    <x v="9"/>
    <s v="SBTi"/>
  </r>
  <r>
    <n v="98"/>
    <m/>
    <s v="Manulife Financial Corp"/>
    <s v="Toronto, Canada"/>
    <s v="Insurance companies"/>
    <n v="206669"/>
    <n v="0.11"/>
    <d v="1900-01-05T11:01:00"/>
    <n v="0.57999999999999996"/>
    <n v="0.06"/>
    <n v="0"/>
    <x v="9"/>
    <s v="1.5°C, SBTi"/>
  </r>
  <r>
    <n v="99"/>
    <n v="57"/>
    <s v="Sino Land Co Ltd"/>
    <s v="Hong Kong, China"/>
    <s v="Real estate"/>
    <n v="10127"/>
    <n v="0.2"/>
    <d v="1900-01-01T02:01:00"/>
    <n v="0.08"/>
    <n v="0.5"/>
    <n v="0.12"/>
    <x v="9"/>
    <s v="1.5°C, SBTi"/>
  </r>
  <r>
    <n v="100"/>
    <m/>
    <s v="Sysmex Corp"/>
    <s v="Kobe, Japan"/>
    <s v="Instrumentation and other electronic manufacturing"/>
    <n v="154501"/>
    <n v="0.2"/>
    <d v="1899-12-30T22:01:00"/>
    <n v="0.08"/>
    <n v="0.37"/>
    <n v="0"/>
    <x v="9"/>
    <s v="SBT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B13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0">
        <item x="1"/>
        <item x="2"/>
        <item x="0"/>
        <item x="4"/>
        <item x="5"/>
        <item x="3"/>
        <item x="7"/>
        <item x="9"/>
        <item x="6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Climate Grade" fld="1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1" displayName="Table1" ref="A1:M102" totalsRowCount="1" headerRowDxfId="23" totalsRowDxfId="22">
  <autoFilter ref="A1:M101"/>
  <tableColumns count="13">
    <tableColumn id="1" name="Rank" totalsRowLabel="Total" totalsRowDxfId="21"/>
    <tableColumn id="2" name="Previous Rank" totalsRowDxfId="20"/>
    <tableColumn id="3" name="Company" totalsRowFunction="custom" totalsRowDxfId="19">
      <totalsRowFormula>COUNTA(C2:C101)</totalsRowFormula>
    </tableColumn>
    <tableColumn id="4" name="Location" totalsRowFunction="custom" totalsRowDxfId="18">
      <totalsRowFormula>COUNTA(D2:D101)</totalsRowFormula>
    </tableColumn>
    <tableColumn id="5" name="Industry" totalsRowFunction="custom" totalsRowDxfId="17">
      <totalsRowFormula>COUNTA(E2:E101)</totalsRowFormula>
    </tableColumn>
    <tableColumn id="6" name="Revenue" totalsRowFunction="sum" totalsRowDxfId="16"/>
    <tableColumn id="7" name="Profit %" totalsRowFunction="sum" totalsRowDxfId="15"/>
    <tableColumn id="8" name="CEO Pay Ratio" totalsRowFunction="sum" totalsRowDxfId="14"/>
    <tableColumn id="9" name="Women on Board %" totalsRowFunction="count" totalsRowDxfId="13"/>
    <tableColumn id="10" name="Women in Leadership %" totalsRowFunction="count" totalsRowDxfId="12"/>
    <tableColumn id="11" name="Women in Workforce %" totalsRowFunction="count" totalsRowDxfId="11"/>
    <tableColumn id="12" name="Climate Grade" totalsRowFunction="count" totalsRowDxfId="10"/>
    <tableColumn id="13" name="Sustainability Initiatives" totalsRowFunction="count" totalsRow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6:I17" totalsRowShown="0" headerRowDxfId="8">
  <autoFilter ref="C16:I17"/>
  <tableColumns count="7">
    <tableColumn id="2" name="top 10 rank"/>
    <tableColumn id="3" name="Revenue " dataDxfId="7"/>
    <tableColumn id="4" name="Profet%"/>
    <tableColumn id="5" name="Top pay"/>
    <tableColumn id="6" name="Company"/>
    <tableColumn id="7" name="location "/>
    <tableColumn id="8" name="women on boa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C3:H12" totalsRowShown="0" headerRowDxfId="6" dataDxfId="5">
  <autoFilter ref="C3:H12"/>
  <tableColumns count="6">
    <tableColumn id="2" name="Operations " dataDxfId="4"/>
    <tableColumn id="3" name="Total"/>
    <tableColumn id="4" name="Max"/>
    <tableColumn id="5" name="Min" dataDxfId="3"/>
    <tableColumn id="6" name="Med" dataDxfId="2"/>
    <tableColumn id="7" name="Av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/>
  </sheetPr>
  <dimension ref="A3:B13"/>
  <sheetViews>
    <sheetView tabSelected="1" workbookViewId="0">
      <selection activeCell="O8" sqref="O8"/>
    </sheetView>
  </sheetViews>
  <sheetFormatPr defaultRowHeight="15" x14ac:dyDescent="0.25"/>
  <cols>
    <col min="1" max="1" width="16.140625" bestFit="1" customWidth="1"/>
    <col min="2" max="2" width="22.140625" bestFit="1" customWidth="1"/>
  </cols>
  <sheetData>
    <row r="3" spans="1:2" x14ac:dyDescent="0.25">
      <c r="A3" s="43" t="s">
        <v>11</v>
      </c>
      <c r="B3" t="s">
        <v>287</v>
      </c>
    </row>
    <row r="4" spans="1:2" x14ac:dyDescent="0.25">
      <c r="A4" t="s">
        <v>20</v>
      </c>
      <c r="B4" s="44">
        <v>4</v>
      </c>
    </row>
    <row r="5" spans="1:2" x14ac:dyDescent="0.25">
      <c r="A5" t="s">
        <v>33</v>
      </c>
      <c r="B5" s="44">
        <v>6</v>
      </c>
    </row>
    <row r="6" spans="1:2" x14ac:dyDescent="0.25">
      <c r="A6" t="s">
        <v>16</v>
      </c>
      <c r="B6" s="44">
        <v>1</v>
      </c>
    </row>
    <row r="7" spans="1:2" x14ac:dyDescent="0.25">
      <c r="A7" t="s">
        <v>88</v>
      </c>
      <c r="B7" s="44">
        <v>18</v>
      </c>
    </row>
    <row r="8" spans="1:2" x14ac:dyDescent="0.25">
      <c r="A8" t="s">
        <v>133</v>
      </c>
      <c r="B8" s="44">
        <v>15</v>
      </c>
    </row>
    <row r="9" spans="1:2" x14ac:dyDescent="0.25">
      <c r="A9" t="s">
        <v>53</v>
      </c>
      <c r="B9" s="44">
        <v>13</v>
      </c>
    </row>
    <row r="10" spans="1:2" x14ac:dyDescent="0.25">
      <c r="A10" t="s">
        <v>206</v>
      </c>
      <c r="B10" s="44">
        <v>18</v>
      </c>
    </row>
    <row r="11" spans="1:2" x14ac:dyDescent="0.25">
      <c r="A11" t="s">
        <v>240</v>
      </c>
      <c r="B11" s="44">
        <v>5</v>
      </c>
    </row>
    <row r="12" spans="1:2" x14ac:dyDescent="0.25">
      <c r="A12" t="s">
        <v>170</v>
      </c>
      <c r="B12" s="44">
        <v>19</v>
      </c>
    </row>
    <row r="13" spans="1:2" x14ac:dyDescent="0.25">
      <c r="A13" t="s">
        <v>288</v>
      </c>
      <c r="B13" s="44"/>
    </row>
  </sheetData>
  <conditionalFormatting sqref="B2:B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{89FB57EE-A234-4E0E-8B88-39087D1F8BFC}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FB57EE-A234-4E0E-8B88-39087D1F8B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</sheetPr>
  <dimension ref="A1"/>
  <sheetViews>
    <sheetView showGridLines="0" topLeftCell="A13" workbookViewId="0">
      <selection activeCell="T33" sqref="T33"/>
    </sheetView>
  </sheetViews>
  <sheetFormatPr defaultRowHeight="15" x14ac:dyDescent="0.25"/>
  <cols>
    <col min="1" max="16384" width="9.140625" style="48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M103"/>
  <sheetViews>
    <sheetView topLeftCell="E19" zoomScale="91" zoomScaleNormal="91" workbookViewId="0">
      <selection activeCell="T33" sqref="T33"/>
    </sheetView>
  </sheetViews>
  <sheetFormatPr defaultRowHeight="15" x14ac:dyDescent="0.25"/>
  <cols>
    <col min="1" max="1" width="7.42578125" customWidth="1"/>
    <col min="2" max="2" width="15.5703125" style="5" customWidth="1"/>
    <col min="3" max="3" width="33.140625" bestFit="1" customWidth="1"/>
    <col min="4" max="4" width="29.42578125" bestFit="1" customWidth="1"/>
    <col min="5" max="5" width="53.42578125" bestFit="1" customWidth="1"/>
    <col min="6" max="6" width="12.7109375" bestFit="1" customWidth="1"/>
    <col min="7" max="7" width="10.140625" customWidth="1"/>
    <col min="8" max="8" width="15.28515625" customWidth="1"/>
    <col min="9" max="9" width="20.5703125" customWidth="1"/>
    <col min="10" max="10" width="24.5703125" customWidth="1"/>
    <col min="11" max="11" width="24.7109375" customWidth="1"/>
    <col min="12" max="12" width="15.85546875" customWidth="1"/>
    <col min="13" max="13" width="24.42578125" customWidth="1"/>
  </cols>
  <sheetData>
    <row r="1" spans="1:13" s="7" customFormat="1" x14ac:dyDescent="0.25">
      <c r="A1" s="7" t="s">
        <v>0</v>
      </c>
      <c r="B1" s="6" t="s">
        <v>1</v>
      </c>
      <c r="C1" s="7" t="s">
        <v>2</v>
      </c>
      <c r="D1" s="7" t="s">
        <v>3</v>
      </c>
      <c r="E1" s="12" t="s">
        <v>4</v>
      </c>
      <c r="F1" s="9" t="s">
        <v>5</v>
      </c>
      <c r="G1" s="8" t="s">
        <v>6</v>
      </c>
      <c r="H1" s="8" t="s">
        <v>7</v>
      </c>
      <c r="I1" s="10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25">
      <c r="A2">
        <v>1</v>
      </c>
      <c r="B2" s="5">
        <v>14</v>
      </c>
      <c r="C2" t="s">
        <v>13</v>
      </c>
      <c r="D2" t="s">
        <v>14</v>
      </c>
      <c r="E2" t="s">
        <v>15</v>
      </c>
      <c r="F2" s="1">
        <v>38525</v>
      </c>
      <c r="G2" s="2">
        <v>0.16</v>
      </c>
      <c r="H2" s="3">
        <v>1.5006944444444443</v>
      </c>
      <c r="I2" s="2">
        <v>0.38</v>
      </c>
      <c r="J2" s="2">
        <v>1</v>
      </c>
      <c r="K2" s="2">
        <v>1</v>
      </c>
      <c r="L2" t="s">
        <v>16</v>
      </c>
      <c r="M2" s="7"/>
    </row>
    <row r="3" spans="1:13" x14ac:dyDescent="0.25">
      <c r="A3">
        <v>2</v>
      </c>
      <c r="B3" s="5">
        <v>3</v>
      </c>
      <c r="C3" t="s">
        <v>17</v>
      </c>
      <c r="D3" t="s">
        <v>18</v>
      </c>
      <c r="E3" t="s">
        <v>19</v>
      </c>
      <c r="F3" s="1">
        <v>123791</v>
      </c>
      <c r="G3" s="2">
        <v>0.12</v>
      </c>
      <c r="H3" s="3">
        <v>2.5423611111111111</v>
      </c>
      <c r="I3" s="2">
        <v>0.36</v>
      </c>
      <c r="J3" s="2">
        <v>1</v>
      </c>
      <c r="K3" s="2">
        <v>1</v>
      </c>
      <c r="L3" t="s">
        <v>20</v>
      </c>
      <c r="M3" t="s">
        <v>21</v>
      </c>
    </row>
    <row r="4" spans="1:13" x14ac:dyDescent="0.25">
      <c r="A4">
        <v>3</v>
      </c>
      <c r="B4" s="5">
        <v>2</v>
      </c>
      <c r="C4" t="s">
        <v>22</v>
      </c>
      <c r="D4" t="s">
        <v>23</v>
      </c>
      <c r="E4" t="s">
        <v>24</v>
      </c>
      <c r="F4" s="1">
        <v>141969</v>
      </c>
      <c r="G4" s="2">
        <v>0.19</v>
      </c>
      <c r="H4" s="3">
        <v>2.9173611111111111</v>
      </c>
      <c r="I4" s="2">
        <v>0.42</v>
      </c>
      <c r="J4" s="2">
        <v>1</v>
      </c>
      <c r="K4" s="2">
        <v>1</v>
      </c>
      <c r="L4" t="s">
        <v>20</v>
      </c>
      <c r="M4" t="s">
        <v>21</v>
      </c>
    </row>
    <row r="5" spans="1:13" x14ac:dyDescent="0.25">
      <c r="A5">
        <v>4</v>
      </c>
      <c r="B5" s="5">
        <v>9</v>
      </c>
      <c r="C5" t="s">
        <v>25</v>
      </c>
      <c r="D5" t="s">
        <v>26</v>
      </c>
      <c r="E5" t="s">
        <v>27</v>
      </c>
      <c r="F5" s="1">
        <v>7698</v>
      </c>
      <c r="G5" s="2">
        <v>0</v>
      </c>
      <c r="H5" s="4">
        <v>0.45902777777777781</v>
      </c>
      <c r="I5" s="2">
        <v>0.15</v>
      </c>
      <c r="J5" s="2">
        <v>1</v>
      </c>
      <c r="K5" s="2">
        <v>1</v>
      </c>
      <c r="L5" t="s">
        <v>20</v>
      </c>
      <c r="M5" s="7"/>
    </row>
    <row r="6" spans="1:13" x14ac:dyDescent="0.25">
      <c r="A6">
        <v>5</v>
      </c>
      <c r="B6" s="6"/>
      <c r="C6" t="s">
        <v>28</v>
      </c>
      <c r="D6" t="s">
        <v>29</v>
      </c>
      <c r="E6" t="s">
        <v>24</v>
      </c>
      <c r="F6" s="1">
        <v>160887</v>
      </c>
      <c r="G6" s="2">
        <v>0.73</v>
      </c>
      <c r="H6" s="3">
        <v>3.4173611111111111</v>
      </c>
      <c r="I6" s="2">
        <v>0.33</v>
      </c>
      <c r="J6" s="2">
        <v>1</v>
      </c>
      <c r="K6" s="2">
        <v>1</v>
      </c>
      <c r="L6" t="s">
        <v>20</v>
      </c>
      <c r="M6" t="s">
        <v>21</v>
      </c>
    </row>
    <row r="7" spans="1:13" x14ac:dyDescent="0.25">
      <c r="A7">
        <v>6</v>
      </c>
      <c r="B7" s="5">
        <v>15</v>
      </c>
      <c r="C7" t="s">
        <v>30</v>
      </c>
      <c r="D7" t="s">
        <v>31</v>
      </c>
      <c r="E7" t="s">
        <v>32</v>
      </c>
      <c r="F7" s="1">
        <v>1106800</v>
      </c>
      <c r="G7" s="2">
        <v>0.17</v>
      </c>
      <c r="H7" s="4">
        <v>0.3756944444444445</v>
      </c>
      <c r="I7" s="2">
        <v>0.5</v>
      </c>
      <c r="J7" s="2">
        <v>0.28999999999999998</v>
      </c>
      <c r="K7" s="2">
        <v>0</v>
      </c>
      <c r="L7" t="s">
        <v>33</v>
      </c>
      <c r="M7" t="s">
        <v>21</v>
      </c>
    </row>
    <row r="8" spans="1:13" x14ac:dyDescent="0.25">
      <c r="A8">
        <v>7</v>
      </c>
      <c r="B8" s="5" t="s">
        <v>34</v>
      </c>
      <c r="C8" t="s">
        <v>35</v>
      </c>
      <c r="D8" t="s">
        <v>36</v>
      </c>
      <c r="E8" t="s">
        <v>37</v>
      </c>
      <c r="F8" s="1">
        <v>102400</v>
      </c>
      <c r="G8" s="2">
        <v>0.16</v>
      </c>
      <c r="H8" s="3">
        <v>4.0423611111111111</v>
      </c>
      <c r="I8" s="2">
        <v>0.5</v>
      </c>
      <c r="J8" s="2">
        <v>0.72</v>
      </c>
      <c r="K8" s="2">
        <v>0.8</v>
      </c>
      <c r="L8" t="s">
        <v>33</v>
      </c>
      <c r="M8" t="s">
        <v>21</v>
      </c>
    </row>
    <row r="9" spans="1:13" x14ac:dyDescent="0.25">
      <c r="A9">
        <v>8</v>
      </c>
      <c r="B9" s="5">
        <v>18</v>
      </c>
      <c r="C9" t="s">
        <v>38</v>
      </c>
      <c r="D9" t="s">
        <v>39</v>
      </c>
      <c r="E9" t="s">
        <v>40</v>
      </c>
      <c r="F9" s="1">
        <v>38696</v>
      </c>
      <c r="G9" s="2">
        <v>0.14000000000000001</v>
      </c>
      <c r="H9" s="3">
        <v>1.4173611111111111</v>
      </c>
      <c r="I9" s="2">
        <v>0.5</v>
      </c>
      <c r="J9" s="2">
        <v>0.47</v>
      </c>
      <c r="K9" s="2">
        <v>0.71</v>
      </c>
      <c r="L9" t="s">
        <v>33</v>
      </c>
      <c r="M9" t="s">
        <v>21</v>
      </c>
    </row>
    <row r="10" spans="1:13" x14ac:dyDescent="0.25">
      <c r="A10">
        <v>9</v>
      </c>
      <c r="B10" s="5">
        <v>7</v>
      </c>
      <c r="C10" t="s">
        <v>41</v>
      </c>
      <c r="D10" t="s">
        <v>42</v>
      </c>
      <c r="E10" t="s">
        <v>43</v>
      </c>
      <c r="F10" s="1">
        <v>118360</v>
      </c>
      <c r="G10" s="2">
        <v>0.12</v>
      </c>
      <c r="H10" s="3">
        <v>2.5006944444444446</v>
      </c>
      <c r="I10" s="2">
        <v>0.5</v>
      </c>
      <c r="J10" s="2">
        <v>0.59</v>
      </c>
      <c r="K10" s="2">
        <v>0.6</v>
      </c>
      <c r="L10" t="s">
        <v>33</v>
      </c>
      <c r="M10" t="s">
        <v>21</v>
      </c>
    </row>
    <row r="11" spans="1:13" x14ac:dyDescent="0.25">
      <c r="A11">
        <v>10</v>
      </c>
      <c r="B11" s="6"/>
      <c r="C11" t="s">
        <v>44</v>
      </c>
      <c r="D11" t="s">
        <v>45</v>
      </c>
      <c r="E11" t="s">
        <v>46</v>
      </c>
      <c r="F11" s="1">
        <v>135701</v>
      </c>
      <c r="G11" s="2">
        <v>0.22</v>
      </c>
      <c r="H11" s="4">
        <v>0.62569444444444444</v>
      </c>
      <c r="I11" s="2">
        <v>0.33</v>
      </c>
      <c r="J11" s="2">
        <v>1</v>
      </c>
      <c r="K11" s="2">
        <v>1</v>
      </c>
      <c r="L11" t="s">
        <v>33</v>
      </c>
      <c r="M11" t="s">
        <v>47</v>
      </c>
    </row>
    <row r="12" spans="1:13" x14ac:dyDescent="0.25">
      <c r="A12">
        <v>11</v>
      </c>
      <c r="B12" s="5">
        <v>5</v>
      </c>
      <c r="C12" t="s">
        <v>48</v>
      </c>
      <c r="D12" t="s">
        <v>49</v>
      </c>
      <c r="E12" t="s">
        <v>50</v>
      </c>
      <c r="F12" s="1">
        <v>517478</v>
      </c>
      <c r="G12" s="2">
        <v>0.19</v>
      </c>
      <c r="H12" s="7"/>
      <c r="I12" s="2">
        <v>0.5</v>
      </c>
      <c r="J12" s="2">
        <v>0.93</v>
      </c>
      <c r="K12" s="2">
        <v>0</v>
      </c>
      <c r="L12" t="s">
        <v>33</v>
      </c>
      <c r="M12" t="s">
        <v>21</v>
      </c>
    </row>
    <row r="13" spans="1:13" x14ac:dyDescent="0.25">
      <c r="A13">
        <v>12</v>
      </c>
      <c r="B13" s="6"/>
      <c r="C13" t="s">
        <v>51</v>
      </c>
      <c r="D13" t="s">
        <v>52</v>
      </c>
      <c r="E13" t="s">
        <v>43</v>
      </c>
      <c r="F13" s="1">
        <v>152031</v>
      </c>
      <c r="G13" s="2">
        <v>0.16</v>
      </c>
      <c r="H13" s="3">
        <v>4.5423611111111111</v>
      </c>
      <c r="I13" s="2">
        <v>0.33</v>
      </c>
      <c r="J13" s="2">
        <v>0.56999999999999995</v>
      </c>
      <c r="K13" s="2">
        <v>0.92</v>
      </c>
      <c r="L13" t="s">
        <v>53</v>
      </c>
      <c r="M13" t="s">
        <v>21</v>
      </c>
    </row>
    <row r="14" spans="1:13" x14ac:dyDescent="0.25">
      <c r="A14">
        <v>13</v>
      </c>
      <c r="B14" s="6"/>
      <c r="C14" t="s">
        <v>54</v>
      </c>
      <c r="D14" t="s">
        <v>55</v>
      </c>
      <c r="E14" t="s">
        <v>15</v>
      </c>
      <c r="F14" s="1">
        <v>3048</v>
      </c>
      <c r="G14" s="2">
        <v>0.08</v>
      </c>
      <c r="H14" s="7"/>
      <c r="I14" s="2">
        <v>0.45</v>
      </c>
      <c r="J14" s="2">
        <v>1</v>
      </c>
      <c r="K14" s="2">
        <v>1</v>
      </c>
      <c r="L14" t="s">
        <v>53</v>
      </c>
      <c r="M14" s="7"/>
    </row>
    <row r="15" spans="1:13" x14ac:dyDescent="0.25">
      <c r="A15">
        <v>14</v>
      </c>
      <c r="B15" s="6"/>
      <c r="C15" t="s">
        <v>56</v>
      </c>
      <c r="D15" t="s">
        <v>57</v>
      </c>
      <c r="E15" t="s">
        <v>46</v>
      </c>
      <c r="F15" s="1">
        <v>209362</v>
      </c>
      <c r="G15" s="2">
        <v>0.04</v>
      </c>
      <c r="H15" s="7"/>
      <c r="I15" s="2">
        <v>0.14000000000000001</v>
      </c>
      <c r="J15" s="2">
        <v>1</v>
      </c>
      <c r="K15" s="2">
        <v>1</v>
      </c>
      <c r="L15" t="s">
        <v>53</v>
      </c>
      <c r="M15" s="7"/>
    </row>
    <row r="16" spans="1:13" x14ac:dyDescent="0.25">
      <c r="A16">
        <v>15</v>
      </c>
      <c r="B16" s="5">
        <v>65</v>
      </c>
      <c r="C16" t="s">
        <v>58</v>
      </c>
      <c r="D16" t="s">
        <v>59</v>
      </c>
      <c r="E16" t="s">
        <v>60</v>
      </c>
      <c r="F16" s="1">
        <v>174040</v>
      </c>
      <c r="G16" s="2">
        <v>0.18</v>
      </c>
      <c r="H16" s="3">
        <v>3.4590277777777776</v>
      </c>
      <c r="I16" s="2">
        <v>0.28999999999999998</v>
      </c>
      <c r="J16" s="2">
        <v>0.47</v>
      </c>
      <c r="K16" s="2">
        <v>0.71</v>
      </c>
      <c r="L16" t="s">
        <v>53</v>
      </c>
      <c r="M16" t="s">
        <v>21</v>
      </c>
    </row>
    <row r="17" spans="1:13" x14ac:dyDescent="0.25">
      <c r="A17">
        <v>16</v>
      </c>
      <c r="B17" s="5">
        <v>35</v>
      </c>
      <c r="C17" t="s">
        <v>61</v>
      </c>
      <c r="D17" t="s">
        <v>62</v>
      </c>
      <c r="E17" t="s">
        <v>46</v>
      </c>
      <c r="F17" s="7"/>
      <c r="G17" s="2">
        <v>0</v>
      </c>
      <c r="H17" s="7"/>
      <c r="I17" s="2">
        <v>0.22</v>
      </c>
      <c r="J17" s="2">
        <v>1</v>
      </c>
      <c r="K17" s="2">
        <v>1</v>
      </c>
      <c r="L17" t="s">
        <v>53</v>
      </c>
      <c r="M17" t="s">
        <v>47</v>
      </c>
    </row>
    <row r="18" spans="1:13" x14ac:dyDescent="0.25">
      <c r="A18">
        <v>17</v>
      </c>
      <c r="B18" s="5">
        <v>13</v>
      </c>
      <c r="C18" t="s">
        <v>63</v>
      </c>
      <c r="D18" t="s">
        <v>64</v>
      </c>
      <c r="E18" t="s">
        <v>65</v>
      </c>
      <c r="F18" s="1">
        <v>8192</v>
      </c>
      <c r="G18" s="2">
        <v>0.1</v>
      </c>
      <c r="H18" s="3">
        <v>1.4590277777777778</v>
      </c>
      <c r="I18" s="2">
        <v>0.5</v>
      </c>
      <c r="J18" s="2">
        <v>0.65</v>
      </c>
      <c r="K18" s="2">
        <v>0.99</v>
      </c>
      <c r="L18" t="s">
        <v>53</v>
      </c>
      <c r="M18" t="s">
        <v>21</v>
      </c>
    </row>
    <row r="19" spans="1:13" x14ac:dyDescent="0.25">
      <c r="A19">
        <v>18</v>
      </c>
      <c r="B19" s="6"/>
      <c r="C19" t="s">
        <v>66</v>
      </c>
      <c r="D19" t="s">
        <v>67</v>
      </c>
      <c r="E19" t="s">
        <v>68</v>
      </c>
      <c r="F19" s="1">
        <v>111827</v>
      </c>
      <c r="G19" s="2">
        <v>0.11</v>
      </c>
      <c r="H19" s="3">
        <v>1.2923611111111111</v>
      </c>
      <c r="I19" s="2">
        <v>0.38</v>
      </c>
      <c r="J19" s="2">
        <v>0.84</v>
      </c>
      <c r="K19" s="2">
        <v>0.92</v>
      </c>
      <c r="L19" t="s">
        <v>53</v>
      </c>
      <c r="M19" t="s">
        <v>47</v>
      </c>
    </row>
    <row r="20" spans="1:13" x14ac:dyDescent="0.25">
      <c r="A20">
        <v>19</v>
      </c>
      <c r="B20" s="5">
        <v>29</v>
      </c>
      <c r="C20" t="s">
        <v>69</v>
      </c>
      <c r="D20" t="s">
        <v>70</v>
      </c>
      <c r="E20" t="s">
        <v>71</v>
      </c>
      <c r="F20" s="1">
        <v>15844</v>
      </c>
      <c r="G20" s="2">
        <v>0.1</v>
      </c>
      <c r="H20" s="4">
        <v>0.58402777777777781</v>
      </c>
      <c r="I20" s="2">
        <v>0.25</v>
      </c>
      <c r="J20" s="2">
        <v>0.39</v>
      </c>
      <c r="K20" s="2">
        <v>0.92</v>
      </c>
      <c r="L20" t="s">
        <v>53</v>
      </c>
      <c r="M20" s="7"/>
    </row>
    <row r="21" spans="1:13" x14ac:dyDescent="0.25">
      <c r="A21">
        <v>20</v>
      </c>
      <c r="B21" s="5">
        <v>10</v>
      </c>
      <c r="C21" t="s">
        <v>72</v>
      </c>
      <c r="D21" t="s">
        <v>73</v>
      </c>
      <c r="E21" t="s">
        <v>50</v>
      </c>
      <c r="F21" s="1">
        <v>318772</v>
      </c>
      <c r="G21" s="2">
        <v>0.14000000000000001</v>
      </c>
      <c r="H21" s="3">
        <v>1.1256944444444443</v>
      </c>
      <c r="I21" s="2">
        <v>0.5</v>
      </c>
      <c r="J21" s="2">
        <v>0.66</v>
      </c>
      <c r="K21" s="2">
        <v>0.06</v>
      </c>
      <c r="L21" t="s">
        <v>53</v>
      </c>
      <c r="M21" t="s">
        <v>21</v>
      </c>
    </row>
    <row r="22" spans="1:13" x14ac:dyDescent="0.25">
      <c r="A22">
        <v>21</v>
      </c>
      <c r="B22" s="5">
        <v>51</v>
      </c>
      <c r="C22" t="s">
        <v>74</v>
      </c>
      <c r="D22" t="s">
        <v>75</v>
      </c>
      <c r="E22" t="s">
        <v>68</v>
      </c>
      <c r="F22" s="1">
        <v>56418</v>
      </c>
      <c r="G22" s="2">
        <v>0.18</v>
      </c>
      <c r="H22" s="3">
        <v>9.4590277777777789</v>
      </c>
      <c r="I22" s="2">
        <v>0.09</v>
      </c>
      <c r="J22" s="2">
        <v>1</v>
      </c>
      <c r="K22" s="2">
        <v>1</v>
      </c>
      <c r="L22" t="s">
        <v>53</v>
      </c>
      <c r="M22" s="7"/>
    </row>
    <row r="23" spans="1:13" x14ac:dyDescent="0.25">
      <c r="A23">
        <v>22</v>
      </c>
      <c r="B23" s="5">
        <v>28</v>
      </c>
      <c r="C23" t="s">
        <v>76</v>
      </c>
      <c r="D23" t="s">
        <v>77</v>
      </c>
      <c r="E23" t="s">
        <v>78</v>
      </c>
      <c r="F23" s="1">
        <v>25789</v>
      </c>
      <c r="G23" s="2">
        <v>0.17</v>
      </c>
      <c r="H23" s="3">
        <v>1.5840277777777778</v>
      </c>
      <c r="I23" s="2">
        <v>0.2</v>
      </c>
      <c r="J23" s="2">
        <v>0.54</v>
      </c>
      <c r="K23" s="2">
        <v>0.64</v>
      </c>
      <c r="L23" t="s">
        <v>53</v>
      </c>
      <c r="M23" t="s">
        <v>21</v>
      </c>
    </row>
    <row r="24" spans="1:13" x14ac:dyDescent="0.25">
      <c r="A24">
        <v>23</v>
      </c>
      <c r="B24" s="6"/>
      <c r="C24" t="s">
        <v>79</v>
      </c>
      <c r="D24" t="s">
        <v>80</v>
      </c>
      <c r="E24" t="s">
        <v>81</v>
      </c>
      <c r="F24" s="1">
        <v>44213</v>
      </c>
      <c r="G24" s="2">
        <v>0.25</v>
      </c>
      <c r="H24" s="3">
        <v>5.2506944444444441</v>
      </c>
      <c r="I24" s="2">
        <v>0.45</v>
      </c>
      <c r="J24" s="2">
        <v>0.38</v>
      </c>
      <c r="K24" s="2">
        <v>0.28999999999999998</v>
      </c>
      <c r="L24" t="s">
        <v>53</v>
      </c>
      <c r="M24" t="s">
        <v>21</v>
      </c>
    </row>
    <row r="25" spans="1:13" x14ac:dyDescent="0.25">
      <c r="A25">
        <v>24</v>
      </c>
      <c r="B25" s="6"/>
      <c r="C25" t="s">
        <v>82</v>
      </c>
      <c r="D25" t="s">
        <v>83</v>
      </c>
      <c r="E25" t="s">
        <v>84</v>
      </c>
      <c r="F25" s="1">
        <v>10544</v>
      </c>
      <c r="G25" s="2">
        <v>0.03</v>
      </c>
      <c r="H25" s="3">
        <v>2.9590277777777776</v>
      </c>
      <c r="I25" s="2">
        <v>0.4</v>
      </c>
      <c r="J25" s="2">
        <v>0.42</v>
      </c>
      <c r="K25" s="2">
        <v>1</v>
      </c>
      <c r="L25" t="s">
        <v>53</v>
      </c>
      <c r="M25" t="s">
        <v>21</v>
      </c>
    </row>
    <row r="26" spans="1:13" x14ac:dyDescent="0.25">
      <c r="A26">
        <v>25</v>
      </c>
      <c r="B26" s="6"/>
      <c r="C26" t="s">
        <v>85</v>
      </c>
      <c r="D26" t="s">
        <v>86</v>
      </c>
      <c r="E26" t="s">
        <v>87</v>
      </c>
      <c r="F26" s="1">
        <v>264119</v>
      </c>
      <c r="G26" s="2">
        <v>0</v>
      </c>
      <c r="H26" s="7"/>
      <c r="I26" s="2">
        <v>0.14000000000000001</v>
      </c>
      <c r="J26" s="2">
        <v>1</v>
      </c>
      <c r="K26" s="2">
        <v>1</v>
      </c>
      <c r="L26" t="s">
        <v>88</v>
      </c>
      <c r="M26" s="7"/>
    </row>
    <row r="27" spans="1:13" x14ac:dyDescent="0.25">
      <c r="A27">
        <v>26</v>
      </c>
      <c r="B27" s="6"/>
      <c r="C27" t="s">
        <v>89</v>
      </c>
      <c r="D27" t="s">
        <v>90</v>
      </c>
      <c r="E27" t="s">
        <v>91</v>
      </c>
      <c r="F27" s="1">
        <v>33251733</v>
      </c>
      <c r="G27" s="2">
        <v>0</v>
      </c>
      <c r="H27" s="4">
        <v>0.20902777777777778</v>
      </c>
      <c r="I27" s="2">
        <v>0.3</v>
      </c>
      <c r="J27" s="2">
        <v>0.21</v>
      </c>
      <c r="K27" s="2">
        <v>0</v>
      </c>
      <c r="L27" t="s">
        <v>88</v>
      </c>
      <c r="M27" t="s">
        <v>47</v>
      </c>
    </row>
    <row r="28" spans="1:13" x14ac:dyDescent="0.25">
      <c r="A28">
        <v>27</v>
      </c>
      <c r="B28" s="5">
        <v>4</v>
      </c>
      <c r="C28" t="s">
        <v>92</v>
      </c>
      <c r="D28" t="s">
        <v>93</v>
      </c>
      <c r="E28" t="s">
        <v>65</v>
      </c>
      <c r="F28" s="1">
        <v>25165</v>
      </c>
      <c r="G28" s="2">
        <v>0.04</v>
      </c>
      <c r="H28" s="3">
        <v>2.4173611111111111</v>
      </c>
      <c r="I28" s="2">
        <v>0.33</v>
      </c>
      <c r="J28" s="2">
        <v>0.97</v>
      </c>
      <c r="K28" s="2">
        <v>1</v>
      </c>
      <c r="L28" t="s">
        <v>88</v>
      </c>
      <c r="M28" s="7"/>
    </row>
    <row r="29" spans="1:13" x14ac:dyDescent="0.25">
      <c r="A29">
        <v>28</v>
      </c>
      <c r="B29" s="5">
        <v>54</v>
      </c>
      <c r="C29" t="s">
        <v>94</v>
      </c>
      <c r="D29" t="s">
        <v>95</v>
      </c>
      <c r="E29" t="s">
        <v>65</v>
      </c>
      <c r="F29" s="1">
        <v>2342</v>
      </c>
      <c r="G29" s="2">
        <v>0.09</v>
      </c>
      <c r="H29" s="4">
        <v>0.91736111111111107</v>
      </c>
      <c r="I29" s="2">
        <v>0.42</v>
      </c>
      <c r="J29" s="2">
        <v>0.52</v>
      </c>
      <c r="K29" s="2">
        <v>1</v>
      </c>
      <c r="L29" t="s">
        <v>88</v>
      </c>
      <c r="M29" t="s">
        <v>21</v>
      </c>
    </row>
    <row r="30" spans="1:13" x14ac:dyDescent="0.25">
      <c r="A30">
        <v>29</v>
      </c>
      <c r="B30" s="5">
        <v>74</v>
      </c>
      <c r="C30" t="s">
        <v>96</v>
      </c>
      <c r="D30" t="s">
        <v>97</v>
      </c>
      <c r="E30" t="s">
        <v>98</v>
      </c>
      <c r="F30" s="1">
        <v>124317</v>
      </c>
      <c r="G30" s="2">
        <v>0.09</v>
      </c>
      <c r="H30" s="3">
        <v>4.584027777777778</v>
      </c>
      <c r="I30" s="2">
        <v>0.28999999999999998</v>
      </c>
      <c r="J30" s="2">
        <v>0.03</v>
      </c>
      <c r="K30" s="2">
        <v>0.1</v>
      </c>
      <c r="L30" t="s">
        <v>88</v>
      </c>
      <c r="M30" t="s">
        <v>21</v>
      </c>
    </row>
    <row r="31" spans="1:13" x14ac:dyDescent="0.25">
      <c r="A31">
        <v>30</v>
      </c>
      <c r="B31" s="6"/>
      <c r="C31" t="s">
        <v>99</v>
      </c>
      <c r="D31" t="s">
        <v>100</v>
      </c>
      <c r="E31" t="s">
        <v>46</v>
      </c>
      <c r="F31" s="1">
        <v>14582</v>
      </c>
      <c r="G31" s="2">
        <v>0.23</v>
      </c>
      <c r="H31" s="4">
        <v>0.87569444444444444</v>
      </c>
      <c r="I31" s="2">
        <v>0</v>
      </c>
      <c r="J31" s="2">
        <v>1</v>
      </c>
      <c r="K31" s="2">
        <v>1</v>
      </c>
      <c r="L31" t="s">
        <v>88</v>
      </c>
      <c r="M31" s="7"/>
    </row>
    <row r="32" spans="1:13" x14ac:dyDescent="0.25">
      <c r="A32">
        <v>31</v>
      </c>
      <c r="B32" s="5">
        <v>58</v>
      </c>
      <c r="C32" t="s">
        <v>101</v>
      </c>
      <c r="D32" t="s">
        <v>102</v>
      </c>
      <c r="E32" t="s">
        <v>84</v>
      </c>
      <c r="F32" s="1">
        <v>5751</v>
      </c>
      <c r="G32" s="2">
        <v>0.02</v>
      </c>
      <c r="H32" s="3">
        <v>2.6673611111111111</v>
      </c>
      <c r="I32" s="2">
        <v>0.56000000000000005</v>
      </c>
      <c r="J32" s="2">
        <v>0.5</v>
      </c>
      <c r="K32" s="2">
        <v>1</v>
      </c>
      <c r="L32" t="s">
        <v>88</v>
      </c>
      <c r="M32" t="s">
        <v>21</v>
      </c>
    </row>
    <row r="33" spans="1:13" x14ac:dyDescent="0.25">
      <c r="A33">
        <v>32</v>
      </c>
      <c r="B33" s="6"/>
      <c r="C33" t="s">
        <v>103</v>
      </c>
      <c r="D33" t="s">
        <v>104</v>
      </c>
      <c r="E33" t="s">
        <v>105</v>
      </c>
      <c r="F33" s="1">
        <v>19867</v>
      </c>
      <c r="G33" s="2">
        <v>0.01</v>
      </c>
      <c r="H33" s="4">
        <v>0.3756944444444445</v>
      </c>
      <c r="I33" s="2">
        <v>0.4</v>
      </c>
      <c r="J33" s="2">
        <v>0.36</v>
      </c>
      <c r="K33" s="2">
        <v>0.98</v>
      </c>
      <c r="L33" t="s">
        <v>88</v>
      </c>
      <c r="M33" s="7"/>
    </row>
    <row r="34" spans="1:13" x14ac:dyDescent="0.25">
      <c r="A34">
        <v>33</v>
      </c>
      <c r="B34" s="6"/>
      <c r="C34" t="s">
        <v>106</v>
      </c>
      <c r="D34" t="s">
        <v>107</v>
      </c>
      <c r="E34" t="s">
        <v>37</v>
      </c>
      <c r="F34" s="7"/>
      <c r="G34" s="2">
        <v>0.28000000000000003</v>
      </c>
      <c r="H34" s="7"/>
      <c r="I34" s="2">
        <v>0.09</v>
      </c>
      <c r="J34" s="2">
        <v>1</v>
      </c>
      <c r="K34" s="2">
        <v>1</v>
      </c>
      <c r="L34" t="s">
        <v>88</v>
      </c>
      <c r="M34" s="7"/>
    </row>
    <row r="35" spans="1:13" x14ac:dyDescent="0.25">
      <c r="A35">
        <v>34</v>
      </c>
      <c r="B35" s="5">
        <v>46</v>
      </c>
      <c r="C35" t="s">
        <v>108</v>
      </c>
      <c r="D35" t="s">
        <v>109</v>
      </c>
      <c r="E35" t="s">
        <v>46</v>
      </c>
      <c r="F35" s="1">
        <v>4270</v>
      </c>
      <c r="G35" s="2">
        <v>0.15</v>
      </c>
      <c r="H35" s="7"/>
      <c r="I35" s="2">
        <v>0.25</v>
      </c>
      <c r="J35" s="2">
        <v>1</v>
      </c>
      <c r="K35" s="2">
        <v>1</v>
      </c>
      <c r="L35" t="s">
        <v>88</v>
      </c>
      <c r="M35" t="s">
        <v>21</v>
      </c>
    </row>
    <row r="36" spans="1:13" x14ac:dyDescent="0.25">
      <c r="A36">
        <v>35</v>
      </c>
      <c r="B36" s="5">
        <v>53</v>
      </c>
      <c r="C36" t="s">
        <v>110</v>
      </c>
      <c r="D36" t="s">
        <v>111</v>
      </c>
      <c r="E36" t="s">
        <v>112</v>
      </c>
      <c r="F36" s="1">
        <v>188590</v>
      </c>
      <c r="G36" s="2">
        <v>0.16</v>
      </c>
      <c r="H36" s="4">
        <v>0.41736111111111113</v>
      </c>
      <c r="I36" s="2">
        <v>0.18</v>
      </c>
      <c r="J36" s="2">
        <v>0.49</v>
      </c>
      <c r="K36" s="2">
        <v>0.22</v>
      </c>
      <c r="L36" t="s">
        <v>88</v>
      </c>
      <c r="M36" t="s">
        <v>21</v>
      </c>
    </row>
    <row r="37" spans="1:13" x14ac:dyDescent="0.25">
      <c r="A37">
        <v>36</v>
      </c>
      <c r="B37" s="5">
        <v>1</v>
      </c>
      <c r="C37" t="s">
        <v>113</v>
      </c>
      <c r="D37" t="s">
        <v>114</v>
      </c>
      <c r="E37" t="s">
        <v>15</v>
      </c>
      <c r="F37" s="1">
        <v>19067</v>
      </c>
      <c r="G37" s="2">
        <v>0.05</v>
      </c>
      <c r="H37" s="3">
        <v>4.2923611111111111</v>
      </c>
      <c r="I37" s="2">
        <v>0.5</v>
      </c>
      <c r="J37" s="2">
        <v>0.95</v>
      </c>
      <c r="K37" s="2">
        <v>1</v>
      </c>
      <c r="L37" t="s">
        <v>88</v>
      </c>
      <c r="M37" s="7"/>
    </row>
    <row r="38" spans="1:13" x14ac:dyDescent="0.25">
      <c r="A38">
        <v>37</v>
      </c>
      <c r="B38" s="5">
        <v>87</v>
      </c>
      <c r="C38" t="s">
        <v>115</v>
      </c>
      <c r="D38" t="s">
        <v>116</v>
      </c>
      <c r="E38" t="s">
        <v>117</v>
      </c>
      <c r="F38" s="1">
        <v>2864982</v>
      </c>
      <c r="G38" s="2">
        <v>0.1</v>
      </c>
      <c r="H38" s="4">
        <v>0.45902777777777781</v>
      </c>
      <c r="I38" s="2">
        <v>0.45</v>
      </c>
      <c r="J38" s="2">
        <v>0.15</v>
      </c>
      <c r="K38" s="2">
        <v>0</v>
      </c>
      <c r="L38" t="s">
        <v>88</v>
      </c>
      <c r="M38" t="s">
        <v>118</v>
      </c>
    </row>
    <row r="39" spans="1:13" x14ac:dyDescent="0.25">
      <c r="A39">
        <v>38</v>
      </c>
      <c r="B39" s="5">
        <v>20</v>
      </c>
      <c r="C39" t="s">
        <v>119</v>
      </c>
      <c r="D39" t="s">
        <v>120</v>
      </c>
      <c r="E39" t="s">
        <v>121</v>
      </c>
      <c r="F39" s="1">
        <v>4763</v>
      </c>
      <c r="G39" s="2">
        <v>0.03</v>
      </c>
      <c r="H39" s="3">
        <v>2.7506944444444446</v>
      </c>
      <c r="I39" s="2">
        <v>0.38</v>
      </c>
      <c r="J39" s="2">
        <v>0.88</v>
      </c>
      <c r="K39" s="2">
        <v>0.86</v>
      </c>
      <c r="L39" t="s">
        <v>88</v>
      </c>
      <c r="M39" t="s">
        <v>47</v>
      </c>
    </row>
    <row r="40" spans="1:13" x14ac:dyDescent="0.25">
      <c r="A40">
        <v>39</v>
      </c>
      <c r="B40" s="6"/>
      <c r="C40" t="s">
        <v>122</v>
      </c>
      <c r="D40" t="s">
        <v>123</v>
      </c>
      <c r="E40" t="s">
        <v>65</v>
      </c>
      <c r="F40" s="7"/>
      <c r="G40" s="2">
        <v>0.02</v>
      </c>
      <c r="H40" s="4">
        <v>0.29236111111111113</v>
      </c>
      <c r="I40" s="2">
        <v>0.33</v>
      </c>
      <c r="J40" s="2">
        <v>1</v>
      </c>
      <c r="K40" s="2">
        <v>1</v>
      </c>
      <c r="L40" t="s">
        <v>88</v>
      </c>
      <c r="M40" t="s">
        <v>47</v>
      </c>
    </row>
    <row r="41" spans="1:13" x14ac:dyDescent="0.25">
      <c r="A41">
        <v>40</v>
      </c>
      <c r="B41" s="5">
        <v>32</v>
      </c>
      <c r="C41" t="s">
        <v>124</v>
      </c>
      <c r="D41" t="s">
        <v>125</v>
      </c>
      <c r="E41" t="s">
        <v>84</v>
      </c>
      <c r="F41" s="1">
        <v>3828</v>
      </c>
      <c r="G41" s="2">
        <v>0.08</v>
      </c>
      <c r="H41" s="7"/>
      <c r="I41" s="2">
        <v>0.2</v>
      </c>
      <c r="J41" s="2">
        <v>0.94</v>
      </c>
      <c r="K41" s="2">
        <v>1</v>
      </c>
      <c r="L41" t="s">
        <v>88</v>
      </c>
      <c r="M41" s="7"/>
    </row>
    <row r="42" spans="1:13" x14ac:dyDescent="0.25">
      <c r="A42">
        <v>41</v>
      </c>
      <c r="B42" s="5">
        <v>49</v>
      </c>
      <c r="C42" t="s">
        <v>126</v>
      </c>
      <c r="D42" t="s">
        <v>127</v>
      </c>
      <c r="E42" t="s">
        <v>128</v>
      </c>
      <c r="F42" s="1">
        <v>483930</v>
      </c>
      <c r="G42" s="2">
        <v>0.12</v>
      </c>
      <c r="H42" s="4">
        <v>0.9590277777777777</v>
      </c>
      <c r="I42" s="2">
        <v>0.38</v>
      </c>
      <c r="J42" s="2">
        <v>0.56999999999999995</v>
      </c>
      <c r="K42" s="2">
        <v>0.38</v>
      </c>
      <c r="L42" t="s">
        <v>88</v>
      </c>
      <c r="M42" t="s">
        <v>47</v>
      </c>
    </row>
    <row r="43" spans="1:13" x14ac:dyDescent="0.25">
      <c r="A43">
        <v>42</v>
      </c>
      <c r="B43" s="5">
        <v>64</v>
      </c>
      <c r="C43" t="s">
        <v>129</v>
      </c>
      <c r="D43" t="s">
        <v>130</v>
      </c>
      <c r="E43" t="s">
        <v>68</v>
      </c>
      <c r="F43" s="1">
        <v>49209</v>
      </c>
      <c r="G43" s="2">
        <v>0.08</v>
      </c>
      <c r="H43" s="4">
        <v>0.29236111111111113</v>
      </c>
      <c r="I43" s="2">
        <v>0.13</v>
      </c>
      <c r="J43" s="2">
        <v>1</v>
      </c>
      <c r="K43" s="2">
        <v>1</v>
      </c>
      <c r="L43" t="s">
        <v>88</v>
      </c>
      <c r="M43" s="7"/>
    </row>
    <row r="44" spans="1:13" x14ac:dyDescent="0.25">
      <c r="A44">
        <v>43</v>
      </c>
      <c r="B44" s="6"/>
      <c r="C44" t="s">
        <v>131</v>
      </c>
      <c r="D44" t="s">
        <v>132</v>
      </c>
      <c r="E44" t="s">
        <v>87</v>
      </c>
      <c r="F44" s="1">
        <v>107512</v>
      </c>
      <c r="G44" s="2">
        <v>0.03</v>
      </c>
      <c r="H44" s="3">
        <v>3.9590277777777776</v>
      </c>
      <c r="I44" s="2">
        <v>0.13</v>
      </c>
      <c r="J44" s="2">
        <v>1</v>
      </c>
      <c r="K44" s="2">
        <v>1</v>
      </c>
      <c r="L44" t="s">
        <v>133</v>
      </c>
      <c r="M44" s="7"/>
    </row>
    <row r="45" spans="1:13" x14ac:dyDescent="0.25">
      <c r="A45">
        <v>44</v>
      </c>
      <c r="B45" s="5">
        <v>69</v>
      </c>
      <c r="C45" t="s">
        <v>134</v>
      </c>
      <c r="D45" t="s">
        <v>77</v>
      </c>
      <c r="E45" t="s">
        <v>46</v>
      </c>
      <c r="F45" s="1">
        <v>4422</v>
      </c>
      <c r="G45" s="2">
        <v>0.08</v>
      </c>
      <c r="H45" s="7"/>
      <c r="I45" s="2">
        <v>0</v>
      </c>
      <c r="J45" s="2">
        <v>1</v>
      </c>
      <c r="K45" s="2">
        <v>1</v>
      </c>
      <c r="L45" t="s">
        <v>133</v>
      </c>
      <c r="M45" s="7"/>
    </row>
    <row r="46" spans="1:13" x14ac:dyDescent="0.25">
      <c r="A46">
        <v>45</v>
      </c>
      <c r="B46" s="5">
        <v>31</v>
      </c>
      <c r="C46" t="s">
        <v>135</v>
      </c>
      <c r="D46" t="s">
        <v>136</v>
      </c>
      <c r="E46" t="s">
        <v>137</v>
      </c>
      <c r="F46" s="1">
        <v>261469</v>
      </c>
      <c r="G46" s="2">
        <v>0.28000000000000003</v>
      </c>
      <c r="H46" s="3">
        <v>6.292361111111112</v>
      </c>
      <c r="I46" s="2">
        <v>0.46</v>
      </c>
      <c r="J46" s="2">
        <v>0.26</v>
      </c>
      <c r="K46" s="2">
        <v>0.05</v>
      </c>
      <c r="L46" t="s">
        <v>133</v>
      </c>
      <c r="M46" t="s">
        <v>138</v>
      </c>
    </row>
    <row r="47" spans="1:13" x14ac:dyDescent="0.25">
      <c r="A47">
        <v>46</v>
      </c>
      <c r="B47" s="5">
        <v>86</v>
      </c>
      <c r="C47" t="s">
        <v>139</v>
      </c>
      <c r="D47" t="s">
        <v>140</v>
      </c>
      <c r="E47" t="s">
        <v>87</v>
      </c>
      <c r="F47" s="1">
        <v>133544</v>
      </c>
      <c r="G47" s="2">
        <v>0.06</v>
      </c>
      <c r="H47" s="7"/>
      <c r="I47" s="2">
        <v>0.25</v>
      </c>
      <c r="J47" s="2">
        <v>1</v>
      </c>
      <c r="K47" s="2">
        <v>1</v>
      </c>
      <c r="L47" t="s">
        <v>133</v>
      </c>
      <c r="M47" t="s">
        <v>21</v>
      </c>
    </row>
    <row r="48" spans="1:13" x14ac:dyDescent="0.25">
      <c r="A48">
        <v>47</v>
      </c>
      <c r="B48" s="6"/>
      <c r="C48" t="s">
        <v>141</v>
      </c>
      <c r="D48" t="s">
        <v>142</v>
      </c>
      <c r="E48" t="s">
        <v>143</v>
      </c>
      <c r="F48" s="1">
        <v>57259</v>
      </c>
      <c r="G48" s="2">
        <v>0.17</v>
      </c>
      <c r="H48" s="3">
        <v>1.3340277777777778</v>
      </c>
      <c r="I48" s="2">
        <v>0.4</v>
      </c>
      <c r="J48" s="2">
        <v>0.12</v>
      </c>
      <c r="K48" s="2">
        <v>0.63</v>
      </c>
      <c r="L48" t="s">
        <v>133</v>
      </c>
      <c r="M48" t="s">
        <v>47</v>
      </c>
    </row>
    <row r="49" spans="1:13" x14ac:dyDescent="0.25">
      <c r="A49">
        <v>48</v>
      </c>
      <c r="B49" s="5">
        <v>41</v>
      </c>
      <c r="C49" t="s">
        <v>144</v>
      </c>
      <c r="D49" t="s">
        <v>145</v>
      </c>
      <c r="E49" t="s">
        <v>50</v>
      </c>
      <c r="F49" s="1">
        <v>168329</v>
      </c>
      <c r="G49" s="2">
        <v>0.28000000000000003</v>
      </c>
      <c r="H49" s="3">
        <v>1.2506944444444443</v>
      </c>
      <c r="I49" s="2">
        <v>0.44</v>
      </c>
      <c r="J49" s="2">
        <v>0.3</v>
      </c>
      <c r="K49" s="2">
        <v>0.03</v>
      </c>
      <c r="L49" t="s">
        <v>133</v>
      </c>
      <c r="M49" t="s">
        <v>21</v>
      </c>
    </row>
    <row r="50" spans="1:13" x14ac:dyDescent="0.25">
      <c r="A50">
        <v>49</v>
      </c>
      <c r="B50" s="5">
        <v>22</v>
      </c>
      <c r="C50" t="s">
        <v>146</v>
      </c>
      <c r="D50" t="s">
        <v>147</v>
      </c>
      <c r="E50" t="s">
        <v>40</v>
      </c>
      <c r="F50" s="1">
        <v>80976</v>
      </c>
      <c r="G50" s="2">
        <v>0.14000000000000001</v>
      </c>
      <c r="H50" s="7"/>
      <c r="I50" s="2">
        <v>0.36</v>
      </c>
      <c r="J50" s="2">
        <v>0.46</v>
      </c>
      <c r="K50" s="2">
        <v>0.22</v>
      </c>
      <c r="L50" t="s">
        <v>133</v>
      </c>
      <c r="M50" t="s">
        <v>21</v>
      </c>
    </row>
    <row r="51" spans="1:13" x14ac:dyDescent="0.25">
      <c r="A51">
        <v>50</v>
      </c>
      <c r="B51" s="5">
        <v>79</v>
      </c>
      <c r="C51" t="s">
        <v>148</v>
      </c>
      <c r="D51" t="s">
        <v>149</v>
      </c>
      <c r="E51" t="s">
        <v>87</v>
      </c>
      <c r="F51" s="1">
        <v>42750</v>
      </c>
      <c r="G51" s="2">
        <v>0.01</v>
      </c>
      <c r="H51" s="7"/>
      <c r="I51" s="2">
        <v>0.17</v>
      </c>
      <c r="J51" s="2">
        <v>1</v>
      </c>
      <c r="K51" s="2">
        <v>1</v>
      </c>
      <c r="L51" t="s">
        <v>133</v>
      </c>
      <c r="M51" s="7"/>
    </row>
    <row r="52" spans="1:13" x14ac:dyDescent="0.25">
      <c r="A52">
        <v>51</v>
      </c>
      <c r="B52" s="5">
        <v>42</v>
      </c>
      <c r="C52" t="s">
        <v>150</v>
      </c>
      <c r="D52" t="s">
        <v>151</v>
      </c>
      <c r="E52" t="s">
        <v>152</v>
      </c>
      <c r="F52" s="1">
        <v>75217</v>
      </c>
      <c r="G52" s="2">
        <v>0.08</v>
      </c>
      <c r="H52" s="3">
        <v>5.709027777777778</v>
      </c>
      <c r="I52" s="2">
        <v>0.36</v>
      </c>
      <c r="J52" s="2">
        <v>0.24</v>
      </c>
      <c r="K52" s="2">
        <v>0.78</v>
      </c>
      <c r="L52" t="s">
        <v>133</v>
      </c>
      <c r="M52" t="s">
        <v>21</v>
      </c>
    </row>
    <row r="53" spans="1:13" x14ac:dyDescent="0.25">
      <c r="A53">
        <v>52</v>
      </c>
      <c r="B53" s="5">
        <v>76</v>
      </c>
      <c r="C53" t="s">
        <v>153</v>
      </c>
      <c r="D53" t="s">
        <v>154</v>
      </c>
      <c r="E53" t="s">
        <v>32</v>
      </c>
      <c r="F53" s="1">
        <v>130634</v>
      </c>
      <c r="G53" s="2">
        <v>0.2</v>
      </c>
      <c r="H53" s="3">
        <v>1.7923611111111111</v>
      </c>
      <c r="I53" s="2">
        <v>0.43</v>
      </c>
      <c r="J53" s="2">
        <v>0.14000000000000001</v>
      </c>
      <c r="K53" s="2">
        <v>0</v>
      </c>
      <c r="L53" t="s">
        <v>133</v>
      </c>
      <c r="M53" t="s">
        <v>155</v>
      </c>
    </row>
    <row r="54" spans="1:13" x14ac:dyDescent="0.25">
      <c r="A54">
        <v>53</v>
      </c>
      <c r="B54" s="6"/>
      <c r="C54" t="s">
        <v>156</v>
      </c>
      <c r="D54" t="s">
        <v>157</v>
      </c>
      <c r="E54" t="s">
        <v>112</v>
      </c>
      <c r="F54" s="1">
        <v>336603</v>
      </c>
      <c r="G54" s="2">
        <v>0.19</v>
      </c>
      <c r="H54" s="3">
        <v>3.1673611111111111</v>
      </c>
      <c r="I54" s="2">
        <v>0.46</v>
      </c>
      <c r="J54" s="2">
        <v>0.04</v>
      </c>
      <c r="K54" s="2">
        <v>0</v>
      </c>
      <c r="L54" t="s">
        <v>133</v>
      </c>
      <c r="M54" t="s">
        <v>21</v>
      </c>
    </row>
    <row r="55" spans="1:13" x14ac:dyDescent="0.25">
      <c r="A55">
        <v>54</v>
      </c>
      <c r="B55" s="5">
        <v>47</v>
      </c>
      <c r="C55" t="s">
        <v>158</v>
      </c>
      <c r="D55" t="s">
        <v>159</v>
      </c>
      <c r="E55" t="s">
        <v>160</v>
      </c>
      <c r="F55" s="1">
        <v>312773</v>
      </c>
      <c r="G55" s="2">
        <v>0.17</v>
      </c>
      <c r="H55" s="3">
        <v>9.4173611111111111</v>
      </c>
      <c r="I55" s="2">
        <v>0.33</v>
      </c>
      <c r="J55" s="2">
        <v>0.54</v>
      </c>
      <c r="K55" s="2">
        <v>0</v>
      </c>
      <c r="L55" t="s">
        <v>133</v>
      </c>
      <c r="M55" t="s">
        <v>161</v>
      </c>
    </row>
    <row r="56" spans="1:13" x14ac:dyDescent="0.25">
      <c r="A56">
        <v>55</v>
      </c>
      <c r="B56" s="5">
        <v>63</v>
      </c>
      <c r="C56" t="s">
        <v>162</v>
      </c>
      <c r="D56" t="s">
        <v>163</v>
      </c>
      <c r="E56" t="s">
        <v>46</v>
      </c>
      <c r="F56" s="1">
        <v>14103</v>
      </c>
      <c r="G56" s="2">
        <v>0.09</v>
      </c>
      <c r="H56" s="3">
        <v>5.625694444444445</v>
      </c>
      <c r="I56" s="2">
        <v>0.28999999999999998</v>
      </c>
      <c r="J56" s="2">
        <v>0.87</v>
      </c>
      <c r="K56" s="2">
        <v>0.94</v>
      </c>
      <c r="L56" t="s">
        <v>133</v>
      </c>
      <c r="M56" s="7"/>
    </row>
    <row r="57" spans="1:13" x14ac:dyDescent="0.25">
      <c r="A57">
        <v>56</v>
      </c>
      <c r="B57" s="6"/>
      <c r="C57" t="s">
        <v>164</v>
      </c>
      <c r="D57" t="s">
        <v>165</v>
      </c>
      <c r="E57" t="s">
        <v>87</v>
      </c>
      <c r="F57" s="7"/>
      <c r="G57" s="2">
        <v>0</v>
      </c>
      <c r="H57" s="3">
        <v>2.2923611111111111</v>
      </c>
      <c r="I57" s="2">
        <v>0.43</v>
      </c>
      <c r="J57" s="2">
        <v>1</v>
      </c>
      <c r="K57" s="2">
        <v>1</v>
      </c>
      <c r="L57" t="s">
        <v>133</v>
      </c>
      <c r="M57" s="7"/>
    </row>
    <row r="58" spans="1:13" x14ac:dyDescent="0.25">
      <c r="A58">
        <v>57</v>
      </c>
      <c r="B58" s="5">
        <v>59</v>
      </c>
      <c r="C58" t="s">
        <v>166</v>
      </c>
      <c r="D58" t="s">
        <v>167</v>
      </c>
      <c r="E58" t="s">
        <v>32</v>
      </c>
      <c r="F58" s="1">
        <v>195778</v>
      </c>
      <c r="G58" s="2">
        <v>0.26</v>
      </c>
      <c r="H58" s="3">
        <v>4.2506944444444441</v>
      </c>
      <c r="I58" s="2">
        <v>0.42</v>
      </c>
      <c r="J58" s="2">
        <v>0.16</v>
      </c>
      <c r="K58" s="2">
        <v>0</v>
      </c>
      <c r="L58" t="s">
        <v>133</v>
      </c>
      <c r="M58" t="s">
        <v>168</v>
      </c>
    </row>
    <row r="59" spans="1:13" x14ac:dyDescent="0.25">
      <c r="A59">
        <v>58</v>
      </c>
      <c r="B59" s="5">
        <v>23</v>
      </c>
      <c r="C59" t="s">
        <v>169</v>
      </c>
      <c r="D59" t="s">
        <v>157</v>
      </c>
      <c r="E59" t="s">
        <v>112</v>
      </c>
      <c r="F59" s="1">
        <v>7348</v>
      </c>
      <c r="G59" s="2">
        <v>0.16</v>
      </c>
      <c r="H59" s="3">
        <v>1.4590277777777778</v>
      </c>
      <c r="I59" s="2">
        <v>0.27</v>
      </c>
      <c r="J59" s="2">
        <v>0.67</v>
      </c>
      <c r="K59" s="2">
        <v>0.14000000000000001</v>
      </c>
      <c r="L59" t="s">
        <v>170</v>
      </c>
      <c r="M59" t="s">
        <v>21</v>
      </c>
    </row>
    <row r="60" spans="1:13" x14ac:dyDescent="0.25">
      <c r="A60">
        <v>59</v>
      </c>
      <c r="B60" s="6"/>
      <c r="C60" t="s">
        <v>171</v>
      </c>
      <c r="D60" t="s">
        <v>97</v>
      </c>
      <c r="E60" t="s">
        <v>152</v>
      </c>
      <c r="F60" s="1">
        <v>57863</v>
      </c>
      <c r="G60" s="2">
        <v>0.11</v>
      </c>
      <c r="H60" s="3">
        <v>1.2923611111111111</v>
      </c>
      <c r="I60" s="2">
        <v>0.38</v>
      </c>
      <c r="J60" s="2">
        <v>0.16</v>
      </c>
      <c r="K60" s="2">
        <v>0.63</v>
      </c>
      <c r="L60" t="s">
        <v>170</v>
      </c>
      <c r="M60" t="s">
        <v>21</v>
      </c>
    </row>
    <row r="61" spans="1:13" x14ac:dyDescent="0.25">
      <c r="A61">
        <v>60</v>
      </c>
      <c r="B61" s="5">
        <v>89</v>
      </c>
      <c r="C61" t="s">
        <v>172</v>
      </c>
      <c r="D61" t="s">
        <v>173</v>
      </c>
      <c r="E61" t="s">
        <v>174</v>
      </c>
      <c r="F61" s="1">
        <v>224900</v>
      </c>
      <c r="G61" s="2">
        <v>0.06</v>
      </c>
      <c r="H61" s="7"/>
      <c r="I61" s="2">
        <v>0.17</v>
      </c>
      <c r="J61" s="2">
        <v>0.1</v>
      </c>
      <c r="K61" s="2">
        <v>0.15</v>
      </c>
      <c r="L61" t="s">
        <v>170</v>
      </c>
      <c r="M61" t="s">
        <v>21</v>
      </c>
    </row>
    <row r="62" spans="1:13" x14ac:dyDescent="0.25">
      <c r="A62">
        <v>61</v>
      </c>
      <c r="B62" s="6"/>
      <c r="C62" t="s">
        <v>175</v>
      </c>
      <c r="D62" t="s">
        <v>176</v>
      </c>
      <c r="E62" t="s">
        <v>177</v>
      </c>
      <c r="F62" s="1">
        <v>14318</v>
      </c>
      <c r="G62" s="2">
        <v>0.12</v>
      </c>
      <c r="H62" s="3">
        <v>22.834027777777777</v>
      </c>
      <c r="I62" s="2">
        <v>0.2</v>
      </c>
      <c r="J62" s="2">
        <v>0.23</v>
      </c>
      <c r="K62" s="2">
        <v>0.16</v>
      </c>
      <c r="L62" t="s">
        <v>170</v>
      </c>
      <c r="M62" t="s">
        <v>21</v>
      </c>
    </row>
    <row r="63" spans="1:13" x14ac:dyDescent="0.25">
      <c r="A63">
        <v>62</v>
      </c>
      <c r="B63" s="6"/>
      <c r="C63" t="s">
        <v>178</v>
      </c>
      <c r="D63" t="s">
        <v>77</v>
      </c>
      <c r="E63" t="s">
        <v>152</v>
      </c>
      <c r="F63" s="1">
        <v>37135</v>
      </c>
      <c r="G63" s="2">
        <v>7.0000000000000007E-2</v>
      </c>
      <c r="H63" s="3">
        <v>1.1673611111111111</v>
      </c>
      <c r="I63" s="2">
        <v>0.43</v>
      </c>
      <c r="J63" s="2">
        <v>0.12</v>
      </c>
      <c r="K63" s="2">
        <v>0.6</v>
      </c>
      <c r="L63" t="s">
        <v>170</v>
      </c>
      <c r="M63" t="s">
        <v>21</v>
      </c>
    </row>
    <row r="64" spans="1:13" x14ac:dyDescent="0.25">
      <c r="A64">
        <v>63</v>
      </c>
      <c r="B64" s="5">
        <v>12</v>
      </c>
      <c r="C64" t="s">
        <v>179</v>
      </c>
      <c r="D64" t="s">
        <v>180</v>
      </c>
      <c r="E64" t="s">
        <v>181</v>
      </c>
      <c r="F64" s="1">
        <v>891</v>
      </c>
      <c r="G64" s="2">
        <v>0.1</v>
      </c>
      <c r="H64" s="3">
        <v>8.875694444444445</v>
      </c>
      <c r="I64" s="2">
        <v>0.11</v>
      </c>
      <c r="J64" s="2">
        <v>1</v>
      </c>
      <c r="K64" s="2">
        <v>1</v>
      </c>
      <c r="L64" t="s">
        <v>170</v>
      </c>
      <c r="M64" s="7"/>
    </row>
    <row r="65" spans="1:13" x14ac:dyDescent="0.25">
      <c r="A65">
        <v>64</v>
      </c>
      <c r="B65" s="5">
        <v>48</v>
      </c>
      <c r="C65" t="s">
        <v>182</v>
      </c>
      <c r="D65" t="s">
        <v>183</v>
      </c>
      <c r="E65" t="s">
        <v>60</v>
      </c>
      <c r="F65" s="1">
        <v>86080</v>
      </c>
      <c r="G65" s="2">
        <v>0.22</v>
      </c>
      <c r="H65" s="3">
        <v>15.250694444444443</v>
      </c>
      <c r="I65" s="2">
        <v>0.42</v>
      </c>
      <c r="J65" s="2">
        <v>0.42</v>
      </c>
      <c r="K65" s="2">
        <v>0</v>
      </c>
      <c r="L65" t="s">
        <v>170</v>
      </c>
      <c r="M65" t="s">
        <v>21</v>
      </c>
    </row>
    <row r="66" spans="1:13" x14ac:dyDescent="0.25">
      <c r="A66">
        <v>65</v>
      </c>
      <c r="B66" s="5">
        <v>68</v>
      </c>
      <c r="C66" t="s">
        <v>184</v>
      </c>
      <c r="D66" t="s">
        <v>185</v>
      </c>
      <c r="E66" t="s">
        <v>32</v>
      </c>
      <c r="F66" s="1">
        <v>142713</v>
      </c>
      <c r="G66" s="2">
        <v>0.25</v>
      </c>
      <c r="H66" s="4">
        <v>0.45902777777777781</v>
      </c>
      <c r="I66" s="2">
        <v>0.33</v>
      </c>
      <c r="J66" s="2">
        <v>0.06</v>
      </c>
      <c r="K66" s="2">
        <v>0</v>
      </c>
      <c r="L66" t="s">
        <v>170</v>
      </c>
      <c r="M66" t="s">
        <v>168</v>
      </c>
    </row>
    <row r="67" spans="1:13" x14ac:dyDescent="0.25">
      <c r="A67">
        <v>66</v>
      </c>
      <c r="B67" s="5">
        <v>61</v>
      </c>
      <c r="C67" t="s">
        <v>186</v>
      </c>
      <c r="D67" t="s">
        <v>136</v>
      </c>
      <c r="E67" t="s">
        <v>112</v>
      </c>
      <c r="F67" s="1">
        <v>93914</v>
      </c>
      <c r="G67" s="2">
        <v>0.17</v>
      </c>
      <c r="H67" s="3">
        <v>4.084027777777778</v>
      </c>
      <c r="I67" s="2">
        <v>0.38</v>
      </c>
      <c r="J67" s="2">
        <v>0.27</v>
      </c>
      <c r="K67" s="2">
        <v>0.1</v>
      </c>
      <c r="L67" t="s">
        <v>170</v>
      </c>
      <c r="M67" t="s">
        <v>21</v>
      </c>
    </row>
    <row r="68" spans="1:13" x14ac:dyDescent="0.25">
      <c r="A68">
        <v>67</v>
      </c>
      <c r="B68" s="5">
        <v>39</v>
      </c>
      <c r="C68" t="s">
        <v>187</v>
      </c>
      <c r="D68" t="s">
        <v>188</v>
      </c>
      <c r="E68" t="s">
        <v>128</v>
      </c>
      <c r="F68" s="1">
        <v>259083</v>
      </c>
      <c r="G68" s="2">
        <v>0.15</v>
      </c>
      <c r="H68" s="3">
        <v>32.792361111111113</v>
      </c>
      <c r="I68" s="2">
        <v>0.46</v>
      </c>
      <c r="J68" s="2">
        <v>0.78</v>
      </c>
      <c r="K68" s="2">
        <v>0</v>
      </c>
      <c r="L68" t="s">
        <v>170</v>
      </c>
      <c r="M68" t="s">
        <v>21</v>
      </c>
    </row>
    <row r="69" spans="1:13" x14ac:dyDescent="0.25">
      <c r="A69">
        <v>68</v>
      </c>
      <c r="B69" s="5">
        <v>52</v>
      </c>
      <c r="C69" t="s">
        <v>189</v>
      </c>
      <c r="D69" t="s">
        <v>59</v>
      </c>
      <c r="E69" t="s">
        <v>121</v>
      </c>
      <c r="F69" s="1">
        <v>6803</v>
      </c>
      <c r="G69" s="2">
        <v>0.13</v>
      </c>
      <c r="H69" s="3">
        <v>2.7090277777777776</v>
      </c>
      <c r="I69" s="2">
        <v>0.38</v>
      </c>
      <c r="J69" s="2">
        <v>0.33</v>
      </c>
      <c r="K69" s="2">
        <v>0.1</v>
      </c>
      <c r="L69" t="s">
        <v>170</v>
      </c>
      <c r="M69" t="s">
        <v>21</v>
      </c>
    </row>
    <row r="70" spans="1:13" x14ac:dyDescent="0.25">
      <c r="A70">
        <v>69</v>
      </c>
      <c r="B70" s="6"/>
      <c r="C70" t="s">
        <v>190</v>
      </c>
      <c r="D70" t="s">
        <v>191</v>
      </c>
      <c r="E70" t="s">
        <v>192</v>
      </c>
      <c r="F70" s="1">
        <v>2970</v>
      </c>
      <c r="G70" s="2">
        <v>0.04</v>
      </c>
      <c r="H70" s="7"/>
      <c r="I70" s="2">
        <v>0.4</v>
      </c>
      <c r="J70" s="2">
        <v>0.48</v>
      </c>
      <c r="K70" s="2">
        <v>0.01</v>
      </c>
      <c r="L70" t="s">
        <v>170</v>
      </c>
      <c r="M70" t="s">
        <v>47</v>
      </c>
    </row>
    <row r="71" spans="1:13" x14ac:dyDescent="0.25">
      <c r="A71">
        <v>70</v>
      </c>
      <c r="B71" s="6"/>
      <c r="C71" t="s">
        <v>193</v>
      </c>
      <c r="D71" t="s">
        <v>136</v>
      </c>
      <c r="E71" t="s">
        <v>78</v>
      </c>
      <c r="F71" s="1">
        <v>29790</v>
      </c>
      <c r="G71" s="2">
        <v>0.04</v>
      </c>
      <c r="H71" s="3">
        <v>1.0840277777777778</v>
      </c>
      <c r="I71" s="2">
        <v>0.5</v>
      </c>
      <c r="J71" s="2">
        <v>0.5</v>
      </c>
      <c r="K71" s="2">
        <v>0.08</v>
      </c>
      <c r="L71" t="s">
        <v>170</v>
      </c>
      <c r="M71" t="s">
        <v>21</v>
      </c>
    </row>
    <row r="72" spans="1:13" x14ac:dyDescent="0.25">
      <c r="A72">
        <v>71</v>
      </c>
      <c r="B72" s="5">
        <v>73</v>
      </c>
      <c r="C72" t="s">
        <v>194</v>
      </c>
      <c r="D72" t="s">
        <v>195</v>
      </c>
      <c r="E72" t="s">
        <v>60</v>
      </c>
      <c r="F72" s="1">
        <v>351888</v>
      </c>
      <c r="G72" s="2">
        <v>0.16</v>
      </c>
      <c r="H72" s="7"/>
      <c r="I72" s="2">
        <v>0.33</v>
      </c>
      <c r="J72" s="2">
        <v>0.7</v>
      </c>
      <c r="K72" s="2">
        <v>0.01</v>
      </c>
      <c r="L72" t="s">
        <v>170</v>
      </c>
      <c r="M72" t="s">
        <v>21</v>
      </c>
    </row>
    <row r="73" spans="1:13" x14ac:dyDescent="0.25">
      <c r="A73">
        <v>72</v>
      </c>
      <c r="B73" s="5">
        <v>80</v>
      </c>
      <c r="C73" t="s">
        <v>196</v>
      </c>
      <c r="D73" t="s">
        <v>111</v>
      </c>
      <c r="E73" t="s">
        <v>128</v>
      </c>
      <c r="F73" s="1">
        <v>70161</v>
      </c>
      <c r="G73" s="2">
        <v>0.19</v>
      </c>
      <c r="H73" s="4">
        <v>0.7090277777777777</v>
      </c>
      <c r="I73" s="2">
        <v>0.13</v>
      </c>
      <c r="J73" s="2">
        <v>0.51</v>
      </c>
      <c r="K73" s="2">
        <v>0.34</v>
      </c>
      <c r="L73" t="s">
        <v>170</v>
      </c>
      <c r="M73" t="s">
        <v>21</v>
      </c>
    </row>
    <row r="74" spans="1:13" x14ac:dyDescent="0.25">
      <c r="A74">
        <v>73</v>
      </c>
      <c r="B74" s="5">
        <v>45</v>
      </c>
      <c r="C74" t="s">
        <v>197</v>
      </c>
      <c r="D74" t="s">
        <v>52</v>
      </c>
      <c r="E74" t="s">
        <v>152</v>
      </c>
      <c r="F74" s="1">
        <v>77783</v>
      </c>
      <c r="G74" s="2">
        <v>0.06</v>
      </c>
      <c r="H74" s="3">
        <v>2.2506944444444446</v>
      </c>
      <c r="I74" s="2">
        <v>0.5</v>
      </c>
      <c r="J74" s="2">
        <v>0.26</v>
      </c>
      <c r="K74" s="2">
        <v>0.28000000000000003</v>
      </c>
      <c r="L74" t="s">
        <v>170</v>
      </c>
      <c r="M74" t="s">
        <v>21</v>
      </c>
    </row>
    <row r="75" spans="1:13" x14ac:dyDescent="0.25">
      <c r="A75">
        <v>74</v>
      </c>
      <c r="B75" s="6"/>
      <c r="C75" t="s">
        <v>198</v>
      </c>
      <c r="D75" t="s">
        <v>199</v>
      </c>
      <c r="E75" t="s">
        <v>46</v>
      </c>
      <c r="F75" s="1">
        <v>73903</v>
      </c>
      <c r="G75" s="2">
        <v>0.19</v>
      </c>
      <c r="H75" s="7"/>
      <c r="I75" s="2">
        <v>0.5</v>
      </c>
      <c r="J75" s="2">
        <v>0.94</v>
      </c>
      <c r="K75" s="2">
        <v>0.43</v>
      </c>
      <c r="L75" t="s">
        <v>170</v>
      </c>
      <c r="M75" s="7"/>
    </row>
    <row r="76" spans="1:13" x14ac:dyDescent="0.25">
      <c r="A76">
        <v>75</v>
      </c>
      <c r="B76" s="6"/>
      <c r="C76" t="s">
        <v>200</v>
      </c>
      <c r="D76" t="s">
        <v>201</v>
      </c>
      <c r="E76" t="s">
        <v>152</v>
      </c>
      <c r="F76" s="1">
        <v>250602</v>
      </c>
      <c r="G76" s="2">
        <v>0.02</v>
      </c>
      <c r="H76" s="3">
        <v>3.7506944444444446</v>
      </c>
      <c r="I76" s="2">
        <v>0.33</v>
      </c>
      <c r="J76" s="2">
        <v>0.12</v>
      </c>
      <c r="K76" s="2">
        <v>0.53</v>
      </c>
      <c r="L76" t="s">
        <v>170</v>
      </c>
      <c r="M76" s="7"/>
    </row>
    <row r="77" spans="1:13" x14ac:dyDescent="0.25">
      <c r="A77">
        <v>76</v>
      </c>
      <c r="B77" s="5">
        <v>38</v>
      </c>
      <c r="C77" t="s">
        <v>202</v>
      </c>
      <c r="D77" t="s">
        <v>116</v>
      </c>
      <c r="E77" t="s">
        <v>203</v>
      </c>
      <c r="F77" s="1">
        <v>53579</v>
      </c>
      <c r="G77" s="2">
        <v>0.23</v>
      </c>
      <c r="H77" s="3">
        <v>4.084027777777778</v>
      </c>
      <c r="I77" s="2">
        <v>0.38</v>
      </c>
      <c r="J77" s="2">
        <v>0.02</v>
      </c>
      <c r="K77" s="2">
        <v>0.04</v>
      </c>
      <c r="L77" t="s">
        <v>170</v>
      </c>
      <c r="M77" t="s">
        <v>21</v>
      </c>
    </row>
    <row r="78" spans="1:13" x14ac:dyDescent="0.25">
      <c r="A78">
        <v>77</v>
      </c>
      <c r="B78" s="5">
        <v>36</v>
      </c>
      <c r="C78" t="s">
        <v>204</v>
      </c>
      <c r="D78" t="s">
        <v>205</v>
      </c>
      <c r="E78" t="s">
        <v>128</v>
      </c>
      <c r="F78" s="1">
        <v>56147</v>
      </c>
      <c r="G78" s="2">
        <v>0.06</v>
      </c>
      <c r="H78" s="7"/>
      <c r="I78" s="2">
        <v>0.25</v>
      </c>
      <c r="J78" s="2">
        <v>0.75</v>
      </c>
      <c r="K78" s="2">
        <v>0.11</v>
      </c>
      <c r="L78" t="s">
        <v>206</v>
      </c>
      <c r="M78" t="s">
        <v>21</v>
      </c>
    </row>
    <row r="79" spans="1:13" x14ac:dyDescent="0.25">
      <c r="A79">
        <v>78</v>
      </c>
      <c r="B79" s="5">
        <v>43</v>
      </c>
      <c r="C79" t="s">
        <v>207</v>
      </c>
      <c r="D79" t="s">
        <v>208</v>
      </c>
      <c r="E79" t="s">
        <v>209</v>
      </c>
      <c r="F79" s="1">
        <v>71029</v>
      </c>
      <c r="G79" s="2">
        <v>0.19</v>
      </c>
      <c r="H79" s="3">
        <v>1.7923611111111111</v>
      </c>
      <c r="I79" s="2">
        <v>0.33</v>
      </c>
      <c r="J79" s="2">
        <v>0.09</v>
      </c>
      <c r="K79" s="2">
        <v>0</v>
      </c>
      <c r="L79" t="s">
        <v>206</v>
      </c>
      <c r="M79" t="s">
        <v>21</v>
      </c>
    </row>
    <row r="80" spans="1:13" x14ac:dyDescent="0.25">
      <c r="A80">
        <v>79</v>
      </c>
      <c r="B80" s="5">
        <v>77</v>
      </c>
      <c r="C80" t="s">
        <v>210</v>
      </c>
      <c r="D80" t="s">
        <v>104</v>
      </c>
      <c r="E80" t="s">
        <v>117</v>
      </c>
      <c r="F80" s="1">
        <v>549255</v>
      </c>
      <c r="G80" s="2">
        <v>0.15</v>
      </c>
      <c r="H80" s="3">
        <v>5.1673611111111111</v>
      </c>
      <c r="I80" s="2">
        <v>0.5</v>
      </c>
      <c r="J80" s="2">
        <v>0.06</v>
      </c>
      <c r="K80" s="2">
        <v>0</v>
      </c>
      <c r="L80" t="s">
        <v>206</v>
      </c>
      <c r="M80" s="7"/>
    </row>
    <row r="81" spans="1:13" x14ac:dyDescent="0.25">
      <c r="A81">
        <v>80</v>
      </c>
      <c r="B81" s="5">
        <v>34</v>
      </c>
      <c r="C81" t="s">
        <v>211</v>
      </c>
      <c r="D81" t="s">
        <v>77</v>
      </c>
      <c r="E81" t="s">
        <v>152</v>
      </c>
      <c r="F81" s="1">
        <v>50109</v>
      </c>
      <c r="G81" s="2">
        <v>0.13</v>
      </c>
      <c r="H81" s="4">
        <v>0.7090277777777777</v>
      </c>
      <c r="I81" s="2">
        <v>0.25</v>
      </c>
      <c r="J81" s="2">
        <v>0.08</v>
      </c>
      <c r="K81" s="2">
        <v>0.56999999999999995</v>
      </c>
      <c r="L81" t="s">
        <v>206</v>
      </c>
      <c r="M81" t="s">
        <v>21</v>
      </c>
    </row>
    <row r="82" spans="1:13" x14ac:dyDescent="0.25">
      <c r="A82">
        <v>81</v>
      </c>
      <c r="B82" s="5">
        <v>67</v>
      </c>
      <c r="C82" t="s">
        <v>212</v>
      </c>
      <c r="D82" t="s">
        <v>213</v>
      </c>
      <c r="E82" t="s">
        <v>128</v>
      </c>
      <c r="F82" s="1">
        <v>93302</v>
      </c>
      <c r="G82" s="2">
        <v>7.0000000000000007E-2</v>
      </c>
      <c r="H82" s="7"/>
      <c r="I82" s="2">
        <v>0.46</v>
      </c>
      <c r="J82" s="2">
        <v>0.33</v>
      </c>
      <c r="K82" s="2">
        <v>0.39</v>
      </c>
      <c r="L82" t="s">
        <v>206</v>
      </c>
      <c r="M82" t="s">
        <v>21</v>
      </c>
    </row>
    <row r="83" spans="1:13" x14ac:dyDescent="0.25">
      <c r="A83">
        <v>82</v>
      </c>
      <c r="B83" s="5">
        <v>72</v>
      </c>
      <c r="C83" t="s">
        <v>214</v>
      </c>
      <c r="D83" t="s">
        <v>59</v>
      </c>
      <c r="E83" t="s">
        <v>32</v>
      </c>
      <c r="F83" s="1">
        <v>1052698</v>
      </c>
      <c r="G83" s="2">
        <v>0.26</v>
      </c>
      <c r="H83" s="4">
        <v>0.7090277777777777</v>
      </c>
      <c r="I83" s="2">
        <v>0.56999999999999995</v>
      </c>
      <c r="J83" s="2">
        <v>7.0000000000000007E-2</v>
      </c>
      <c r="K83" s="2">
        <v>0</v>
      </c>
      <c r="L83" t="s">
        <v>206</v>
      </c>
      <c r="M83" t="s">
        <v>168</v>
      </c>
    </row>
    <row r="84" spans="1:13" x14ac:dyDescent="0.25">
      <c r="A84">
        <v>83</v>
      </c>
      <c r="B84" s="5">
        <v>94</v>
      </c>
      <c r="C84" t="s">
        <v>215</v>
      </c>
      <c r="D84" t="s">
        <v>97</v>
      </c>
      <c r="E84" t="s">
        <v>32</v>
      </c>
      <c r="F84" s="1">
        <v>3242058</v>
      </c>
      <c r="G84" s="2">
        <v>0.1</v>
      </c>
      <c r="H84" s="3">
        <v>1.4590277777777778</v>
      </c>
      <c r="I84" s="2">
        <v>0.5</v>
      </c>
      <c r="J84" s="2">
        <v>0.04</v>
      </c>
      <c r="K84" s="2">
        <v>0</v>
      </c>
      <c r="L84" t="s">
        <v>206</v>
      </c>
      <c r="M84" t="s">
        <v>216</v>
      </c>
    </row>
    <row r="85" spans="1:13" x14ac:dyDescent="0.25">
      <c r="A85">
        <v>84</v>
      </c>
      <c r="B85" s="5">
        <v>70</v>
      </c>
      <c r="C85" t="s">
        <v>217</v>
      </c>
      <c r="D85" t="s">
        <v>127</v>
      </c>
      <c r="E85" t="s">
        <v>40</v>
      </c>
      <c r="F85" s="1">
        <v>33788</v>
      </c>
      <c r="G85" s="2">
        <v>0.17</v>
      </c>
      <c r="H85" s="4">
        <v>0.7090277777777777</v>
      </c>
      <c r="I85" s="2">
        <v>0.45</v>
      </c>
      <c r="J85" s="2">
        <v>0.23</v>
      </c>
      <c r="K85" s="2">
        <v>0.03</v>
      </c>
      <c r="L85" t="s">
        <v>206</v>
      </c>
      <c r="M85" t="s">
        <v>21</v>
      </c>
    </row>
    <row r="86" spans="1:13" x14ac:dyDescent="0.25">
      <c r="A86">
        <v>85</v>
      </c>
      <c r="B86" s="5">
        <v>37</v>
      </c>
      <c r="C86" t="s">
        <v>218</v>
      </c>
      <c r="D86" t="s">
        <v>90</v>
      </c>
      <c r="E86" t="s">
        <v>152</v>
      </c>
      <c r="F86" s="1">
        <v>64565</v>
      </c>
      <c r="G86" s="2">
        <v>0.08</v>
      </c>
      <c r="H86" s="3">
        <v>14.084027777777777</v>
      </c>
      <c r="I86" s="2">
        <v>0.43</v>
      </c>
      <c r="J86" s="2">
        <v>0.26</v>
      </c>
      <c r="K86" s="2">
        <v>0.23</v>
      </c>
      <c r="L86" t="s">
        <v>206</v>
      </c>
      <c r="M86" t="s">
        <v>21</v>
      </c>
    </row>
    <row r="87" spans="1:13" x14ac:dyDescent="0.25">
      <c r="A87">
        <v>86</v>
      </c>
      <c r="B87" s="5">
        <v>81</v>
      </c>
      <c r="C87" t="s">
        <v>219</v>
      </c>
      <c r="D87" t="s">
        <v>220</v>
      </c>
      <c r="E87" t="s">
        <v>203</v>
      </c>
      <c r="F87" s="1">
        <v>58936</v>
      </c>
      <c r="G87" s="2">
        <v>0.19</v>
      </c>
      <c r="H87" s="3">
        <v>5.500694444444445</v>
      </c>
      <c r="I87" s="2">
        <v>0.44</v>
      </c>
      <c r="J87" s="2">
        <v>0.21</v>
      </c>
      <c r="K87" s="2">
        <v>0.01</v>
      </c>
      <c r="L87" t="s">
        <v>206</v>
      </c>
      <c r="M87" t="s">
        <v>221</v>
      </c>
    </row>
    <row r="88" spans="1:13" x14ac:dyDescent="0.25">
      <c r="A88">
        <v>87</v>
      </c>
      <c r="B88" s="6"/>
      <c r="C88" t="s">
        <v>222</v>
      </c>
      <c r="D88" t="s">
        <v>49</v>
      </c>
      <c r="E88" t="s">
        <v>223</v>
      </c>
      <c r="F88" s="1">
        <v>1614690</v>
      </c>
      <c r="G88" s="2">
        <v>0.03</v>
      </c>
      <c r="H88" s="3">
        <v>7.084027777777778</v>
      </c>
      <c r="I88" s="2">
        <v>0.27</v>
      </c>
      <c r="J88" s="2">
        <v>0.02</v>
      </c>
      <c r="K88" s="2">
        <v>0.04</v>
      </c>
      <c r="L88" t="s">
        <v>206</v>
      </c>
      <c r="M88" t="s">
        <v>21</v>
      </c>
    </row>
    <row r="89" spans="1:13" x14ac:dyDescent="0.25">
      <c r="A89">
        <v>88</v>
      </c>
      <c r="B89" s="6"/>
      <c r="C89" t="s">
        <v>224</v>
      </c>
      <c r="D89" t="s">
        <v>176</v>
      </c>
      <c r="E89" t="s">
        <v>32</v>
      </c>
      <c r="F89" s="1">
        <v>225131</v>
      </c>
      <c r="G89" s="2">
        <v>0.1</v>
      </c>
      <c r="H89" s="3">
        <v>2.5006944444444446</v>
      </c>
      <c r="I89" s="2">
        <v>0.42</v>
      </c>
      <c r="J89" s="2">
        <v>0.1</v>
      </c>
      <c r="K89" s="2">
        <v>0</v>
      </c>
      <c r="L89" t="s">
        <v>206</v>
      </c>
      <c r="M89" t="s">
        <v>155</v>
      </c>
    </row>
    <row r="90" spans="1:13" x14ac:dyDescent="0.25">
      <c r="A90">
        <v>89</v>
      </c>
      <c r="B90" s="5">
        <v>85</v>
      </c>
      <c r="C90" t="s">
        <v>225</v>
      </c>
      <c r="D90" t="s">
        <v>226</v>
      </c>
      <c r="E90" t="s">
        <v>32</v>
      </c>
      <c r="F90" s="1">
        <v>423236</v>
      </c>
      <c r="G90" s="2">
        <v>0.16</v>
      </c>
      <c r="H90" s="3">
        <v>1.5006944444444443</v>
      </c>
      <c r="I90" s="2">
        <v>0.45</v>
      </c>
      <c r="J90" s="2">
        <v>0.05</v>
      </c>
      <c r="K90" s="2">
        <v>0</v>
      </c>
      <c r="L90" t="s">
        <v>206</v>
      </c>
      <c r="M90" t="s">
        <v>227</v>
      </c>
    </row>
    <row r="91" spans="1:13" x14ac:dyDescent="0.25">
      <c r="A91">
        <v>90</v>
      </c>
      <c r="B91" s="5">
        <v>71</v>
      </c>
      <c r="C91" t="s">
        <v>228</v>
      </c>
      <c r="D91" t="s">
        <v>136</v>
      </c>
      <c r="E91" t="s">
        <v>32</v>
      </c>
      <c r="F91" s="1">
        <v>320421</v>
      </c>
      <c r="G91" s="2">
        <v>0.13</v>
      </c>
      <c r="H91" s="3">
        <v>2.2923611111111111</v>
      </c>
      <c r="I91" s="2">
        <v>0.53</v>
      </c>
      <c r="J91" s="2">
        <v>0.08</v>
      </c>
      <c r="K91" s="2">
        <v>0</v>
      </c>
      <c r="L91" t="s">
        <v>206</v>
      </c>
      <c r="M91" t="s">
        <v>229</v>
      </c>
    </row>
    <row r="92" spans="1:13" x14ac:dyDescent="0.25">
      <c r="A92">
        <v>91</v>
      </c>
      <c r="B92" s="6"/>
      <c r="C92" t="s">
        <v>230</v>
      </c>
      <c r="D92" t="s">
        <v>231</v>
      </c>
      <c r="E92" t="s">
        <v>117</v>
      </c>
      <c r="F92" s="1">
        <v>1273258</v>
      </c>
      <c r="G92" s="2">
        <v>0.25</v>
      </c>
      <c r="H92" s="3">
        <v>3.0006944444444446</v>
      </c>
      <c r="I92" s="2">
        <v>0.46</v>
      </c>
      <c r="J92" s="2">
        <v>0.03</v>
      </c>
      <c r="K92" s="2">
        <v>0</v>
      </c>
      <c r="L92" t="s">
        <v>206</v>
      </c>
      <c r="M92" t="s">
        <v>118</v>
      </c>
    </row>
    <row r="93" spans="1:13" x14ac:dyDescent="0.25">
      <c r="A93">
        <v>92</v>
      </c>
      <c r="B93" s="5">
        <v>78</v>
      </c>
      <c r="C93" t="s">
        <v>232</v>
      </c>
      <c r="D93" t="s">
        <v>90</v>
      </c>
      <c r="E93" t="s">
        <v>233</v>
      </c>
      <c r="F93" s="1">
        <v>4846</v>
      </c>
      <c r="G93" s="2">
        <v>0.13</v>
      </c>
      <c r="H93" s="3">
        <v>3.2923611111111111</v>
      </c>
      <c r="I93" s="2">
        <v>0.28999999999999998</v>
      </c>
      <c r="J93" s="2">
        <v>0.19</v>
      </c>
      <c r="K93" s="2">
        <v>0.28000000000000003</v>
      </c>
      <c r="L93" t="s">
        <v>206</v>
      </c>
      <c r="M93" s="7"/>
    </row>
    <row r="94" spans="1:13" x14ac:dyDescent="0.25">
      <c r="A94">
        <v>93</v>
      </c>
      <c r="B94" s="5">
        <v>27</v>
      </c>
      <c r="C94" t="s">
        <v>234</v>
      </c>
      <c r="D94" t="s">
        <v>125</v>
      </c>
      <c r="E94" t="s">
        <v>40</v>
      </c>
      <c r="F94" s="1">
        <v>9681</v>
      </c>
      <c r="G94" s="2">
        <v>0.14000000000000001</v>
      </c>
      <c r="H94" s="3">
        <v>2.9173611111111111</v>
      </c>
      <c r="I94" s="2">
        <v>0.18</v>
      </c>
      <c r="J94" s="2">
        <v>0.46</v>
      </c>
      <c r="K94" s="2">
        <v>0.04</v>
      </c>
      <c r="L94" t="s">
        <v>206</v>
      </c>
      <c r="M94" s="7"/>
    </row>
    <row r="95" spans="1:13" x14ac:dyDescent="0.25">
      <c r="A95">
        <v>94</v>
      </c>
      <c r="B95" s="6"/>
      <c r="C95" t="s">
        <v>235</v>
      </c>
      <c r="D95" t="s">
        <v>132</v>
      </c>
      <c r="E95" t="s">
        <v>32</v>
      </c>
      <c r="F95" s="1">
        <v>100123</v>
      </c>
      <c r="G95" s="2">
        <v>0.13</v>
      </c>
      <c r="H95" s="4">
        <v>0.1673611111111111</v>
      </c>
      <c r="I95" s="2">
        <v>0.15</v>
      </c>
      <c r="J95" s="2">
        <v>0.17</v>
      </c>
      <c r="K95" s="2">
        <v>0</v>
      </c>
      <c r="L95" t="s">
        <v>206</v>
      </c>
      <c r="M95" s="7"/>
    </row>
    <row r="96" spans="1:13" x14ac:dyDescent="0.25">
      <c r="A96">
        <v>95</v>
      </c>
      <c r="B96" s="5">
        <v>97</v>
      </c>
      <c r="C96" t="s">
        <v>236</v>
      </c>
      <c r="D96" t="s">
        <v>237</v>
      </c>
      <c r="E96" t="s">
        <v>112</v>
      </c>
      <c r="F96" s="1">
        <v>100380</v>
      </c>
      <c r="G96" s="2">
        <v>0.15</v>
      </c>
      <c r="H96" s="3">
        <v>4.6256944444444441</v>
      </c>
      <c r="I96" s="2">
        <v>0.38</v>
      </c>
      <c r="J96" s="2">
        <v>0.13</v>
      </c>
      <c r="K96">
        <v>0</v>
      </c>
      <c r="M96" s="7"/>
    </row>
    <row r="97" spans="1:13" x14ac:dyDescent="0.25">
      <c r="A97">
        <v>96</v>
      </c>
      <c r="B97" s="5">
        <v>92</v>
      </c>
      <c r="C97" t="s">
        <v>238</v>
      </c>
      <c r="D97" t="s">
        <v>239</v>
      </c>
      <c r="E97" t="s">
        <v>91</v>
      </c>
      <c r="F97" s="1">
        <v>4947231</v>
      </c>
      <c r="G97" s="2">
        <v>0.17</v>
      </c>
      <c r="H97" s="3">
        <v>2.0423611111111111</v>
      </c>
      <c r="I97" s="2">
        <v>0.33</v>
      </c>
      <c r="J97" s="2">
        <v>0.03</v>
      </c>
      <c r="K97" s="2">
        <v>0</v>
      </c>
      <c r="L97" t="s">
        <v>240</v>
      </c>
      <c r="M97" t="s">
        <v>241</v>
      </c>
    </row>
    <row r="98" spans="1:13" x14ac:dyDescent="0.25">
      <c r="A98">
        <v>97</v>
      </c>
      <c r="B98" s="6"/>
      <c r="C98" t="s">
        <v>242</v>
      </c>
      <c r="D98" t="s">
        <v>243</v>
      </c>
      <c r="E98" t="s">
        <v>209</v>
      </c>
      <c r="F98" s="1">
        <v>75374</v>
      </c>
      <c r="G98" s="2">
        <v>0.18</v>
      </c>
      <c r="H98" s="4">
        <v>0.75069444444444444</v>
      </c>
      <c r="I98" s="2">
        <v>0.44</v>
      </c>
      <c r="J98" s="2">
        <v>0.06</v>
      </c>
      <c r="K98" s="2">
        <v>0</v>
      </c>
      <c r="L98" t="s">
        <v>240</v>
      </c>
      <c r="M98" t="s">
        <v>47</v>
      </c>
    </row>
    <row r="99" spans="1:13" x14ac:dyDescent="0.25">
      <c r="A99">
        <v>98</v>
      </c>
      <c r="B99" s="6"/>
      <c r="C99" t="s">
        <v>244</v>
      </c>
      <c r="D99" t="s">
        <v>104</v>
      </c>
      <c r="E99" t="s">
        <v>117</v>
      </c>
      <c r="F99" s="1">
        <v>206669</v>
      </c>
      <c r="G99" s="2">
        <v>0.11</v>
      </c>
      <c r="H99" s="3">
        <v>6.459027777777778</v>
      </c>
      <c r="I99" s="2">
        <v>0.57999999999999996</v>
      </c>
      <c r="J99" s="2">
        <v>0.06</v>
      </c>
      <c r="K99" s="2">
        <v>0</v>
      </c>
      <c r="L99" t="s">
        <v>240</v>
      </c>
      <c r="M99" t="s">
        <v>21</v>
      </c>
    </row>
    <row r="100" spans="1:13" x14ac:dyDescent="0.25">
      <c r="A100">
        <v>99</v>
      </c>
      <c r="B100" s="5">
        <v>57</v>
      </c>
      <c r="C100" t="s">
        <v>245</v>
      </c>
      <c r="D100" t="s">
        <v>125</v>
      </c>
      <c r="E100" t="s">
        <v>78</v>
      </c>
      <c r="F100" s="1">
        <v>10127</v>
      </c>
      <c r="G100" s="2">
        <v>0.2</v>
      </c>
      <c r="H100" s="3">
        <v>2.0840277777777776</v>
      </c>
      <c r="I100" s="2">
        <v>0.08</v>
      </c>
      <c r="J100" s="2">
        <v>0.5</v>
      </c>
      <c r="K100" s="2">
        <v>0.12</v>
      </c>
      <c r="L100" t="s">
        <v>240</v>
      </c>
      <c r="M100" t="s">
        <v>21</v>
      </c>
    </row>
    <row r="101" spans="1:13" x14ac:dyDescent="0.25">
      <c r="A101">
        <v>100</v>
      </c>
      <c r="B101" s="6"/>
      <c r="C101" t="s">
        <v>246</v>
      </c>
      <c r="D101" t="s">
        <v>247</v>
      </c>
      <c r="E101" t="s">
        <v>248</v>
      </c>
      <c r="F101" s="1">
        <v>154501</v>
      </c>
      <c r="G101" s="2">
        <v>0.2</v>
      </c>
      <c r="H101" s="4">
        <v>0.91736111111111107</v>
      </c>
      <c r="I101" s="2">
        <v>0.08</v>
      </c>
      <c r="J101" s="2">
        <v>0.37</v>
      </c>
      <c r="K101" s="2">
        <v>0</v>
      </c>
      <c r="L101" t="s">
        <v>240</v>
      </c>
      <c r="M101" t="s">
        <v>47</v>
      </c>
    </row>
    <row r="102" spans="1:13" s="11" customFormat="1" x14ac:dyDescent="0.25">
      <c r="A102" s="11" t="s">
        <v>258</v>
      </c>
      <c r="B102" s="13"/>
      <c r="C102" s="11">
        <f>COUNTA(C2:C101)</f>
        <v>100</v>
      </c>
      <c r="D102" s="11">
        <f>COUNTA(D2:D101)</f>
        <v>100</v>
      </c>
      <c r="E102" s="11">
        <f>COUNTA(E2:E101)</f>
        <v>100</v>
      </c>
      <c r="F102" s="14">
        <f>SUBTOTAL(109,Table1[Revenue])</f>
        <v>59449548</v>
      </c>
      <c r="G102" s="15">
        <f>SUBTOTAL(109,Table1[Profit %])</f>
        <v>13.28</v>
      </c>
      <c r="H102" s="16">
        <f>SUBTOTAL(109,Table1[CEO Pay Ratio])</f>
        <v>290.68194444444447</v>
      </c>
      <c r="I102" s="17">
        <f>SUBTOTAL(103,Table1[Women on Board %])</f>
        <v>100</v>
      </c>
      <c r="J102" s="11">
        <f>SUBTOTAL(103,Table1[Women in Leadership %])</f>
        <v>100</v>
      </c>
      <c r="K102" s="11">
        <f>SUBTOTAL(103,Table1[Women in Workforce %])</f>
        <v>100</v>
      </c>
      <c r="L102" s="11">
        <f>SUBTOTAL(103,Table1[Climate Grade])</f>
        <v>99</v>
      </c>
      <c r="M102" s="11">
        <f>SUBTOTAL(103,Table1[Sustainability Initiatives])</f>
        <v>73</v>
      </c>
    </row>
    <row r="103" spans="1:13" x14ac:dyDescent="0.25">
      <c r="B103" s="5" t="e">
        <f>LARGE(Rank,{1,2,3,4,5})</f>
        <v>#NAME?</v>
      </c>
    </row>
  </sheetData>
  <sortState ref="A2:M101">
    <sortCondition ref="A1"/>
  </sortState>
  <conditionalFormatting sqref="F1:F101 F103:F1048576">
    <cfRule type="top10" dxfId="35" priority="18" rank="10"/>
    <cfRule type="top10" dxfId="34" priority="19" rank="10"/>
    <cfRule type="cellIs" dxfId="33" priority="20" operator="greaterThan">
      <formula>50000</formula>
    </cfRule>
  </conditionalFormatting>
  <conditionalFormatting sqref="G1:G101 G103:G1048576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{C9E8F0DB-DB3E-4F8C-B84B-D372B9E24ABD}</x14:id>
        </ext>
      </extLst>
    </cfRule>
    <cfRule type="top10" dxfId="32" priority="13" percent="1" rank="10"/>
    <cfRule type="top10" dxfId="31" priority="15" percent="1" rank="10"/>
    <cfRule type="cellIs" dxfId="30" priority="17" operator="greaterThan">
      <formula>0.15</formula>
    </cfRule>
  </conditionalFormatting>
  <conditionalFormatting sqref="H1:H101 H103:H1048576">
    <cfRule type="top10" dxfId="29" priority="10" rank="10"/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{41E3F237-B2CE-44DE-A950-189DABE184A2}</x14:id>
        </ext>
      </extLst>
    </cfRule>
  </conditionalFormatting>
  <conditionalFormatting sqref="I1:I101 I103:I1048576">
    <cfRule type="top10" dxfId="28" priority="8" percent="1" rank="10"/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{C2E4E9C8-3A72-4297-A413-22C18DBF5F59}</x14:id>
        </ext>
      </extLst>
    </cfRule>
  </conditionalFormatting>
  <conditionalFormatting sqref="J1:J101 J103:J1048576">
    <cfRule type="cellIs" dxfId="27" priority="6" operator="greaterThan">
      <formula>0.51</formula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{E2EA6E30-1ECA-4F03-A42B-939F272679E6}</x14:id>
        </ext>
      </extLst>
    </cfRule>
  </conditionalFormatting>
  <conditionalFormatting sqref="K1:K101 K103:K1048576">
    <cfRule type="cellIs" dxfId="26" priority="2" operator="greaterThan">
      <formula>0.5</formula>
    </cfRule>
    <cfRule type="cellIs" dxfId="25" priority="4" operator="greaterThan">
      <formula>0.5</formula>
    </cfRule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{2FE22E53-3A0D-431A-B36A-FFCFFB1F6D37}</x14:id>
        </ext>
      </extLst>
    </cfRule>
  </conditionalFormatting>
  <conditionalFormatting sqref="K11">
    <cfRule type="cellIs" dxfId="24" priority="3" operator="greaterThan">
      <formula>1</formula>
    </cfRule>
  </conditionalFormatting>
  <conditionalFormatting sqref="L1:L101 L103:L104857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E8F0DB-DB3E-4F8C-B84B-D372B9E24AB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G1:G101 G103:G1048576</xm:sqref>
        </x14:conditionalFormatting>
        <x14:conditionalFormatting xmlns:xm="http://schemas.microsoft.com/office/excel/2006/main">
          <x14:cfRule type="dataBar" id="{41E3F237-B2CE-44DE-A950-189DABE184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H1:H101 H103:H1048576</xm:sqref>
        </x14:conditionalFormatting>
        <x14:conditionalFormatting xmlns:xm="http://schemas.microsoft.com/office/excel/2006/main">
          <x14:cfRule type="dataBar" id="{C2E4E9C8-3A72-4297-A413-22C18DBF5F5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I1:I101 I103:I1048576</xm:sqref>
        </x14:conditionalFormatting>
        <x14:conditionalFormatting xmlns:xm="http://schemas.microsoft.com/office/excel/2006/main">
          <x14:cfRule type="dataBar" id="{E2EA6E30-1ECA-4F03-A42B-939F272679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J1:J101 J103:J1048576</xm:sqref>
        </x14:conditionalFormatting>
        <x14:conditionalFormatting xmlns:xm="http://schemas.microsoft.com/office/excel/2006/main">
          <x14:cfRule type="dataBar" id="{2FE22E53-3A0D-431A-B36A-FFCFFB1F6D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K1:K101 K103:K1048576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</sheetPr>
  <dimension ref="B2:L45"/>
  <sheetViews>
    <sheetView showGridLines="0" topLeftCell="G26" workbookViewId="0">
      <selection activeCell="S45" sqref="S45"/>
    </sheetView>
  </sheetViews>
  <sheetFormatPr defaultRowHeight="15" x14ac:dyDescent="0.25"/>
  <cols>
    <col min="2" max="2" width="23.42578125" bestFit="1" customWidth="1"/>
    <col min="3" max="3" width="14.28515625" bestFit="1" customWidth="1"/>
    <col min="4" max="4" width="21.42578125" bestFit="1" customWidth="1"/>
    <col min="5" max="5" width="14.140625" customWidth="1"/>
    <col min="6" max="7" width="31.5703125" bestFit="1" customWidth="1"/>
    <col min="8" max="8" width="26.7109375" bestFit="1" customWidth="1"/>
    <col min="9" max="9" width="16.140625" bestFit="1" customWidth="1"/>
    <col min="10" max="10" width="11" customWidth="1"/>
  </cols>
  <sheetData>
    <row r="2" spans="2:12" ht="18.75" x14ac:dyDescent="0.3">
      <c r="B2" s="34" t="s">
        <v>275</v>
      </c>
    </row>
    <row r="3" spans="2:12" ht="21" x14ac:dyDescent="0.35">
      <c r="C3" s="19" t="s">
        <v>257</v>
      </c>
      <c r="D3" s="19" t="s">
        <v>258</v>
      </c>
      <c r="E3" s="19" t="s">
        <v>259</v>
      </c>
      <c r="F3" s="19" t="s">
        <v>260</v>
      </c>
      <c r="G3" s="25" t="s">
        <v>261</v>
      </c>
      <c r="H3" s="26" t="s">
        <v>262</v>
      </c>
      <c r="J3" s="26" t="s">
        <v>262</v>
      </c>
      <c r="L3" s="26" t="s">
        <v>262</v>
      </c>
    </row>
    <row r="4" spans="2:12" ht="15.75" x14ac:dyDescent="0.25">
      <c r="C4" s="20" t="s">
        <v>251</v>
      </c>
      <c r="D4" s="35">
        <f>SUBTOTAL(9,[1]!Table1[Revenue])</f>
        <v>59449548</v>
      </c>
      <c r="E4">
        <f>SUBTOTAL(4,[1]!Table1[Revenue])</f>
        <v>33251733</v>
      </c>
      <c r="F4" s="18">
        <f>SUBTOTAL(5,[1]!Table1[Revenue])</f>
        <v>891</v>
      </c>
      <c r="G4" s="18">
        <f>MEDIAN([1]!Table1[Revenue])</f>
        <v>83528</v>
      </c>
      <c r="H4" s="18">
        <f>SUBTOTAL(1,[1]!Table1[Revenue])</f>
        <v>619266.125</v>
      </c>
    </row>
    <row r="5" spans="2:12" ht="15.75" x14ac:dyDescent="0.25">
      <c r="C5" s="21" t="s">
        <v>252</v>
      </c>
      <c r="D5" s="30">
        <f>SUBTOTAL(9,[1]!Table1[Profit %])</f>
        <v>13.28</v>
      </c>
      <c r="E5">
        <f>SUBTOTAL(4,[1]!Table1[Profit %])</f>
        <v>0.73</v>
      </c>
      <c r="F5" s="18">
        <f>SUBTOTAL(5,[1]!Table1[Profit %])</f>
        <v>0</v>
      </c>
      <c r="G5" s="18">
        <f>MEDIAN([1]!Table1[Profit %])</f>
        <v>0.13</v>
      </c>
      <c r="H5" s="18">
        <f>SUBTOTAL(1,[1]!Table1[Profit %])</f>
        <v>0.1328</v>
      </c>
    </row>
    <row r="6" spans="2:12" ht="15.75" x14ac:dyDescent="0.25">
      <c r="C6" s="20" t="s">
        <v>253</v>
      </c>
      <c r="D6" s="30">
        <f>SUBTOTAL(9,[1]!Table1[CEO Pay Ratio])</f>
        <v>290.68194444444447</v>
      </c>
      <c r="E6">
        <f>SUBTOTAL(4,[1]!Table1[CEO Pay Ratio])</f>
        <v>32.792361111111113</v>
      </c>
      <c r="F6" s="18">
        <f>SUBTOTAL(5,[1]!Table1[CEO Pay Ratio])</f>
        <v>0.1673611111111111</v>
      </c>
      <c r="G6" s="18">
        <f>MEDIAN([1]!Table1[CEO Pay Ratio])</f>
        <v>2.2923611111111111</v>
      </c>
      <c r="H6" s="18">
        <f>SUBTOTAL(1,[1]!Table1[CEO Pay Ratio])</f>
        <v>3.5449017615176155</v>
      </c>
    </row>
    <row r="7" spans="2:12" ht="15.75" x14ac:dyDescent="0.25">
      <c r="C7" s="21" t="s">
        <v>250</v>
      </c>
      <c r="D7" s="30">
        <f>SUBTOTAL(9,[1]!Table1[Women on Board %])</f>
        <v>34.349999999999987</v>
      </c>
      <c r="E7">
        <f>SUBTOTAL(4,[1]!Table1[Women on Board %])</f>
        <v>0.57999999999999996</v>
      </c>
      <c r="F7" s="18">
        <f>SUBTOTAL(5,[1]!Table1[Women on Board %])</f>
        <v>0</v>
      </c>
      <c r="G7" s="18">
        <f>MEDIAN([1]!Table1[Women on Board %])</f>
        <v>0.38</v>
      </c>
      <c r="H7" s="18">
        <f>SUBTOTAL(1,[1]!Table1[Women on Board %])</f>
        <v>0.34349999999999986</v>
      </c>
    </row>
    <row r="8" spans="2:12" ht="15.75" x14ac:dyDescent="0.25">
      <c r="C8" s="20" t="s">
        <v>254</v>
      </c>
      <c r="D8" s="30">
        <f>SUBTOTAL(9,[1]!Table1[Women in Leadership %])</f>
        <v>50.659999999999982</v>
      </c>
      <c r="E8">
        <f>SUBTOTAL(4,[1]!Table1[Women in Leadership %])</f>
        <v>1</v>
      </c>
      <c r="F8" s="18">
        <f>SUBTOTAL(5,[1]!Table1[Women in Leadership %])</f>
        <v>0.02</v>
      </c>
      <c r="G8" s="18">
        <f>MEDIAN([1]!Table1[Women in Leadership %])</f>
        <v>0.47</v>
      </c>
      <c r="H8" s="18">
        <f>SUBTOTAL(1,[1]!Table1[Women in Leadership %])</f>
        <v>0.50659999999999983</v>
      </c>
    </row>
    <row r="9" spans="2:12" ht="15.75" x14ac:dyDescent="0.25">
      <c r="C9" s="21" t="s">
        <v>249</v>
      </c>
      <c r="D9" s="30">
        <f>SUBTOTAL(9,[1]!Table1[Women in Workforce %])</f>
        <v>46.169999999999987</v>
      </c>
      <c r="E9">
        <f>SUBTOTAL(4,[1]!Table1[Women in Workforce %])</f>
        <v>1</v>
      </c>
      <c r="F9" s="18">
        <f>SUBTOTAL(5,[1]!Table1[Women in Workforce %])</f>
        <v>0</v>
      </c>
      <c r="G9" s="18">
        <f>MEDIAN([1]!Table1[Women in Workforce %])</f>
        <v>0.315</v>
      </c>
      <c r="H9" s="18">
        <f>SUBTOTAL(1,[1]!Table1[Revenue])</f>
        <v>619266.125</v>
      </c>
    </row>
    <row r="10" spans="2:12" ht="15.75" x14ac:dyDescent="0.25">
      <c r="C10" s="20" t="s">
        <v>255</v>
      </c>
      <c r="D10">
        <f>SUBTOTAL(3,[1]!Table1[Climate Grade])</f>
        <v>99</v>
      </c>
      <c r="E10">
        <f>SUBTOTAL(4,[1]!Table1[Climate Grade])</f>
        <v>0</v>
      </c>
      <c r="F10" s="18">
        <f>SUBTOTAL(5,[1]!Table1[Climate Grade])</f>
        <v>0</v>
      </c>
      <c r="G10" s="22"/>
      <c r="H10" s="22"/>
    </row>
    <row r="11" spans="2:12" ht="15.75" x14ac:dyDescent="0.25">
      <c r="C11" s="21" t="s">
        <v>256</v>
      </c>
      <c r="D11">
        <f>SUBTOTAL(103,[1]!Table1[Sustainability Initiatives])</f>
        <v>73</v>
      </c>
      <c r="E11">
        <f>SUBTOTAL(4,[1]!Table1[Sustainability Initiatives])</f>
        <v>0</v>
      </c>
      <c r="F11" s="18">
        <f>SUBTOTAL(5,[1]!Table1[Sustainability Initiatives])</f>
        <v>0</v>
      </c>
      <c r="G11" s="22"/>
      <c r="H11" s="22"/>
    </row>
    <row r="12" spans="2:12" ht="15.75" x14ac:dyDescent="0.25">
      <c r="C12" s="33" t="s">
        <v>0</v>
      </c>
      <c r="D12" s="23">
        <f>SUBTOTAL(9,[1]!Table1[Rank])</f>
        <v>5050</v>
      </c>
      <c r="E12" s="24">
        <f>SUBTOTAL(4,[1]!Table1[Rank])</f>
        <v>100</v>
      </c>
      <c r="F12" s="24">
        <f>SUBTOTAL(5,[1]!Table1[Rank])</f>
        <v>1</v>
      </c>
      <c r="G12" s="24">
        <f>MEDIAN([1]!Table1[Rank])</f>
        <v>50.5</v>
      </c>
      <c r="H12" s="24">
        <f>SUBTOTAL(1,[1]!Table1[Rank])</f>
        <v>50.5</v>
      </c>
    </row>
    <row r="15" spans="2:12" ht="15.75" x14ac:dyDescent="0.25">
      <c r="B15" s="32" t="s">
        <v>273</v>
      </c>
    </row>
    <row r="16" spans="2:12" s="42" customFormat="1" x14ac:dyDescent="0.25">
      <c r="C16" s="10" t="s">
        <v>264</v>
      </c>
      <c r="D16" s="10" t="s">
        <v>265</v>
      </c>
      <c r="E16" s="10" t="s">
        <v>266</v>
      </c>
      <c r="F16" s="10" t="s">
        <v>267</v>
      </c>
      <c r="G16" s="10" t="s">
        <v>2</v>
      </c>
      <c r="H16" s="10" t="s">
        <v>268</v>
      </c>
      <c r="I16" s="10" t="s">
        <v>263</v>
      </c>
    </row>
    <row r="17" spans="2:9" hidden="1" x14ac:dyDescent="0.25">
      <c r="D17" s="10"/>
    </row>
    <row r="18" spans="2:9" x14ac:dyDescent="0.25">
      <c r="C18">
        <f t="array" ref="C18:C28">LARGE(Table1[Previous Rank],{1;2;3;4;5;6;7;8;9;10})</f>
        <v>97</v>
      </c>
      <c r="D18" s="29"/>
      <c r="E18" s="30">
        <f>INDEX(Table1[Profit %],MATCH(C18,Table1[Previous Rank]))</f>
        <v>0.15</v>
      </c>
      <c r="F18" s="27">
        <f>INDEX(Table1[CEO Pay Ratio],MATCH(C18,Table1[Previous Rank]))</f>
        <v>4.6256944444444441</v>
      </c>
      <c r="G18" t="str">
        <f>INDEX(Table1[Company],MATCH(C18,Table1[Previous Rank]))</f>
        <v>AstraZeneca PLC</v>
      </c>
      <c r="H18" t="str">
        <f>INDEX(Table1[Location],MATCH(C18,Table1[Previous Rank]))</f>
        <v>Cambridge, U.K.</v>
      </c>
      <c r="I18" s="30">
        <f>INDEX(Table1[Women on Board %],MATCH(C18,Table1[Previous Rank]))</f>
        <v>0.38</v>
      </c>
    </row>
    <row r="19" spans="2:9" x14ac:dyDescent="0.25">
      <c r="C19">
        <v>94</v>
      </c>
      <c r="D19" s="29">
        <f>INDEX(Table1[Revenue],MATCH(C19,Table1[Previous Rank]))</f>
        <v>9681</v>
      </c>
      <c r="E19" s="30">
        <f>INDEX(Table1[Profit %],MATCH(C19,Table1[Previous Rank]))</f>
        <v>0.14000000000000001</v>
      </c>
      <c r="F19" s="27">
        <f>INDEX(Table1[CEO Pay Ratio],MATCH(C19,Table1[Previous Rank]))</f>
        <v>2.9173611111111111</v>
      </c>
      <c r="G19" t="s">
        <v>234</v>
      </c>
      <c r="H19" t="str">
        <f>INDEX(Table1[Location],MATCH(C19,Table1[Previous Rank]))</f>
        <v>Hong Kong, China</v>
      </c>
      <c r="I19" s="30">
        <f>INDEX(Table1[Women on Board %],MATCH(C19,Table1[Previous Rank]))</f>
        <v>0.18</v>
      </c>
    </row>
    <row r="20" spans="2:9" x14ac:dyDescent="0.25">
      <c r="C20">
        <v>92</v>
      </c>
      <c r="D20" s="29">
        <f>INDEX(Table1[Revenue],MATCH(C20,Table1[Previous Rank]))</f>
        <v>9681</v>
      </c>
      <c r="E20" s="30">
        <f>INDEX(Table1[Profit %],MATCH(C20,Table1[Previous Rank]))</f>
        <v>0.14000000000000001</v>
      </c>
      <c r="F20" s="27">
        <f>INDEX(Table1[CEO Pay Ratio],MATCH(C20,Table1[Previous Rank]))</f>
        <v>2.9173611111111111</v>
      </c>
      <c r="G20" t="str">
        <f>INDEX(Table1[Company],MATCH(C20,Table1[Previous Rank]))</f>
        <v>Vitasoy International Holdings Ltd</v>
      </c>
      <c r="H20" t="str">
        <f>INDEX(Table1[Location],MATCH(C20,Table1[Previous Rank]))</f>
        <v>Hong Kong, China</v>
      </c>
      <c r="I20" s="30">
        <f>INDEX(Table1[Women on Board %],MATCH(C20,Table1[Previous Rank]))</f>
        <v>0.18</v>
      </c>
    </row>
    <row r="21" spans="2:9" x14ac:dyDescent="0.25">
      <c r="C21">
        <v>89</v>
      </c>
      <c r="D21" s="29">
        <f>INDEX(Table1[Revenue],MATCH(C21,Table1[Previous Rank]))</f>
        <v>9681</v>
      </c>
      <c r="E21" s="30">
        <f>INDEX(Table1[Profit %],MATCH(C21,Table1[Previous Rank]))</f>
        <v>0.14000000000000001</v>
      </c>
      <c r="F21" s="27">
        <f>INDEX(Table1[CEO Pay Ratio],MATCH(C21,Table1[Previous Rank]))</f>
        <v>2.9173611111111111</v>
      </c>
      <c r="G21" t="str">
        <f>INDEX(Table1[Company],MATCH(C21,Table1[Previous Rank]))</f>
        <v>Vitasoy International Holdings Ltd</v>
      </c>
      <c r="H21" t="str">
        <f>INDEX(Table1[Location],MATCH(C21,Table1[Previous Rank]))</f>
        <v>Hong Kong, China</v>
      </c>
      <c r="I21" s="30">
        <f>INDEX(Table1[Women on Board %],MATCH(C21,Table1[Previous Rank]))</f>
        <v>0.18</v>
      </c>
    </row>
    <row r="22" spans="2:9" x14ac:dyDescent="0.25">
      <c r="C22">
        <v>87</v>
      </c>
      <c r="D22" s="29">
        <f>INDEX(Table1[Revenue],MATCH(C22,Table1[Previous Rank]))</f>
        <v>9681</v>
      </c>
      <c r="E22" s="30">
        <f>INDEX(Table1[Profit %],MATCH(C22,Table1[Previous Rank]))</f>
        <v>0.14000000000000001</v>
      </c>
      <c r="F22" s="27">
        <f>INDEX(Table1[CEO Pay Ratio],MATCH(C22,Table1[Previous Rank]))</f>
        <v>2.9173611111111111</v>
      </c>
      <c r="G22" t="str">
        <f>INDEX(Table1[Company],MATCH(C22,Table1[Previous Rank]))</f>
        <v>Vitasoy International Holdings Ltd</v>
      </c>
      <c r="H22" t="str">
        <f>INDEX(Table1[Location],MATCH(C22,Table1[Previous Rank]))</f>
        <v>Hong Kong, China</v>
      </c>
      <c r="I22" s="30">
        <f>INDEX(Table1[Women on Board %],MATCH(C22,Table1[Previous Rank]))</f>
        <v>0.18</v>
      </c>
    </row>
    <row r="23" spans="2:9" x14ac:dyDescent="0.25">
      <c r="C23">
        <v>86</v>
      </c>
      <c r="D23" s="29">
        <f>INDEX(Table1[Revenue],MATCH(C23,Table1[Previous Rank]))</f>
        <v>9681</v>
      </c>
      <c r="E23" s="30">
        <f>INDEX(Table1[Profit %],MATCH(C23,Table1[Previous Rank]))</f>
        <v>0.14000000000000001</v>
      </c>
      <c r="F23" s="27">
        <f>INDEX(Table1[CEO Pay Ratio],MATCH(C23,Table1[Previous Rank]))</f>
        <v>2.9173611111111111</v>
      </c>
      <c r="G23" t="str">
        <f>INDEX(Table1[Company],MATCH(C23,Table1[Previous Rank]))</f>
        <v>Vitasoy International Holdings Ltd</v>
      </c>
      <c r="H23" t="str">
        <f>INDEX(Table1[Location],MATCH(C23,Table1[Previous Rank]))</f>
        <v>Hong Kong, China</v>
      </c>
      <c r="I23" s="30">
        <f>INDEX(Table1[Women on Board %],MATCH(C23,Table1[Previous Rank]))</f>
        <v>0.18</v>
      </c>
    </row>
    <row r="24" spans="2:9" x14ac:dyDescent="0.25">
      <c r="C24">
        <v>85</v>
      </c>
      <c r="D24" s="29">
        <f>INDEX(Table1[Revenue],MATCH(C24,Table1[Previous Rank]))</f>
        <v>423236</v>
      </c>
      <c r="E24" s="30">
        <f>INDEX(Table1[Profit %],MATCH(C24,Table1[Previous Rank]))</f>
        <v>0.16</v>
      </c>
      <c r="F24" s="27">
        <f>INDEX(Table1[CEO Pay Ratio],MATCH(C24,Table1[Previous Rank]))</f>
        <v>1.5006944444444443</v>
      </c>
      <c r="G24" t="str">
        <f>INDEX(Table1[Company],MATCH(C24,Table1[Previous Rank]))</f>
        <v>Commerzbank AG</v>
      </c>
      <c r="H24" t="str">
        <f>INDEX(Table1[Location],MATCH(C24,Table1[Previous Rank]))</f>
        <v>Frankfurt am Main, Germany</v>
      </c>
      <c r="I24" s="30">
        <f>INDEX(Table1[Women on Board %],MATCH(C24,Table1[Previous Rank]))</f>
        <v>0.45</v>
      </c>
    </row>
    <row r="25" spans="2:9" x14ac:dyDescent="0.25">
      <c r="C25">
        <v>81</v>
      </c>
      <c r="D25" s="29">
        <f>INDEX(Table1[Revenue],MATCH(C25,Table1[Previous Rank]))</f>
        <v>58936</v>
      </c>
      <c r="E25" s="30">
        <f>INDEX(Table1[Profit %],MATCH(C25,Table1[Previous Rank]))</f>
        <v>0.19</v>
      </c>
      <c r="F25" s="27">
        <f>INDEX(Table1[CEO Pay Ratio],MATCH(C25,Table1[Previous Rank]))</f>
        <v>5.500694444444445</v>
      </c>
      <c r="G25" t="str">
        <f>INDEX(Table1[Company],MATCH(C25,Table1[Previous Rank]))</f>
        <v>Henkel AG &amp; Co KgaA</v>
      </c>
      <c r="H25" t="str">
        <f>INDEX(Table1[Location],MATCH(C25,Table1[Previous Rank]))</f>
        <v>Düsseldorf, Germany</v>
      </c>
      <c r="I25" s="30">
        <f>INDEX(Table1[Women on Board %],MATCH(C25,Table1[Previous Rank]))</f>
        <v>0.44</v>
      </c>
    </row>
    <row r="26" spans="2:9" x14ac:dyDescent="0.25">
      <c r="C26">
        <v>80</v>
      </c>
      <c r="D26" s="29">
        <f>INDEX(Table1[Revenue],MATCH(C26,Table1[Previous Rank]))</f>
        <v>64565</v>
      </c>
      <c r="E26" s="30">
        <f>INDEX(Table1[Profit %],MATCH(C26,Table1[Previous Rank]))</f>
        <v>0.08</v>
      </c>
      <c r="F26" s="27">
        <f>INDEX(Table1[CEO Pay Ratio],MATCH(C26,Table1[Previous Rank]))</f>
        <v>14.084027777777777</v>
      </c>
      <c r="G26" t="str">
        <f>INDEX(Table1[Company],MATCH(C26,Table1[Previous Rank]))</f>
        <v>Telus Corp</v>
      </c>
      <c r="H26" t="str">
        <f>INDEX(Table1[Location],MATCH(C26,Table1[Previous Rank]))</f>
        <v>Vancouver, Canada</v>
      </c>
      <c r="I26" s="30">
        <f>INDEX(Table1[Women on Board %],MATCH(C26,Table1[Previous Rank]))</f>
        <v>0.43</v>
      </c>
    </row>
    <row r="27" spans="2:9" x14ac:dyDescent="0.25">
      <c r="C27">
        <v>79</v>
      </c>
      <c r="D27" s="29">
        <f>INDEX(Table1[Revenue],MATCH(C27,Table1[Previous Rank]))</f>
        <v>42750</v>
      </c>
      <c r="E27" s="30">
        <f>INDEX(Table1[Profit %],MATCH(C27,Table1[Previous Rank]))</f>
        <v>0.01</v>
      </c>
      <c r="F27" s="27">
        <f>INDEX(Table1[CEO Pay Ratio],MATCH(C27,Table1[Previous Rank]))</f>
        <v>0</v>
      </c>
      <c r="G27" t="str">
        <f>INDEX(Table1[Company],MATCH(C27,Table1[Previous Rank]))</f>
        <v>NIO Inc</v>
      </c>
      <c r="H27" t="str">
        <f>INDEX(Table1[Location],MATCH(C27,Table1[Previous Rank]))</f>
        <v>Shanghai, China</v>
      </c>
      <c r="I27" s="30">
        <f>INDEX(Table1[Women on Board %],MATCH(C27,Table1[Previous Rank]))</f>
        <v>0.17</v>
      </c>
    </row>
    <row r="28" spans="2:9" x14ac:dyDescent="0.25">
      <c r="C28" t="e">
        <v>#N/A</v>
      </c>
      <c r="F28" s="27"/>
    </row>
    <row r="31" spans="2:9" ht="21" x14ac:dyDescent="0.35">
      <c r="B31" s="31" t="s">
        <v>274</v>
      </c>
    </row>
    <row r="33" spans="2:8" s="45" customFormat="1" x14ac:dyDescent="0.25">
      <c r="B33" s="46" t="s">
        <v>264</v>
      </c>
      <c r="C33" s="47" t="s">
        <v>5</v>
      </c>
      <c r="D33" s="47" t="s">
        <v>269</v>
      </c>
      <c r="E33" s="47" t="s">
        <v>270</v>
      </c>
      <c r="F33" s="47" t="s">
        <v>271</v>
      </c>
      <c r="G33" s="47" t="s">
        <v>268</v>
      </c>
      <c r="H33" s="47" t="s">
        <v>272</v>
      </c>
    </row>
    <row r="34" spans="2:8" x14ac:dyDescent="0.25">
      <c r="B34">
        <f t="array" ref="B34:B45">LARGE(Table1[Rank],{1;2;3;4;5;6;7;8;9;10})</f>
        <v>100</v>
      </c>
      <c r="C34" s="29">
        <f>INDEX(Table1[Revenue],MATCH(B34,Table1[Rank]))</f>
        <v>154501</v>
      </c>
      <c r="D34" s="30">
        <f>INDEX(Table1[Profit %],MATCH(B34,Table1[Rank]))</f>
        <v>0.2</v>
      </c>
      <c r="E34" s="28">
        <f>INDEX(Table1[CEO Pay Ratio],MATCH(B34,Table1[Rank]))</f>
        <v>0.91736111111111107</v>
      </c>
      <c r="F34" t="str">
        <f>INDEX(Table1[Company],MATCH(B34,Table1[Rank]))</f>
        <v>Sysmex Corp</v>
      </c>
      <c r="G34" t="str">
        <f>INDEX(Table1[Location],MATCH(B34,Table1[Rank]))</f>
        <v>Kobe, Japan</v>
      </c>
      <c r="H34" s="30">
        <f>INDEX(Table1[Women on Board %],MATCH(B34,Table1[Rank]))</f>
        <v>0.08</v>
      </c>
    </row>
    <row r="35" spans="2:8" x14ac:dyDescent="0.25">
      <c r="B35">
        <v>99</v>
      </c>
      <c r="C35" s="29">
        <f>INDEX(Table1[Revenue],MATCH(B35,Table1[Rank]))</f>
        <v>10127</v>
      </c>
      <c r="D35" s="30">
        <f>INDEX(Table1[Profit %],MATCH(B35,Table1[Rank]))</f>
        <v>0.2</v>
      </c>
      <c r="E35" s="28">
        <f>INDEX(Table1[CEO Pay Ratio],MATCH(B35,Table1[Rank]))</f>
        <v>2.0840277777777776</v>
      </c>
      <c r="F35" t="str">
        <f>INDEX(Table1[Company],MATCH(B35,Table1[Rank]))</f>
        <v>Sino Land Co Ltd</v>
      </c>
      <c r="G35" t="str">
        <f>INDEX(Table1[Location],MATCH(B35,Table1[Rank]))</f>
        <v>Hong Kong, China</v>
      </c>
      <c r="H35" s="30">
        <f>INDEX(Table1[Women on Board %],MATCH(B35,Table1[Rank]))</f>
        <v>0.08</v>
      </c>
    </row>
    <row r="36" spans="2:8" x14ac:dyDescent="0.25">
      <c r="B36">
        <v>98</v>
      </c>
      <c r="C36" s="29">
        <f>INDEX(Table1[Revenue],MATCH(B36,Table1[Rank]))</f>
        <v>206669</v>
      </c>
      <c r="D36" s="30">
        <f>INDEX(Table1[Profit %],MATCH(B36,Table1[Rank]))</f>
        <v>0.11</v>
      </c>
      <c r="E36" s="28">
        <f>INDEX(Table1[CEO Pay Ratio],MATCH(B36,Table1[Rank]))</f>
        <v>6.459027777777778</v>
      </c>
      <c r="F36" t="str">
        <f>INDEX(Table1[Company],MATCH(B36,Table1[Rank]))</f>
        <v>Manulife Financial Corp</v>
      </c>
      <c r="G36" t="str">
        <f>INDEX(Table1[Location],MATCH(B36,Table1[Rank]))</f>
        <v>Toronto, Canada</v>
      </c>
      <c r="H36" s="30">
        <f>INDEX(Table1[Women on Board %],MATCH(B36,Table1[Rank]))</f>
        <v>0.57999999999999996</v>
      </c>
    </row>
    <row r="37" spans="2:8" x14ac:dyDescent="0.25">
      <c r="B37">
        <v>97</v>
      </c>
      <c r="C37" s="29">
        <f>INDEX(Table1[Revenue],MATCH(B37,Table1[Rank]))</f>
        <v>75374</v>
      </c>
      <c r="D37" s="30">
        <f>INDEX(Table1[Profit %],MATCH(B37,Table1[Rank]))</f>
        <v>0.18</v>
      </c>
      <c r="E37" s="28">
        <f>INDEX(Table1[CEO Pay Ratio],MATCH(B37,Table1[Rank]))</f>
        <v>0.75069444444444444</v>
      </c>
      <c r="F37" t="str">
        <f>INDEX(Table1[Company],MATCH(B37,Table1[Rank]))</f>
        <v>Biomérieux SA</v>
      </c>
      <c r="G37" t="str">
        <f>INDEX(Table1[Location],MATCH(B37,Table1[Rank]))</f>
        <v>Marcy l’Étoile, France</v>
      </c>
      <c r="H37" s="30">
        <f>INDEX(Table1[Women on Board %],MATCH(B37,Table1[Rank]))</f>
        <v>0.44</v>
      </c>
    </row>
    <row r="38" spans="2:8" x14ac:dyDescent="0.25">
      <c r="B38">
        <v>96</v>
      </c>
      <c r="C38" s="29">
        <f>INDEX(Table1[Revenue],MATCH(B38,Table1[Rank]))</f>
        <v>4947231</v>
      </c>
      <c r="D38" s="30">
        <f>INDEX(Table1[Profit %],MATCH(B38,Table1[Rank]))</f>
        <v>0.17</v>
      </c>
      <c r="E38" s="28">
        <f>INDEX(Table1[CEO Pay Ratio],MATCH(B38,Table1[Rank]))</f>
        <v>2.0423611111111111</v>
      </c>
      <c r="F38" t="str">
        <f>INDEX(Table1[Company],MATCH(B38,Table1[Rank]))</f>
        <v>IGM Financial Inc</v>
      </c>
      <c r="G38" t="str">
        <f>INDEX(Table1[Location],MATCH(B38,Table1[Rank]))</f>
        <v>Winnipeg, Canada</v>
      </c>
      <c r="H38" s="30">
        <f>INDEX(Table1[Women on Board %],MATCH(B38,Table1[Rank]))</f>
        <v>0.33</v>
      </c>
    </row>
    <row r="39" spans="2:8" x14ac:dyDescent="0.25">
      <c r="B39">
        <v>95</v>
      </c>
      <c r="C39" s="29">
        <f>INDEX(Table1[Revenue],MATCH(B39,Table1[Rank]))</f>
        <v>100380</v>
      </c>
      <c r="D39" s="30">
        <f>INDEX(Table1[Profit %],MATCH(B39,Table1[Rank]))</f>
        <v>0.15</v>
      </c>
      <c r="E39" s="28">
        <f>INDEX(Table1[CEO Pay Ratio],MATCH(B39,Table1[Rank]))</f>
        <v>4.6256944444444441</v>
      </c>
      <c r="F39" t="str">
        <f>INDEX(Table1[Company],MATCH(B39,Table1[Rank]))</f>
        <v>AstraZeneca PLC</v>
      </c>
      <c r="G39" t="str">
        <f>INDEX(Table1[Location],MATCH(B39,Table1[Rank]))</f>
        <v>Cambridge, U.K.</v>
      </c>
      <c r="H39" s="30">
        <f>INDEX(Table1[Women on Board %],MATCH(B39,Table1[Rank]))</f>
        <v>0.38</v>
      </c>
    </row>
    <row r="40" spans="2:8" x14ac:dyDescent="0.25">
      <c r="B40">
        <v>94</v>
      </c>
      <c r="C40" s="29">
        <f>INDEX(Table1[Revenue],MATCH(B40,Table1[Rank]))</f>
        <v>100123</v>
      </c>
      <c r="D40" s="30">
        <f>INDEX(Table1[Profit %],MATCH(B40,Table1[Rank]))</f>
        <v>0.13</v>
      </c>
      <c r="E40" s="28">
        <f>INDEX(Table1[CEO Pay Ratio],MATCH(B40,Table1[Rank]))</f>
        <v>0.1673611111111111</v>
      </c>
      <c r="F40" t="str">
        <f>INDEX(Table1[Company],MATCH(B40,Table1[Rank]))</f>
        <v>Bank of China Ltd</v>
      </c>
      <c r="G40" t="str">
        <f>INDEX(Table1[Location],MATCH(B40,Table1[Rank]))</f>
        <v>Beijing, China</v>
      </c>
      <c r="H40" s="30">
        <f>INDEX(Table1[Women on Board %],MATCH(B40,Table1[Rank]))</f>
        <v>0.15</v>
      </c>
    </row>
    <row r="41" spans="2:8" x14ac:dyDescent="0.25">
      <c r="B41">
        <v>93</v>
      </c>
      <c r="C41" s="29">
        <f>INDEX(Table1[Revenue],MATCH(B41,Table1[Rank]))</f>
        <v>9681</v>
      </c>
      <c r="D41" s="30">
        <f>INDEX(Table1[Profit %],MATCH(B41,Table1[Rank]))</f>
        <v>0.14000000000000001</v>
      </c>
      <c r="E41" s="28">
        <f>INDEX(Table1[CEO Pay Ratio],MATCH(B41,Table1[Rank]))</f>
        <v>2.9173611111111111</v>
      </c>
      <c r="F41" t="str">
        <f>INDEX(Table1[Company],MATCH(B41,Table1[Rank]))</f>
        <v>Vitasoy International Holdings Ltd</v>
      </c>
      <c r="G41" t="str">
        <f>INDEX(Table1[Location],MATCH(B41,Table1[Rank]))</f>
        <v>Hong Kong, China</v>
      </c>
      <c r="H41" s="30">
        <f>INDEX(Table1[Women on Board %],MATCH(B41,Table1[Rank]))</f>
        <v>0.18</v>
      </c>
    </row>
    <row r="42" spans="2:8" x14ac:dyDescent="0.25">
      <c r="B42">
        <v>92</v>
      </c>
      <c r="C42" s="29">
        <f>INDEX(Table1[Revenue],MATCH(B42,Table1[Rank]))</f>
        <v>4846</v>
      </c>
      <c r="D42" s="30">
        <f>INDEX(Table1[Profit %],MATCH(B42,Table1[Rank]))</f>
        <v>0.13</v>
      </c>
      <c r="E42" s="28">
        <f>INDEX(Table1[CEO Pay Ratio],MATCH(B42,Table1[Rank]))</f>
        <v>3.2923611111111111</v>
      </c>
      <c r="F42" t="str">
        <f>INDEX(Table1[Company],MATCH(B42,Table1[Rank]))</f>
        <v>Teck Resources Ltd</v>
      </c>
      <c r="G42" t="str">
        <f>INDEX(Table1[Location],MATCH(B42,Table1[Rank]))</f>
        <v>Vancouver, Canada</v>
      </c>
      <c r="H42" s="30">
        <f>INDEX(Table1[Women on Board %],MATCH(B42,Table1[Rank]))</f>
        <v>0.28999999999999998</v>
      </c>
    </row>
    <row r="43" spans="2:8" x14ac:dyDescent="0.25">
      <c r="B43">
        <v>91</v>
      </c>
      <c r="C43" s="29">
        <f>INDEX(Table1[Revenue],MATCH(B43,Table1[Rank]))</f>
        <v>1273258</v>
      </c>
      <c r="D43" s="30">
        <f>INDEX(Table1[Profit %],MATCH(B43,Table1[Rank]))</f>
        <v>0.25</v>
      </c>
      <c r="E43" s="28">
        <f>INDEX(Table1[CEO Pay Ratio],MATCH(B43,Table1[Rank]))</f>
        <v>3.0006944444444446</v>
      </c>
      <c r="F43" t="str">
        <f>INDEX(Table1[Company],MATCH(B43,Table1[Rank]))</f>
        <v>Assicurazioni Generali SpA</v>
      </c>
      <c r="G43" t="str">
        <f>INDEX(Table1[Location],MATCH(B43,Table1[Rank]))</f>
        <v>Trieste, Italy</v>
      </c>
      <c r="H43" s="30">
        <f>INDEX(Table1[Women on Board %],MATCH(B43,Table1[Rank]))</f>
        <v>0.46</v>
      </c>
    </row>
    <row r="44" spans="2:8" x14ac:dyDescent="0.25">
      <c r="B44" t="e">
        <v>#N/A</v>
      </c>
      <c r="C44" t="e">
        <f>INDEX(Table1[Revenue],MATCH(B44,Table1[Rank]))</f>
        <v>#N/A</v>
      </c>
    </row>
    <row r="45" spans="2:8" x14ac:dyDescent="0.25">
      <c r="B45" t="e">
        <v>#N/A</v>
      </c>
      <c r="C45" t="e">
        <f>INDEX(Table1[Revenue],MATCH(B45,Table1[Rank]))</f>
        <v>#N/A</v>
      </c>
    </row>
  </sheetData>
  <conditionalFormatting sqref="D4:H1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I2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{C903DC4F-D880-4F94-84C2-9B598D665E7A}</x14:id>
        </ext>
      </extLst>
    </cfRule>
  </conditionalFormatting>
  <conditionalFormatting sqref="E15:E2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{6404A071-A1F4-4DD8-A9A7-C84A8DE3E8DA}</x14:id>
        </ext>
      </extLst>
    </cfRule>
  </conditionalFormatting>
  <conditionalFormatting sqref="F15:F27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{6AE11690-5D94-4923-8365-9B807FFC5FCF}</x14:id>
        </ext>
      </extLst>
    </cfRule>
  </conditionalFormatting>
  <conditionalFormatting sqref="I15:I2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{A6CA32E9-3F88-4F82-8395-DCE8EB770165}</x14:id>
        </ext>
      </extLst>
    </cfRule>
  </conditionalFormatting>
  <conditionalFormatting sqref="H32:H4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{4ECC22BE-135A-4181-87DA-D3E4A7503CB3}</x14:id>
        </ext>
      </extLst>
    </cfRule>
  </conditionalFormatting>
  <conditionalFormatting sqref="E32:E43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{1EF475F2-ADF5-4476-B667-2604E3A08D74}</x14:id>
        </ext>
      </extLst>
    </cfRule>
  </conditionalFormatting>
  <conditionalFormatting sqref="D32:D4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{75A8B1C6-0E26-4101-9103-284E95FD1A63}</x14:id>
        </ext>
      </extLst>
    </cfRule>
  </conditionalFormatting>
  <conditionalFormatting sqref="C32:C4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{923D3923-247E-48C3-8387-1B32E0BEADF5}</x14:id>
        </ext>
      </extLst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03DC4F-D880-4F94-84C2-9B598D665E7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B16:I27</xm:sqref>
        </x14:conditionalFormatting>
        <x14:conditionalFormatting xmlns:xm="http://schemas.microsoft.com/office/excel/2006/main">
          <x14:cfRule type="dataBar" id="{6404A071-A1F4-4DD8-A9A7-C84A8DE3E8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E15:E27</xm:sqref>
        </x14:conditionalFormatting>
        <x14:conditionalFormatting xmlns:xm="http://schemas.microsoft.com/office/excel/2006/main">
          <x14:cfRule type="dataBar" id="{6AE11690-5D94-4923-8365-9B807FFC5F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F15:F27</xm:sqref>
        </x14:conditionalFormatting>
        <x14:conditionalFormatting xmlns:xm="http://schemas.microsoft.com/office/excel/2006/main">
          <x14:cfRule type="dataBar" id="{A6CA32E9-3F88-4F82-8395-DCE8EB7701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I15:I29</xm:sqref>
        </x14:conditionalFormatting>
        <x14:conditionalFormatting xmlns:xm="http://schemas.microsoft.com/office/excel/2006/main">
          <x14:cfRule type="dataBar" id="{4ECC22BE-135A-4181-87DA-D3E4A7503C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H32:H44</xm:sqref>
        </x14:conditionalFormatting>
        <x14:conditionalFormatting xmlns:xm="http://schemas.microsoft.com/office/excel/2006/main">
          <x14:cfRule type="dataBar" id="{1EF475F2-ADF5-4476-B667-2604E3A08D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E32:E43</xm:sqref>
        </x14:conditionalFormatting>
        <x14:conditionalFormatting xmlns:xm="http://schemas.microsoft.com/office/excel/2006/main">
          <x14:cfRule type="dataBar" id="{75A8B1C6-0E26-4101-9103-284E95FD1A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D32:D45</xm:sqref>
        </x14:conditionalFormatting>
        <x14:conditionalFormatting xmlns:xm="http://schemas.microsoft.com/office/excel/2006/main">
          <x14:cfRule type="dataBar" id="{923D3923-247E-48C3-8387-1B32E0BEAD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C32:C43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/>
  </sheetPr>
  <dimension ref="B5:J15"/>
  <sheetViews>
    <sheetView workbookViewId="0">
      <selection activeCell="T33" sqref="T33"/>
    </sheetView>
  </sheetViews>
  <sheetFormatPr defaultRowHeight="15" x14ac:dyDescent="0.25"/>
  <cols>
    <col min="2" max="2" width="16.28515625" bestFit="1" customWidth="1"/>
    <col min="4" max="4" width="16.28515625" bestFit="1" customWidth="1"/>
    <col min="5" max="5" width="16.85546875" bestFit="1" customWidth="1"/>
    <col min="6" max="6" width="18.140625" bestFit="1" customWidth="1"/>
    <col min="7" max="7" width="28.7109375" bestFit="1" customWidth="1"/>
    <col min="8" max="8" width="19.140625" bestFit="1" customWidth="1"/>
    <col min="9" max="9" width="30.42578125" bestFit="1" customWidth="1"/>
    <col min="10" max="10" width="7.42578125" bestFit="1" customWidth="1"/>
  </cols>
  <sheetData>
    <row r="5" spans="2:10" ht="15.75" x14ac:dyDescent="0.25">
      <c r="D5" s="36" t="s">
        <v>276</v>
      </c>
      <c r="E5" s="36" t="s">
        <v>277</v>
      </c>
      <c r="F5" s="36" t="s">
        <v>282</v>
      </c>
      <c r="G5" s="36" t="s">
        <v>281</v>
      </c>
      <c r="H5" s="36" t="s">
        <v>280</v>
      </c>
      <c r="I5" s="36" t="s">
        <v>279</v>
      </c>
      <c r="J5" s="36" t="s">
        <v>278</v>
      </c>
    </row>
    <row r="6" spans="2:10" ht="15.75" x14ac:dyDescent="0.25">
      <c r="D6" s="37">
        <f t="array" ref="D6:D15">LARGE(Table1[Revenue],{1;2;3;4;5;6;7;8;9;10})</f>
        <v>33251733</v>
      </c>
      <c r="E6" s="38">
        <f>INDEX(Table1[Profit %],MATCH(D6,Table1[Revenue],0))</f>
        <v>0</v>
      </c>
      <c r="F6" s="38">
        <f>INDEX(Table1[CEO Pay Ratio],MATCH(D6,Table1[Revenue],0))</f>
        <v>0.20902777777777778</v>
      </c>
      <c r="G6" s="38">
        <f>INDEX(Table1[Women on Board %],MATCH(D6,Table1[Revenue],0))</f>
        <v>0.3</v>
      </c>
      <c r="H6" s="18" t="str">
        <f>INDEX(Table1[Location],MATCH(D6,Table1[Revenue],0))</f>
        <v>Vancouver, Canada</v>
      </c>
      <c r="I6" s="18" t="str">
        <f>INDEX(Table1[Company],MATCH(D6,Table1[Revenue],0))</f>
        <v>Wheaton Precious Metals Corp</v>
      </c>
      <c r="J6" s="18" t="str">
        <f>INDEX(Table1[Climate Grade],MATCH(D6,Table1[Revenue],0))</f>
        <v>B</v>
      </c>
    </row>
    <row r="7" spans="2:10" ht="15.75" x14ac:dyDescent="0.25">
      <c r="D7" s="37">
        <v>4947231</v>
      </c>
      <c r="E7" s="38">
        <f>INDEX(Table1[Profit %],MATCH(D7,Table1[Revenue],0))</f>
        <v>0.17</v>
      </c>
      <c r="F7" s="38">
        <f>INDEX(Table1[CEO Pay Ratio],MATCH(D7,Table1[Revenue],0))</f>
        <v>2.0423611111111111</v>
      </c>
      <c r="G7" s="38">
        <f>INDEX(Table1[Women on Board %],MATCH(D7,Table1[Revenue],0))</f>
        <v>0.33</v>
      </c>
      <c r="H7" s="18" t="str">
        <f>INDEX(Table1[Location],MATCH(D7,Table1[Revenue],0))</f>
        <v>Winnipeg, Canada</v>
      </c>
      <c r="I7" s="18" t="str">
        <f>INDEX(Table1[Company],MATCH(D7,Table1[Revenue],0))</f>
        <v>IGM Financial Inc</v>
      </c>
      <c r="J7" s="18" t="str">
        <f>INDEX(Table1[Climate Grade],MATCH(D7,Table1[Revenue],0))</f>
        <v>C-</v>
      </c>
    </row>
    <row r="8" spans="2:10" ht="15.75" x14ac:dyDescent="0.25">
      <c r="D8" s="37">
        <v>3242058</v>
      </c>
      <c r="E8" s="38">
        <f>INDEX(Table1[Profit %],MATCH(D8,Table1[Revenue],0))</f>
        <v>0.1</v>
      </c>
      <c r="F8" s="38">
        <f>INDEX(Table1[CEO Pay Ratio],MATCH(D8,Table1[Revenue],0))</f>
        <v>1.4590277777777778</v>
      </c>
      <c r="G8" s="38">
        <f>INDEX(Table1[Women on Board %],MATCH(D8,Table1[Revenue],0))</f>
        <v>0.5</v>
      </c>
      <c r="H8" s="18" t="str">
        <f>INDEX(Table1[Location],MATCH(D8,Table1[Revenue],0))</f>
        <v>Helsinki, Finland</v>
      </c>
      <c r="I8" s="18" t="str">
        <f>INDEX(Table1[Company],MATCH(D8,Table1[Revenue],0))</f>
        <v>Nordea Bank Abp</v>
      </c>
      <c r="J8" s="18" t="str">
        <f>INDEX(Table1[Climate Grade],MATCH(D8,Table1[Revenue],0))</f>
        <v>C</v>
      </c>
    </row>
    <row r="9" spans="2:10" ht="15.75" x14ac:dyDescent="0.25">
      <c r="D9" s="37">
        <v>2864982</v>
      </c>
      <c r="E9" s="38">
        <f>INDEX(Table1[Profit %],MATCH(D9,Table1[Revenue],0))</f>
        <v>0.1</v>
      </c>
      <c r="F9" s="38">
        <f>INDEX(Table1[CEO Pay Ratio],MATCH(D9,Table1[Revenue],0))</f>
        <v>0.45902777777777781</v>
      </c>
      <c r="G9" s="38">
        <f>INDEX(Table1[Women on Board %],MATCH(D9,Table1[Revenue],0))</f>
        <v>0.45</v>
      </c>
      <c r="H9" s="18" t="str">
        <f>INDEX(Table1[Location],MATCH(D9,Table1[Revenue],0))</f>
        <v>London, U.K.</v>
      </c>
      <c r="I9" s="18" t="str">
        <f>INDEX(Table1[Company],MATCH(D9,Table1[Revenue],0))</f>
        <v>Beazley PLC</v>
      </c>
      <c r="J9" s="18" t="str">
        <f>INDEX(Table1[Climate Grade],MATCH(D9,Table1[Revenue],0))</f>
        <v>B</v>
      </c>
    </row>
    <row r="10" spans="2:10" ht="15.75" x14ac:dyDescent="0.25">
      <c r="D10" s="37">
        <v>1614690</v>
      </c>
      <c r="E10" s="38">
        <f>INDEX(Table1[Profit %],MATCH(D10,Table1[Revenue],0))</f>
        <v>0.03</v>
      </c>
      <c r="F10" s="38">
        <f>INDEX(Table1[CEO Pay Ratio],MATCH(D10,Table1[Revenue],0))</f>
        <v>7.084027777777778</v>
      </c>
      <c r="G10" s="38">
        <f>INDEX(Table1[Women on Board %],MATCH(D10,Table1[Revenue],0))</f>
        <v>0.27</v>
      </c>
      <c r="H10" s="18" t="str">
        <f>INDEX(Table1[Location],MATCH(D10,Table1[Revenue],0))</f>
        <v>San Francisco, U.S.</v>
      </c>
      <c r="I10" s="18" t="str">
        <f>INDEX(Table1[Company],MATCH(D10,Table1[Revenue],0))</f>
        <v>Prologis Inc</v>
      </c>
      <c r="J10" s="18" t="str">
        <f>INDEX(Table1[Climate Grade],MATCH(D10,Table1[Revenue],0))</f>
        <v>C</v>
      </c>
    </row>
    <row r="11" spans="2:10" ht="15.75" x14ac:dyDescent="0.25">
      <c r="D11" s="37">
        <v>1273258</v>
      </c>
      <c r="E11" s="38">
        <f>INDEX(Table1[Profit %],MATCH(D11,Table1[Revenue],0))</f>
        <v>0.25</v>
      </c>
      <c r="F11" s="38">
        <f>INDEX(Table1[CEO Pay Ratio],MATCH(D11,Table1[Revenue],0))</f>
        <v>3.0006944444444446</v>
      </c>
      <c r="G11" s="38">
        <f>INDEX(Table1[Women on Board %],MATCH(D11,Table1[Revenue],0))</f>
        <v>0.46</v>
      </c>
      <c r="H11" s="18" t="str">
        <f>INDEX(Table1[Location],MATCH(D11,Table1[Revenue],0))</f>
        <v>Trieste, Italy</v>
      </c>
      <c r="I11" s="18" t="str">
        <f>INDEX(Table1[Company],MATCH(D11,Table1[Revenue],0))</f>
        <v>Assicurazioni Generali SpA</v>
      </c>
      <c r="J11" s="18" t="str">
        <f>INDEX(Table1[Climate Grade],MATCH(D11,Table1[Revenue],0))</f>
        <v>C</v>
      </c>
    </row>
    <row r="12" spans="2:10" ht="15.75" x14ac:dyDescent="0.25">
      <c r="D12" s="37">
        <v>1106800</v>
      </c>
      <c r="E12" s="38">
        <f>INDEX(Table1[Profit %],MATCH(D12,Table1[Revenue],0))</f>
        <v>0.17</v>
      </c>
      <c r="F12" s="38">
        <f>INDEX(Table1[CEO Pay Ratio],MATCH(D12,Table1[Revenue],0))</f>
        <v>0.3756944444444445</v>
      </c>
      <c r="G12" s="38">
        <f>INDEX(Table1[Women on Board %],MATCH(D12,Table1[Revenue],0))</f>
        <v>0.5</v>
      </c>
      <c r="H12" s="18" t="str">
        <f>INDEX(Table1[Location],MATCH(D12,Table1[Revenue],0))</f>
        <v>Brasília, Brazil</v>
      </c>
      <c r="I12" s="18" t="str">
        <f>INDEX(Table1[Company],MATCH(D12,Table1[Revenue],0))</f>
        <v>Banco do Brasil SA</v>
      </c>
      <c r="J12" s="18" t="str">
        <f>INDEX(Table1[Climate Grade],MATCH(D12,Table1[Revenue],0))</f>
        <v>A-</v>
      </c>
    </row>
    <row r="13" spans="2:10" ht="15.75" x14ac:dyDescent="0.25">
      <c r="D13" s="37">
        <v>1052698</v>
      </c>
      <c r="E13" s="38">
        <f>INDEX(Table1[Profit %],MATCH(D13,Table1[Revenue],0))</f>
        <v>0.26</v>
      </c>
      <c r="F13" s="38">
        <f>INDEX(Table1[CEO Pay Ratio],MATCH(D13,Table1[Revenue],0))</f>
        <v>0.7090277777777777</v>
      </c>
      <c r="G13" s="38">
        <f>INDEX(Table1[Women on Board %],MATCH(D13,Table1[Revenue],0))</f>
        <v>0.56999999999999995</v>
      </c>
      <c r="H13" s="18" t="str">
        <f>INDEX(Table1[Location],MATCH(D13,Table1[Revenue],0))</f>
        <v>Stockholm, Sweden</v>
      </c>
      <c r="I13" s="18" t="str">
        <f>INDEX(Table1[Company],MATCH(D13,Table1[Revenue],0))</f>
        <v>Svenska Handelsbanken AB</v>
      </c>
      <c r="J13" s="18" t="str">
        <f>INDEX(Table1[Climate Grade],MATCH(D13,Table1[Revenue],0))</f>
        <v>C</v>
      </c>
    </row>
    <row r="14" spans="2:10" ht="15.75" x14ac:dyDescent="0.25">
      <c r="B14" s="29"/>
      <c r="D14" s="37">
        <v>549255</v>
      </c>
      <c r="E14" s="38">
        <f>INDEX(Table1[Profit %],MATCH(D14,Table1[Revenue],0))</f>
        <v>0.15</v>
      </c>
      <c r="F14" s="38">
        <f>INDEX(Table1[CEO Pay Ratio],MATCH(D14,Table1[Revenue],0))</f>
        <v>5.1673611111111111</v>
      </c>
      <c r="G14" s="38">
        <f>INDEX(Table1[Women on Board %],MATCH(D14,Table1[Revenue],0))</f>
        <v>0.5</v>
      </c>
      <c r="H14" s="18" t="str">
        <f>INDEX(Table1[Location],MATCH(D14,Table1[Revenue],0))</f>
        <v>Toronto, Canada</v>
      </c>
      <c r="I14" s="18" t="str">
        <f>INDEX(Table1[Company],MATCH(D14,Table1[Revenue],0))</f>
        <v>Sun Life Financial Inc</v>
      </c>
      <c r="J14" s="18" t="str">
        <f>INDEX(Table1[Climate Grade],MATCH(D14,Table1[Revenue],0))</f>
        <v>C</v>
      </c>
    </row>
    <row r="15" spans="2:10" ht="15.75" x14ac:dyDescent="0.25">
      <c r="D15" s="37">
        <v>517478</v>
      </c>
      <c r="E15" s="38">
        <f>INDEX(Table1[Profit %],MATCH(D15,Table1[Revenue],0))</f>
        <v>0.19</v>
      </c>
      <c r="F15" s="38">
        <f>INDEX(Table1[CEO Pay Ratio],MATCH(D15,Table1[Revenue],0))</f>
        <v>0</v>
      </c>
      <c r="G15" s="38">
        <f>INDEX(Table1[Women on Board %],MATCH(D15,Table1[Revenue],0))</f>
        <v>0.5</v>
      </c>
      <c r="H15" s="18" t="str">
        <f>INDEX(Table1[Location],MATCH(D15,Table1[Revenue],0))</f>
        <v>San Francisco, U.S.</v>
      </c>
      <c r="I15" s="18" t="str">
        <f>INDEX(Table1[Company],MATCH(D15,Table1[Revenue],0))</f>
        <v>Autodesk Inc</v>
      </c>
      <c r="J15" s="18" t="str">
        <f>INDEX(Table1[Climate Grade],MATCH(D15,Table1[Revenue],0))</f>
        <v>A-</v>
      </c>
    </row>
  </sheetData>
  <conditionalFormatting sqref="D6:D1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{C64D0756-E101-4A37-8222-B0889B859E4F}</x14:id>
        </ext>
      </extLst>
    </cfRule>
  </conditionalFormatting>
  <conditionalFormatting sqref="E6:E1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{10D35891-CA2F-49E4-ABD4-D5DC884406DF}</x14:id>
        </ext>
      </extLst>
    </cfRule>
  </conditionalFormatting>
  <conditionalFormatting sqref="F6:F1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{25A45ED3-4AD0-47BF-9E32-536F35D9BEAB}</x14:id>
        </ext>
      </extLst>
    </cfRule>
  </conditionalFormatting>
  <conditionalFormatting sqref="G6:G1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{4E311B9A-7E00-4973-A92B-2248708BA25B}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4D0756-E101-4A37-8222-B0889B859E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D6:D16</xm:sqref>
        </x14:conditionalFormatting>
        <x14:conditionalFormatting xmlns:xm="http://schemas.microsoft.com/office/excel/2006/main">
          <x14:cfRule type="dataBar" id="{10D35891-CA2F-49E4-ABD4-D5DC884406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E6:E16</xm:sqref>
        </x14:conditionalFormatting>
        <x14:conditionalFormatting xmlns:xm="http://schemas.microsoft.com/office/excel/2006/main">
          <x14:cfRule type="dataBar" id="{25A45ED3-4AD0-47BF-9E32-536F35D9BEA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F6:F16</xm:sqref>
        </x14:conditionalFormatting>
        <x14:conditionalFormatting xmlns:xm="http://schemas.microsoft.com/office/excel/2006/main">
          <x14:cfRule type="dataBar" id="{4E311B9A-7E00-4973-A92B-2248708BA2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/>
  </sheetPr>
  <dimension ref="C2:J15"/>
  <sheetViews>
    <sheetView topLeftCell="A2" workbookViewId="0">
      <selection activeCell="T33" sqref="T33"/>
    </sheetView>
  </sheetViews>
  <sheetFormatPr defaultRowHeight="15" x14ac:dyDescent="0.25"/>
  <cols>
    <col min="3" max="3" width="9.140625" style="30"/>
    <col min="4" max="4" width="13.7109375" bestFit="1" customWidth="1"/>
    <col min="5" max="5" width="10.42578125" bestFit="1" customWidth="1"/>
    <col min="6" max="6" width="18.28515625" bestFit="1" customWidth="1"/>
    <col min="7" max="7" width="32.7109375" bestFit="1" customWidth="1"/>
    <col min="8" max="8" width="16.5703125" bestFit="1" customWidth="1"/>
    <col min="10" max="10" width="16.140625" bestFit="1" customWidth="1"/>
  </cols>
  <sheetData>
    <row r="2" spans="3:10" ht="23.25" x14ac:dyDescent="0.35">
      <c r="C2" s="41" t="s">
        <v>286</v>
      </c>
    </row>
    <row r="4" spans="3:10" ht="15.75" x14ac:dyDescent="0.25">
      <c r="C4" s="39" t="s">
        <v>285</v>
      </c>
      <c r="D4" s="40" t="s">
        <v>5</v>
      </c>
      <c r="E4" s="40" t="s">
        <v>283</v>
      </c>
      <c r="F4" s="40" t="s">
        <v>280</v>
      </c>
      <c r="G4" s="40" t="s">
        <v>271</v>
      </c>
      <c r="H4" s="40" t="s">
        <v>272</v>
      </c>
      <c r="I4" s="40" t="s">
        <v>278</v>
      </c>
      <c r="J4" s="40" t="s">
        <v>284</v>
      </c>
    </row>
    <row r="5" spans="3:10" x14ac:dyDescent="0.25">
      <c r="C5" s="30">
        <f t="array" ref="C5:C14">LARGE(Table1[Profit %],{1;2;3;4;5;6;7;8;9;10})</f>
        <v>0.73</v>
      </c>
      <c r="D5" s="29">
        <f>INDEX(Table1[Revenue],MATCH(C5,Table1[Profit %],0))</f>
        <v>160887</v>
      </c>
      <c r="E5" s="35">
        <f>INDEX(Table1[CEO Pay Ratio],MATCH(C5,Table1[Profit %],0))</f>
        <v>3.4173611111111111</v>
      </c>
      <c r="F5" t="str">
        <f>INDEX(Table1[Location],MATCH(C5,Table1[Profit %],0))</f>
        <v>Hamburg, Germany</v>
      </c>
      <c r="G5" t="str">
        <f>INDEX(Table1[Company],MATCH(C5,Table1[Profit %],0))</f>
        <v>Nordex SE</v>
      </c>
      <c r="H5" s="30">
        <f>INDEX(Table1[Women on Board %],MATCH(C5,Table1[Profit %],0))</f>
        <v>0.33</v>
      </c>
      <c r="I5" t="str">
        <f>INDEX(Table1[Climate Grade],MATCH(C5,Table1[Profit %],0))</f>
        <v>A</v>
      </c>
      <c r="J5" t="str">
        <f>INDEX(Table1[Sustainability Initiatives],MATCH(C5,Table1[Profit %],0))</f>
        <v>1.5°C, SBTi</v>
      </c>
    </row>
    <row r="6" spans="3:10" x14ac:dyDescent="0.25">
      <c r="C6" s="30">
        <v>0.28000000000000003</v>
      </c>
      <c r="D6" s="29">
        <f>INDEX(Table1[Revenue],MATCH(C6,Table1[Profit %],0))</f>
        <v>0</v>
      </c>
      <c r="E6" s="35">
        <f>INDEX(Table1[CEO Pay Ratio],MATCH(C6,Table1[Profit %],0))</f>
        <v>0</v>
      </c>
      <c r="F6" t="str">
        <f>INDEX(Table1[Location],MATCH(C6,Table1[Profit %],0))</f>
        <v>Zhuzhou, China</v>
      </c>
      <c r="G6" t="str">
        <f>INDEX(Table1[Company],MATCH(C6,Table1[Profit %],0))</f>
        <v>Zhuzhou CRRC Times Electric Co Ltd</v>
      </c>
      <c r="H6" s="30">
        <f>INDEX(Table1[Women on Board %],MATCH(C6,Table1[Profit %],0))</f>
        <v>0.09</v>
      </c>
      <c r="I6" t="str">
        <f>INDEX(Table1[Climate Grade],MATCH(C6,Table1[Profit %],0))</f>
        <v>B</v>
      </c>
      <c r="J6">
        <f>INDEX(Table1[Sustainability Initiatives],MATCH(C6,Table1[Profit %],0))</f>
        <v>0</v>
      </c>
    </row>
    <row r="7" spans="3:10" x14ac:dyDescent="0.25">
      <c r="C7" s="30">
        <v>0.28000000000000003</v>
      </c>
      <c r="D7" s="29">
        <f>INDEX(Table1[Revenue],MATCH(C7,Table1[Profit %],0))</f>
        <v>0</v>
      </c>
      <c r="E7" s="35">
        <f>INDEX(Table1[CEO Pay Ratio],MATCH(C7,Table1[Profit %],0))</f>
        <v>0</v>
      </c>
      <c r="F7" t="str">
        <f>INDEX(Table1[Location],MATCH(C7,Table1[Profit %],0))</f>
        <v>Zhuzhou, China</v>
      </c>
      <c r="G7" t="str">
        <f>INDEX(Table1[Company],MATCH(C7,Table1[Profit %],0))</f>
        <v>Zhuzhou CRRC Times Electric Co Ltd</v>
      </c>
      <c r="H7" s="30">
        <f>INDEX(Table1[Women on Board %],MATCH(C7,Table1[Profit %],0))</f>
        <v>0.09</v>
      </c>
      <c r="I7" t="str">
        <f>INDEX(Table1[Climate Grade],MATCH(C7,Table1[Profit %],0))</f>
        <v>B</v>
      </c>
      <c r="J7">
        <f>INDEX(Table1[Sustainability Initiatives],MATCH(C7,Table1[Profit %],0))</f>
        <v>0</v>
      </c>
    </row>
    <row r="8" spans="3:10" x14ac:dyDescent="0.25">
      <c r="C8" s="30">
        <v>0.28000000000000003</v>
      </c>
      <c r="D8" s="29">
        <f>INDEX(Table1[Revenue],MATCH(C8,Table1[Profit %],0))</f>
        <v>0</v>
      </c>
      <c r="E8" s="35">
        <f>INDEX(Table1[CEO Pay Ratio],MATCH(C8,Table1[Profit %],0))</f>
        <v>0</v>
      </c>
      <c r="F8" t="str">
        <f>INDEX(Table1[Location],MATCH(C8,Table1[Profit %],0))</f>
        <v>Zhuzhou, China</v>
      </c>
      <c r="G8" t="str">
        <f>INDEX(Table1[Company],MATCH(C8,Table1[Profit %],0))</f>
        <v>Zhuzhou CRRC Times Electric Co Ltd</v>
      </c>
      <c r="H8" s="30">
        <f>INDEX(Table1[Women on Board %],MATCH(C8,Table1[Profit %],0))</f>
        <v>0.09</v>
      </c>
      <c r="I8" t="str">
        <f>INDEX(Table1[Climate Grade],MATCH(C8,Table1[Profit %],0))</f>
        <v>B</v>
      </c>
      <c r="J8">
        <f>INDEX(Table1[Sustainability Initiatives],MATCH(C8,Table1[Profit %],0))</f>
        <v>0</v>
      </c>
    </row>
    <row r="9" spans="3:10" x14ac:dyDescent="0.25">
      <c r="C9" s="30">
        <v>0.26</v>
      </c>
      <c r="D9" s="29">
        <f>INDEX(Table1[Revenue],MATCH(C9,Table1[Profit %],0))</f>
        <v>195778</v>
      </c>
      <c r="E9" s="35">
        <f>INDEX(Table1[CEO Pay Ratio],MATCH(C9,Table1[Profit %],0))</f>
        <v>4.2506944444444441</v>
      </c>
      <c r="F9" t="str">
        <f>INDEX(Table1[Location],MATCH(C9,Table1[Profit %],0))</f>
        <v>Turin, Italy</v>
      </c>
      <c r="G9" t="str">
        <f>INDEX(Table1[Company],MATCH(C9,Table1[Profit %],0))</f>
        <v>Intesa Sanpaolo SpA</v>
      </c>
      <c r="H9" s="30">
        <f>INDEX(Table1[Women on Board %],MATCH(C9,Table1[Profit %],0))</f>
        <v>0.42</v>
      </c>
      <c r="I9" t="str">
        <f>INDEX(Table1[Climate Grade],MATCH(C9,Table1[Profit %],0))</f>
        <v>B-</v>
      </c>
      <c r="J9" t="str">
        <f>INDEX(Table1[Sustainability Initiatives],MATCH(C9,Table1[Profit %],0))</f>
        <v>1.5°C, SBTi, NZBA</v>
      </c>
    </row>
    <row r="10" spans="3:10" x14ac:dyDescent="0.25">
      <c r="C10" s="30">
        <v>0.26</v>
      </c>
      <c r="D10" s="29">
        <f>INDEX(Table1[Revenue],MATCH(C10,Table1[Profit %],0))</f>
        <v>195778</v>
      </c>
      <c r="E10" s="35">
        <f>INDEX(Table1[CEO Pay Ratio],MATCH(C10,Table1[Profit %],0))</f>
        <v>4.2506944444444441</v>
      </c>
      <c r="F10" t="str">
        <f>INDEX(Table1[Location],MATCH(C10,Table1[Profit %],0))</f>
        <v>Turin, Italy</v>
      </c>
      <c r="G10" t="str">
        <f>INDEX(Table1[Company],MATCH(C10,Table1[Profit %],0))</f>
        <v>Intesa Sanpaolo SpA</v>
      </c>
      <c r="H10" s="30">
        <f>INDEX(Table1[Women on Board %],MATCH(C10,Table1[Profit %],0))</f>
        <v>0.42</v>
      </c>
      <c r="I10" t="str">
        <f>INDEX(Table1[Climate Grade],MATCH(C10,Table1[Profit %],0))</f>
        <v>B-</v>
      </c>
      <c r="J10" t="str">
        <f>INDEX(Table1[Sustainability Initiatives],MATCH(C10,Table1[Profit %],0))</f>
        <v>1.5°C, SBTi, NZBA</v>
      </c>
    </row>
    <row r="11" spans="3:10" x14ac:dyDescent="0.25">
      <c r="C11" s="30">
        <v>0.25</v>
      </c>
      <c r="D11" s="29">
        <f>INDEX(Table1[Revenue],MATCH(C11,Table1[Profit %],0))</f>
        <v>44213</v>
      </c>
      <c r="E11" s="35">
        <f>INDEX(Table1[CEO Pay Ratio],MATCH(C11,Table1[Profit %],0))</f>
        <v>5.2506944444444441</v>
      </c>
      <c r="F11" t="str">
        <f>INDEX(Table1[Location],MATCH(C11,Table1[Profit %],0))</f>
        <v>Swords, Ireland</v>
      </c>
      <c r="G11" t="str">
        <f>INDEX(Table1[Company],MATCH(C11,Table1[Profit %],0))</f>
        <v>Trane Technologies PLC</v>
      </c>
      <c r="H11" s="30">
        <f>INDEX(Table1[Women on Board %],MATCH(C11,Table1[Profit %],0))</f>
        <v>0.45</v>
      </c>
      <c r="I11" t="str">
        <f>INDEX(Table1[Climate Grade],MATCH(C11,Table1[Profit %],0))</f>
        <v>B+</v>
      </c>
      <c r="J11" t="str">
        <f>INDEX(Table1[Sustainability Initiatives],MATCH(C11,Table1[Profit %],0))</f>
        <v>1.5°C, SBTi</v>
      </c>
    </row>
    <row r="12" spans="3:10" x14ac:dyDescent="0.25">
      <c r="C12" s="30">
        <v>0.25</v>
      </c>
      <c r="D12" s="29">
        <f>INDEX(Table1[Revenue],MATCH(C12,Table1[Profit %],0))</f>
        <v>44213</v>
      </c>
      <c r="E12" s="35">
        <f>INDEX(Table1[CEO Pay Ratio],MATCH(C12,Table1[Profit %],0))</f>
        <v>5.2506944444444441</v>
      </c>
      <c r="F12" t="str">
        <f>INDEX(Table1[Location],MATCH(C12,Table1[Profit %],0))</f>
        <v>Swords, Ireland</v>
      </c>
      <c r="G12" t="str">
        <f>INDEX(Table1[Company],MATCH(C12,Table1[Profit %],0))</f>
        <v>Trane Technologies PLC</v>
      </c>
      <c r="H12" s="30">
        <f>INDEX(Table1[Women on Board %],MATCH(C12,Table1[Profit %],0))</f>
        <v>0.45</v>
      </c>
      <c r="I12" t="str">
        <f>INDEX(Table1[Climate Grade],MATCH(C12,Table1[Profit %],0))</f>
        <v>B+</v>
      </c>
      <c r="J12" t="str">
        <f>INDEX(Table1[Sustainability Initiatives],MATCH(C12,Table1[Profit %],0))</f>
        <v>1.5°C, SBTi</v>
      </c>
    </row>
    <row r="13" spans="3:10" x14ac:dyDescent="0.25">
      <c r="C13" s="30">
        <v>0.25</v>
      </c>
      <c r="D13" s="29">
        <f>INDEX(Table1[Revenue],MATCH(C13,Table1[Profit %],0))</f>
        <v>44213</v>
      </c>
      <c r="E13" s="35">
        <f>INDEX(Table1[CEO Pay Ratio],MATCH(C13,Table1[Profit %],0))</f>
        <v>5.2506944444444441</v>
      </c>
      <c r="F13" t="str">
        <f>INDEX(Table1[Location],MATCH(C13,Table1[Profit %],0))</f>
        <v>Swords, Ireland</v>
      </c>
      <c r="G13" t="str">
        <f>INDEX(Table1[Company],MATCH(C13,Table1[Profit %],0))</f>
        <v>Trane Technologies PLC</v>
      </c>
      <c r="H13" s="30">
        <f>INDEX(Table1[Women on Board %],MATCH(C13,Table1[Profit %],0))</f>
        <v>0.45</v>
      </c>
      <c r="I13" t="str">
        <f>INDEX(Table1[Climate Grade],MATCH(C13,Table1[Profit %],0))</f>
        <v>B+</v>
      </c>
      <c r="J13" t="str">
        <f>INDEX(Table1[Sustainability Initiatives],MATCH(C13,Table1[Profit %],0))</f>
        <v>1.5°C, SBTi</v>
      </c>
    </row>
    <row r="14" spans="3:10" x14ac:dyDescent="0.25">
      <c r="C14" s="30">
        <v>0.23</v>
      </c>
      <c r="D14" s="29">
        <f>INDEX(Table1[Revenue],MATCH(C14,Table1[Profit %],0))</f>
        <v>14582</v>
      </c>
      <c r="E14" s="35">
        <f>INDEX(Table1[CEO Pay Ratio],MATCH(C14,Table1[Profit %],0))</f>
        <v>0.87569444444444444</v>
      </c>
      <c r="F14" t="str">
        <f>INDEX(Table1[Location],MATCH(C14,Table1[Profit %],0))</f>
        <v>Ningbo, China</v>
      </c>
      <c r="G14" t="str">
        <f>INDEX(Table1[Company],MATCH(C14,Table1[Profit %],0))</f>
        <v>Risen Energy Co Ltd</v>
      </c>
      <c r="H14" s="30">
        <f>INDEX(Table1[Women on Board %],MATCH(C14,Table1[Profit %],0))</f>
        <v>0</v>
      </c>
      <c r="I14" t="str">
        <f>INDEX(Table1[Climate Grade],MATCH(C14,Table1[Profit %],0))</f>
        <v>B</v>
      </c>
      <c r="J14">
        <f>INDEX(Table1[Sustainability Initiatives],MATCH(C14,Table1[Profit %],0))</f>
        <v>0</v>
      </c>
    </row>
    <row r="15" spans="3:10" x14ac:dyDescent="0.25">
      <c r="H15" s="30"/>
    </row>
  </sheetData>
  <conditionalFormatting sqref="C5:C1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{CE2216A7-BF3F-437C-8A1E-FDDC88D9AC7F}</x14:id>
        </ext>
      </extLst>
    </cfRule>
  </conditionalFormatting>
  <conditionalFormatting sqref="D5:D15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{BF9AE2A0-C421-48DA-B8DC-45EC23F1E861}</x14:id>
        </ext>
      </extLst>
    </cfRule>
  </conditionalFormatting>
  <conditionalFormatting sqref="E5:E15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{861C3786-0CDC-4411-AD27-05FEA3365244}</x14:id>
        </ext>
      </extLst>
    </cfRule>
  </conditionalFormatting>
  <conditionalFormatting sqref="F5:F15">
    <cfRule type="top10" dxfId="0" priority="5" rank="10"/>
  </conditionalFormatting>
  <conditionalFormatting sqref="H5:H1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{FE849E9E-1AE5-4D86-92DB-A1266B96A296}</x14:id>
        </ext>
      </extLst>
    </cfRule>
  </conditionalFormatting>
  <conditionalFormatting sqref="J5:J15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{D71E7491-03FD-4C5A-A3E3-BBFCEF930E0B}</x14:id>
        </ext>
      </extLst>
    </cfRule>
  </conditionalFormatting>
  <conditionalFormatting sqref="J6:J1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5:I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2216A7-BF3F-437C-8A1E-FDDC88D9AC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C5:C15</xm:sqref>
        </x14:conditionalFormatting>
        <x14:conditionalFormatting xmlns:xm="http://schemas.microsoft.com/office/excel/2006/main">
          <x14:cfRule type="dataBar" id="{BF9AE2A0-C421-48DA-B8DC-45EC23F1E86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D5:D15</xm:sqref>
        </x14:conditionalFormatting>
        <x14:conditionalFormatting xmlns:xm="http://schemas.microsoft.com/office/excel/2006/main">
          <x14:cfRule type="dataBar" id="{861C3786-0CDC-4411-AD27-05FEA33652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E5:E15</xm:sqref>
        </x14:conditionalFormatting>
        <x14:conditionalFormatting xmlns:xm="http://schemas.microsoft.com/office/excel/2006/main">
          <x14:cfRule type="dataBar" id="{FE849E9E-1AE5-4D86-92DB-A1266B96A2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H5:H15</xm:sqref>
        </x14:conditionalFormatting>
        <x14:conditionalFormatting xmlns:xm="http://schemas.microsoft.com/office/excel/2006/main">
          <x14:cfRule type="dataBar" id="{D71E7491-03FD-4C5A-A3E3-BBFCEF930E0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J5:J15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 </vt:lpstr>
      <vt:lpstr>dashboard</vt:lpstr>
      <vt:lpstr>most sustainable corporations</vt:lpstr>
      <vt:lpstr>general </vt:lpstr>
      <vt:lpstr>revenue</vt:lpstr>
      <vt:lpstr>profit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khan</dc:creator>
  <cp:lastModifiedBy>sajid khan</cp:lastModifiedBy>
  <cp:lastPrinted>2024-10-20T06:25:46Z</cp:lastPrinted>
  <dcterms:created xsi:type="dcterms:W3CDTF">2024-10-02T09:16:45Z</dcterms:created>
  <dcterms:modified xsi:type="dcterms:W3CDTF">2024-10-20T06:27:27Z</dcterms:modified>
</cp:coreProperties>
</file>